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codeName="ThisWorkbook"/>
  <bookViews>
    <workbookView xWindow="240" yWindow="2595" windowWidth="13815" windowHeight="8985" tabRatio="923" firstSheet="2" activeTab="2"/>
  </bookViews>
  <sheets>
    <sheet name="Paramètres" sheetId="40" state="hidden" r:id="rId1"/>
    <sheet name="A) Base RI" sheetId="42" state="hidden" r:id="rId2"/>
    <sheet name="Recherche" sheetId="48" r:id="rId3"/>
    <sheet name="B) D RI" sheetId="19" r:id="rId4"/>
    <sheet name="C) Prél. conj." sheetId="32" r:id="rId5"/>
    <sheet name="D) Ecrêtage" sheetId="33" r:id="rId6"/>
    <sheet name="E) Fact soc" sheetId="9" r:id="rId7"/>
    <sheet name="F) Population" sheetId="36" r:id="rId8"/>
    <sheet name="G) Solidarité" sheetId="37" r:id="rId9"/>
    <sheet name="H) Péréquation directe" sheetId="34" r:id="rId10"/>
    <sheet name="I) Dépenses thématiques" sheetId="11" r:id="rId11"/>
    <sheet name="J) Plafonnement effort" sheetId="12" r:id="rId12"/>
    <sheet name="K) Plafonnement aide" sheetId="39" r:id="rId13"/>
    <sheet name="L) Plafonnement taux" sheetId="13" r:id="rId14"/>
    <sheet name="M) Police" sheetId="49" r:id="rId15"/>
    <sheet name="Synthèse" sheetId="25" r:id="rId16"/>
    <sheet name="Feuil1" sheetId="52" r:id="rId17"/>
  </sheets>
  <definedNames>
    <definedName name="_xlnm._FilterDatabase" localSheetId="4" hidden="1">'C) Prél. conj.'!$A$3:$H$314</definedName>
    <definedName name="_xlnm._FilterDatabase" localSheetId="6" hidden="1">'E) Fact soc'!$A$9:$G$320</definedName>
    <definedName name="_xlnm._FilterDatabase" localSheetId="9" hidden="1">'H) Péréquation directe'!$A$14:$I$325</definedName>
    <definedName name="_xlnm._FilterDatabase" localSheetId="15" hidden="1">Synthèse!$A$4:$L$317</definedName>
    <definedName name="_xlnm.Database">#REF!</definedName>
    <definedName name="_xlnm.Print_Titles" localSheetId="4">'C) Prél. conj.'!$3:$4</definedName>
    <definedName name="_xlnm.Print_Titles" localSheetId="6">'E) Fact soc'!$9:$10</definedName>
    <definedName name="_xlnm.Print_Titles" localSheetId="10">'I) Dépenses thématiques'!$3:$4</definedName>
    <definedName name="_xlnm.Print_Titles" localSheetId="11">'J) Plafonnement effort'!$3:$4</definedName>
    <definedName name="_xlnm.Print_Titles" localSheetId="13">'L) Plafonnement taux'!$4:$5</definedName>
    <definedName name="_xlnm.Print_Titles" localSheetId="14">'M) Police'!$4:$4</definedName>
    <definedName name="_xlnm.Print_Titles" localSheetId="15">Synthèse!$4:$5</definedName>
    <definedName name="ind">2</definedName>
    <definedName name="_xlnm.Print_Area" localSheetId="1">'A) Base RI'!$A:$T</definedName>
    <definedName name="_xlnm.Print_Area" localSheetId="9">'H) Péréquation directe'!$316:$347</definedName>
    <definedName name="_xlnm.Print_Area" localSheetId="13">'L) Plafonnement taux'!$A$1:$R$316</definedName>
    <definedName name="_xlnm.Print_Area" localSheetId="14">'M) Police'!$A$1:$O$315</definedName>
    <definedName name="_xlnm.Print_Area" localSheetId="2">Recherche!$B$6:$F$56</definedName>
    <definedName name="_xlnm.Print_Area" localSheetId="15">Synthèse!$A$1:$N$315</definedName>
  </definedNames>
  <calcPr calcId="145621"/>
</workbook>
</file>

<file path=xl/calcChain.xml><?xml version="1.0" encoding="utf-8"?>
<calcChain xmlns="http://schemas.openxmlformats.org/spreadsheetml/2006/main">
  <c r="C11" i="9" l="1"/>
  <c r="D32" i="9"/>
  <c r="E23" i="32"/>
  <c r="G27" i="9" l="1"/>
  <c r="H244" i="13" l="1"/>
  <c r="H245" i="13"/>
  <c r="H246" i="13"/>
  <c r="H170" i="13"/>
  <c r="H8" i="13"/>
  <c r="H11" i="13"/>
  <c r="H16" i="13"/>
  <c r="H18" i="13"/>
  <c r="H19" i="13"/>
  <c r="H24" i="13"/>
  <c r="H26" i="13"/>
  <c r="H27" i="13"/>
  <c r="H32" i="13"/>
  <c r="H34" i="13"/>
  <c r="H35" i="13"/>
  <c r="H40" i="13"/>
  <c r="H42" i="13"/>
  <c r="H43" i="13"/>
  <c r="H48" i="13"/>
  <c r="H50" i="13"/>
  <c r="H51" i="13"/>
  <c r="H56" i="13"/>
  <c r="H58" i="13"/>
  <c r="H59" i="13"/>
  <c r="H64" i="13"/>
  <c r="H66" i="13"/>
  <c r="H67" i="13"/>
  <c r="H72" i="13"/>
  <c r="H74" i="13"/>
  <c r="H75" i="13"/>
  <c r="H80" i="13"/>
  <c r="H82" i="13"/>
  <c r="H83" i="13"/>
  <c r="H88" i="13"/>
  <c r="H90" i="13"/>
  <c r="H91" i="13"/>
  <c r="H96" i="13"/>
  <c r="H98" i="13"/>
  <c r="H99" i="13"/>
  <c r="H104" i="13"/>
  <c r="H106" i="13"/>
  <c r="H107" i="13"/>
  <c r="H112" i="13"/>
  <c r="H114" i="13"/>
  <c r="H115" i="13"/>
  <c r="H120" i="13"/>
  <c r="H122" i="13"/>
  <c r="H123" i="13"/>
  <c r="H128" i="13"/>
  <c r="H130" i="13"/>
  <c r="H131" i="13"/>
  <c r="H136" i="13"/>
  <c r="H138" i="13"/>
  <c r="H139" i="13"/>
  <c r="H144" i="13"/>
  <c r="H146" i="13"/>
  <c r="H147" i="13"/>
  <c r="H152" i="13"/>
  <c r="H154" i="13"/>
  <c r="H155" i="13"/>
  <c r="H160" i="13"/>
  <c r="H162" i="13"/>
  <c r="H163" i="13"/>
  <c r="H168" i="13"/>
  <c r="H171" i="13"/>
  <c r="H173" i="13"/>
  <c r="H175" i="13"/>
  <c r="H176" i="13"/>
  <c r="H177" i="13"/>
  <c r="H178" i="13"/>
  <c r="H179" i="13"/>
  <c r="H181" i="13"/>
  <c r="H183" i="13"/>
  <c r="H184" i="13"/>
  <c r="H185" i="13"/>
  <c r="H186" i="13"/>
  <c r="H187" i="13"/>
  <c r="H189" i="13"/>
  <c r="H192" i="13"/>
  <c r="H193" i="13"/>
  <c r="H194" i="13"/>
  <c r="H195" i="13"/>
  <c r="H197" i="13"/>
  <c r="H199" i="13"/>
  <c r="H200" i="13"/>
  <c r="H201" i="13"/>
  <c r="H202" i="13"/>
  <c r="H203" i="13"/>
  <c r="H205" i="13"/>
  <c r="H207" i="13"/>
  <c r="H208" i="13"/>
  <c r="H209" i="13"/>
  <c r="H210" i="13"/>
  <c r="H211" i="13"/>
  <c r="H213" i="13"/>
  <c r="H215" i="13"/>
  <c r="H216" i="13"/>
  <c r="H217" i="13"/>
  <c r="H218" i="13"/>
  <c r="H221" i="13"/>
  <c r="H225" i="13"/>
  <c r="H226" i="13"/>
  <c r="H229" i="13"/>
  <c r="H231" i="13"/>
  <c r="H233" i="13"/>
  <c r="H234" i="13"/>
  <c r="H237" i="13"/>
  <c r="H241" i="13"/>
  <c r="H242" i="13"/>
  <c r="H250" i="13"/>
  <c r="H251" i="13"/>
  <c r="H252" i="13"/>
  <c r="H253" i="13"/>
  <c r="H258" i="13"/>
  <c r="H259" i="13"/>
  <c r="H260" i="13"/>
  <c r="H261" i="13"/>
  <c r="H266" i="13"/>
  <c r="H267" i="13"/>
  <c r="H268" i="13"/>
  <c r="H269" i="13"/>
  <c r="H274" i="13"/>
  <c r="H275" i="13"/>
  <c r="H276" i="13"/>
  <c r="H277" i="13"/>
  <c r="H282" i="13"/>
  <c r="H283" i="13"/>
  <c r="H284" i="13"/>
  <c r="H285" i="13"/>
  <c r="H290" i="13"/>
  <c r="H291" i="13"/>
  <c r="H292" i="13"/>
  <c r="H293" i="13"/>
  <c r="H297" i="13"/>
  <c r="H298" i="13"/>
  <c r="H299" i="13"/>
  <c r="H300" i="13"/>
  <c r="H301" i="13"/>
  <c r="H306" i="13"/>
  <c r="H307" i="13"/>
  <c r="H308" i="13"/>
  <c r="H309" i="13"/>
  <c r="H313" i="13"/>
  <c r="H314" i="13"/>
  <c r="C315" i="13"/>
  <c r="D315" i="13"/>
  <c r="H6" i="13"/>
  <c r="H9" i="13"/>
  <c r="H13" i="13"/>
  <c r="H14" i="13"/>
  <c r="H17" i="13"/>
  <c r="H21" i="13"/>
  <c r="H22" i="13"/>
  <c r="H25" i="13"/>
  <c r="H29" i="13"/>
  <c r="H30" i="13"/>
  <c r="H33" i="13"/>
  <c r="H37" i="13"/>
  <c r="H38" i="13"/>
  <c r="H41" i="13"/>
  <c r="H45" i="13"/>
  <c r="H46" i="13"/>
  <c r="H49" i="13"/>
  <c r="H53" i="13"/>
  <c r="H54" i="13"/>
  <c r="H57" i="13"/>
  <c r="H61" i="13"/>
  <c r="H62" i="13"/>
  <c r="H65" i="13"/>
  <c r="H69" i="13"/>
  <c r="H70" i="13"/>
  <c r="H73" i="13"/>
  <c r="H77" i="13"/>
  <c r="H78" i="13"/>
  <c r="H81" i="13"/>
  <c r="H85" i="13"/>
  <c r="H86" i="13"/>
  <c r="H89" i="13"/>
  <c r="H93" i="13"/>
  <c r="H94" i="13"/>
  <c r="H97" i="13"/>
  <c r="H101" i="13"/>
  <c r="H102" i="13"/>
  <c r="H105" i="13"/>
  <c r="H109" i="13"/>
  <c r="H110" i="13"/>
  <c r="H113" i="13"/>
  <c r="H117" i="13"/>
  <c r="H118" i="13"/>
  <c r="H121" i="13"/>
  <c r="H125" i="13"/>
  <c r="H126" i="13"/>
  <c r="H129" i="13"/>
  <c r="H133" i="13"/>
  <c r="H134" i="13"/>
  <c r="H137" i="13"/>
  <c r="H141" i="13"/>
  <c r="H142" i="13"/>
  <c r="H145" i="13"/>
  <c r="H149" i="13"/>
  <c r="H150" i="13"/>
  <c r="H153" i="13"/>
  <c r="H157" i="13"/>
  <c r="H158" i="13"/>
  <c r="H161" i="13"/>
  <c r="H165" i="13"/>
  <c r="H166" i="13"/>
  <c r="H169" i="13"/>
  <c r="H174" i="13"/>
  <c r="H182" i="13"/>
  <c r="H190" i="13"/>
  <c r="H191" i="13"/>
  <c r="H198" i="13"/>
  <c r="H206" i="13"/>
  <c r="H214" i="13"/>
  <c r="H222" i="13"/>
  <c r="H223" i="13"/>
  <c r="H224" i="13"/>
  <c r="H227" i="13"/>
  <c r="H230" i="13"/>
  <c r="H232" i="13"/>
  <c r="H235" i="13"/>
  <c r="H238" i="13"/>
  <c r="H239" i="13"/>
  <c r="H240" i="13"/>
  <c r="H243" i="13"/>
  <c r="H248" i="13"/>
  <c r="H249" i="13"/>
  <c r="H254" i="13"/>
  <c r="H256" i="13"/>
  <c r="H257" i="13"/>
  <c r="H262" i="13"/>
  <c r="H264" i="13"/>
  <c r="H265" i="13"/>
  <c r="H270" i="13"/>
  <c r="H272" i="13"/>
  <c r="H273" i="13"/>
  <c r="H278" i="13"/>
  <c r="H280" i="13"/>
  <c r="H281" i="13"/>
  <c r="H286" i="13"/>
  <c r="H288" i="13"/>
  <c r="H289" i="13"/>
  <c r="H294" i="13"/>
  <c r="H296" i="13"/>
  <c r="H302" i="13"/>
  <c r="H304" i="13"/>
  <c r="H305" i="13"/>
  <c r="H310" i="13"/>
  <c r="H312" i="13"/>
  <c r="C3" i="13"/>
  <c r="H279" i="13" l="1"/>
  <c r="H255" i="13"/>
  <c r="H228" i="13"/>
  <c r="H212" i="13"/>
  <c r="H172" i="13"/>
  <c r="H159" i="13"/>
  <c r="H148" i="13"/>
  <c r="H127" i="13"/>
  <c r="H116" i="13"/>
  <c r="H103" i="13"/>
  <c r="H92" i="13"/>
  <c r="H79" i="13"/>
  <c r="H60" i="13"/>
  <c r="H52" i="13"/>
  <c r="H44" i="13"/>
  <c r="H36" i="13"/>
  <c r="H28" i="13"/>
  <c r="H23" i="13"/>
  <c r="H20" i="13"/>
  <c r="H15" i="13"/>
  <c r="H7" i="13"/>
  <c r="H10" i="13"/>
  <c r="E315" i="13"/>
  <c r="H311" i="13"/>
  <c r="H271" i="13"/>
  <c r="H247" i="13"/>
  <c r="H220" i="13"/>
  <c r="H204" i="13"/>
  <c r="H196" i="13"/>
  <c r="H167" i="13"/>
  <c r="H156" i="13"/>
  <c r="H143" i="13"/>
  <c r="H132" i="13"/>
  <c r="H124" i="13"/>
  <c r="H111" i="13"/>
  <c r="H100" i="13"/>
  <c r="H87" i="13"/>
  <c r="H71" i="13"/>
  <c r="H63" i="13"/>
  <c r="H55" i="13"/>
  <c r="H47" i="13"/>
  <c r="H39" i="13"/>
  <c r="H31" i="13"/>
  <c r="G315" i="13"/>
  <c r="F315" i="13"/>
  <c r="H303" i="13"/>
  <c r="H295" i="13"/>
  <c r="H287" i="13"/>
  <c r="H263" i="13"/>
  <c r="H236" i="13"/>
  <c r="H188" i="13"/>
  <c r="H180" i="13"/>
  <c r="H164" i="13"/>
  <c r="H151" i="13"/>
  <c r="H140" i="13"/>
  <c r="H135" i="13"/>
  <c r="H119" i="13"/>
  <c r="H108" i="13"/>
  <c r="H95" i="13"/>
  <c r="H84" i="13"/>
  <c r="H76" i="13"/>
  <c r="H68" i="13"/>
  <c r="H12" i="13"/>
  <c r="H315" i="13" l="1"/>
  <c r="G273" i="42" l="1"/>
  <c r="A243" i="49" l="1"/>
  <c r="A244" i="49"/>
  <c r="A245" i="49"/>
  <c r="A246" i="49"/>
  <c r="A247" i="49"/>
  <c r="A243" i="39" l="1"/>
  <c r="B243" i="39"/>
  <c r="A244" i="39"/>
  <c r="B244" i="39"/>
  <c r="A244" i="13"/>
  <c r="B244" i="13"/>
  <c r="B244" i="49"/>
  <c r="D175" i="11" l="1"/>
  <c r="C10" i="42"/>
  <c r="O129" i="42"/>
  <c r="O252" i="42"/>
  <c r="R200" i="42"/>
  <c r="C158" i="42"/>
  <c r="J8" i="19" l="1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7" i="19"/>
  <c r="F242" i="12" l="1"/>
  <c r="A6" i="12"/>
  <c r="B6" i="12"/>
  <c r="A7" i="12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B47" i="12"/>
  <c r="A48" i="12"/>
  <c r="B48" i="12"/>
  <c r="A49" i="12"/>
  <c r="B49" i="12"/>
  <c r="A50" i="12"/>
  <c r="B50" i="12"/>
  <c r="A51" i="12"/>
  <c r="B51" i="12"/>
  <c r="A52" i="12"/>
  <c r="B5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61" i="12"/>
  <c r="B61" i="12"/>
  <c r="A62" i="12"/>
  <c r="B62" i="12"/>
  <c r="A63" i="12"/>
  <c r="B63" i="12"/>
  <c r="A64" i="12"/>
  <c r="B64" i="12"/>
  <c r="A65" i="12"/>
  <c r="B65" i="12"/>
  <c r="A66" i="12"/>
  <c r="B66" i="12"/>
  <c r="A67" i="12"/>
  <c r="B67" i="12"/>
  <c r="A68" i="12"/>
  <c r="B68" i="12"/>
  <c r="A69" i="12"/>
  <c r="B69" i="12"/>
  <c r="A70" i="12"/>
  <c r="B70" i="12"/>
  <c r="A71" i="12"/>
  <c r="B71" i="12"/>
  <c r="A72" i="12"/>
  <c r="B72" i="12"/>
  <c r="A73" i="12"/>
  <c r="B73" i="12"/>
  <c r="A74" i="12"/>
  <c r="B74" i="12"/>
  <c r="A75" i="12"/>
  <c r="B75" i="12"/>
  <c r="A76" i="12"/>
  <c r="B76" i="12"/>
  <c r="A77" i="12"/>
  <c r="B77" i="12"/>
  <c r="A78" i="12"/>
  <c r="B78" i="12"/>
  <c r="A79" i="12"/>
  <c r="B79" i="12"/>
  <c r="A80" i="12"/>
  <c r="B80" i="12"/>
  <c r="A81" i="12"/>
  <c r="B81" i="12"/>
  <c r="A82" i="12"/>
  <c r="B82" i="12"/>
  <c r="A83" i="12"/>
  <c r="B83" i="12"/>
  <c r="A84" i="12"/>
  <c r="B84" i="12"/>
  <c r="A85" i="12"/>
  <c r="B85" i="12"/>
  <c r="A86" i="12"/>
  <c r="B86" i="12"/>
  <c r="A87" i="12"/>
  <c r="B87" i="12"/>
  <c r="A88" i="12"/>
  <c r="B88" i="12"/>
  <c r="A89" i="12"/>
  <c r="B89" i="12"/>
  <c r="A90" i="12"/>
  <c r="B90" i="12"/>
  <c r="A91" i="12"/>
  <c r="B91" i="12"/>
  <c r="A92" i="12"/>
  <c r="B92" i="12"/>
  <c r="A93" i="12"/>
  <c r="B93" i="12"/>
  <c r="A94" i="12"/>
  <c r="B94" i="12"/>
  <c r="A95" i="12"/>
  <c r="B95" i="12"/>
  <c r="A96" i="12"/>
  <c r="B96" i="12"/>
  <c r="A97" i="12"/>
  <c r="B97" i="12"/>
  <c r="A98" i="12"/>
  <c r="B98" i="12"/>
  <c r="A99" i="12"/>
  <c r="B99" i="12"/>
  <c r="A100" i="12"/>
  <c r="B100" i="12"/>
  <c r="A101" i="12"/>
  <c r="B101" i="12"/>
  <c r="A102" i="12"/>
  <c r="B102" i="12"/>
  <c r="A103" i="12"/>
  <c r="B103" i="12"/>
  <c r="A104" i="12"/>
  <c r="B104" i="12"/>
  <c r="A105" i="12"/>
  <c r="B105" i="12"/>
  <c r="A106" i="12"/>
  <c r="B106" i="12"/>
  <c r="A107" i="12"/>
  <c r="B107" i="12"/>
  <c r="A108" i="12"/>
  <c r="B108" i="12"/>
  <c r="A109" i="12"/>
  <c r="B109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A119" i="12"/>
  <c r="B119" i="12"/>
  <c r="A120" i="12"/>
  <c r="B120" i="12"/>
  <c r="A121" i="12"/>
  <c r="B121" i="12"/>
  <c r="A122" i="12"/>
  <c r="B122" i="12"/>
  <c r="A123" i="12"/>
  <c r="B123" i="12"/>
  <c r="A124" i="12"/>
  <c r="B124" i="12"/>
  <c r="A125" i="12"/>
  <c r="B125" i="12"/>
  <c r="A126" i="12"/>
  <c r="B126" i="12"/>
  <c r="A127" i="12"/>
  <c r="B127" i="12"/>
  <c r="A128" i="12"/>
  <c r="B128" i="12"/>
  <c r="A129" i="12"/>
  <c r="B129" i="12"/>
  <c r="A130" i="12"/>
  <c r="B130" i="12"/>
  <c r="A131" i="12"/>
  <c r="B131" i="12"/>
  <c r="A132" i="12"/>
  <c r="B132" i="12"/>
  <c r="A133" i="12"/>
  <c r="B133" i="12"/>
  <c r="A134" i="12"/>
  <c r="B134" i="12"/>
  <c r="A135" i="12"/>
  <c r="B135" i="12"/>
  <c r="A136" i="12"/>
  <c r="B136" i="12"/>
  <c r="A137" i="12"/>
  <c r="B137" i="12"/>
  <c r="A138" i="12"/>
  <c r="B138" i="12"/>
  <c r="A139" i="12"/>
  <c r="B139" i="12"/>
  <c r="A140" i="12"/>
  <c r="B140" i="12"/>
  <c r="A141" i="12"/>
  <c r="B141" i="12"/>
  <c r="A142" i="12"/>
  <c r="B142" i="12"/>
  <c r="A143" i="12"/>
  <c r="B143" i="12"/>
  <c r="A144" i="12"/>
  <c r="B144" i="12"/>
  <c r="A145" i="12"/>
  <c r="B145" i="12"/>
  <c r="A146" i="12"/>
  <c r="B146" i="12"/>
  <c r="A147" i="12"/>
  <c r="B147" i="12"/>
  <c r="A148" i="12"/>
  <c r="B148" i="12"/>
  <c r="A149" i="12"/>
  <c r="B149" i="12"/>
  <c r="A150" i="12"/>
  <c r="B150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69" i="12"/>
  <c r="B169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A184" i="12"/>
  <c r="B184" i="12"/>
  <c r="A185" i="12"/>
  <c r="B185" i="12"/>
  <c r="A186" i="12"/>
  <c r="B186" i="12"/>
  <c r="A187" i="12"/>
  <c r="B187" i="12"/>
  <c r="A188" i="12"/>
  <c r="B188" i="12"/>
  <c r="A189" i="12"/>
  <c r="B189" i="12"/>
  <c r="A190" i="12"/>
  <c r="B190" i="12"/>
  <c r="A191" i="12"/>
  <c r="B191" i="12"/>
  <c r="A192" i="12"/>
  <c r="B192" i="12"/>
  <c r="A193" i="12"/>
  <c r="B193" i="12"/>
  <c r="A194" i="12"/>
  <c r="B194" i="12"/>
  <c r="A195" i="12"/>
  <c r="B195" i="12"/>
  <c r="A196" i="12"/>
  <c r="B196" i="12"/>
  <c r="A197" i="12"/>
  <c r="B197" i="12"/>
  <c r="A198" i="12"/>
  <c r="B198" i="12"/>
  <c r="A199" i="12"/>
  <c r="B199" i="12"/>
  <c r="A200" i="12"/>
  <c r="B200" i="12"/>
  <c r="A201" i="12"/>
  <c r="B201" i="12"/>
  <c r="A202" i="12"/>
  <c r="B202" i="12"/>
  <c r="A203" i="12"/>
  <c r="B203" i="12"/>
  <c r="A204" i="12"/>
  <c r="B204" i="12"/>
  <c r="A205" i="12"/>
  <c r="B205" i="12"/>
  <c r="A206" i="12"/>
  <c r="B206" i="12"/>
  <c r="A207" i="12"/>
  <c r="B207" i="12"/>
  <c r="A208" i="12"/>
  <c r="B208" i="12"/>
  <c r="A209" i="12"/>
  <c r="B209" i="12"/>
  <c r="A210" i="12"/>
  <c r="B210" i="12"/>
  <c r="A211" i="12"/>
  <c r="B211" i="12"/>
  <c r="A212" i="12"/>
  <c r="B212" i="12"/>
  <c r="A213" i="12"/>
  <c r="B213" i="12"/>
  <c r="A214" i="12"/>
  <c r="B214" i="12"/>
  <c r="A215" i="12"/>
  <c r="B215" i="12"/>
  <c r="A216" i="12"/>
  <c r="B216" i="12"/>
  <c r="A217" i="12"/>
  <c r="B217" i="12"/>
  <c r="A218" i="12"/>
  <c r="B218" i="12"/>
  <c r="A219" i="12"/>
  <c r="B219" i="12"/>
  <c r="A220" i="12"/>
  <c r="B220" i="12"/>
  <c r="A221" i="12"/>
  <c r="B221" i="12"/>
  <c r="A222" i="12"/>
  <c r="B222" i="12"/>
  <c r="A223" i="12"/>
  <c r="B223" i="12"/>
  <c r="A224" i="12"/>
  <c r="B224" i="12"/>
  <c r="A225" i="12"/>
  <c r="B225" i="12"/>
  <c r="A226" i="12"/>
  <c r="B226" i="12"/>
  <c r="A227" i="12"/>
  <c r="B227" i="12"/>
  <c r="A228" i="12"/>
  <c r="B228" i="12"/>
  <c r="A229" i="12"/>
  <c r="B229" i="12"/>
  <c r="A230" i="12"/>
  <c r="B230" i="12"/>
  <c r="A231" i="12"/>
  <c r="B231" i="12"/>
  <c r="A232" i="12"/>
  <c r="B232" i="12"/>
  <c r="A233" i="12"/>
  <c r="B233" i="12"/>
  <c r="A234" i="12"/>
  <c r="B234" i="12"/>
  <c r="A235" i="12"/>
  <c r="B235" i="12"/>
  <c r="A236" i="12"/>
  <c r="B236" i="12"/>
  <c r="A237" i="12"/>
  <c r="B237" i="12"/>
  <c r="A238" i="12"/>
  <c r="B238" i="12"/>
  <c r="A239" i="12"/>
  <c r="B239" i="12"/>
  <c r="A240" i="12"/>
  <c r="B240" i="12"/>
  <c r="A241" i="12"/>
  <c r="B241" i="12"/>
  <c r="A242" i="12"/>
  <c r="B242" i="12"/>
  <c r="A243" i="12"/>
  <c r="B243" i="12"/>
  <c r="A244" i="12"/>
  <c r="B244" i="12"/>
  <c r="A245" i="12"/>
  <c r="B245" i="12"/>
  <c r="A246" i="12"/>
  <c r="B246" i="12"/>
  <c r="A247" i="12"/>
  <c r="B247" i="12"/>
  <c r="A248" i="12"/>
  <c r="B248" i="12"/>
  <c r="A249" i="12"/>
  <c r="B249" i="12"/>
  <c r="A250" i="12"/>
  <c r="B250" i="12"/>
  <c r="A251" i="12"/>
  <c r="B251" i="12"/>
  <c r="A252" i="12"/>
  <c r="B252" i="12"/>
  <c r="A253" i="12"/>
  <c r="B253" i="12"/>
  <c r="A254" i="12"/>
  <c r="B254" i="12"/>
  <c r="A255" i="12"/>
  <c r="B255" i="12"/>
  <c r="A256" i="12"/>
  <c r="B256" i="12"/>
  <c r="A257" i="12"/>
  <c r="B257" i="12"/>
  <c r="A258" i="12"/>
  <c r="B258" i="12"/>
  <c r="A259" i="12"/>
  <c r="B259" i="12"/>
  <c r="A260" i="12"/>
  <c r="B260" i="12"/>
  <c r="A261" i="12"/>
  <c r="B261" i="12"/>
  <c r="A262" i="12"/>
  <c r="B262" i="12"/>
  <c r="A263" i="12"/>
  <c r="B263" i="12"/>
  <c r="A264" i="12"/>
  <c r="B264" i="12"/>
  <c r="A265" i="12"/>
  <c r="B265" i="12"/>
  <c r="A266" i="12"/>
  <c r="B266" i="12"/>
  <c r="A267" i="12"/>
  <c r="B267" i="12"/>
  <c r="A268" i="12"/>
  <c r="B268" i="12"/>
  <c r="A269" i="12"/>
  <c r="B269" i="12"/>
  <c r="A270" i="12"/>
  <c r="B270" i="12"/>
  <c r="A271" i="12"/>
  <c r="B271" i="12"/>
  <c r="A272" i="12"/>
  <c r="B272" i="12"/>
  <c r="A273" i="12"/>
  <c r="B273" i="12"/>
  <c r="A274" i="12"/>
  <c r="B274" i="12"/>
  <c r="A275" i="12"/>
  <c r="B275" i="12"/>
  <c r="A276" i="12"/>
  <c r="B276" i="12"/>
  <c r="A277" i="12"/>
  <c r="B277" i="12"/>
  <c r="A278" i="12"/>
  <c r="B278" i="12"/>
  <c r="A279" i="12"/>
  <c r="B279" i="12"/>
  <c r="A280" i="12"/>
  <c r="B280" i="12"/>
  <c r="A281" i="12"/>
  <c r="B281" i="12"/>
  <c r="A282" i="12"/>
  <c r="B282" i="12"/>
  <c r="A283" i="12"/>
  <c r="B283" i="12"/>
  <c r="A284" i="12"/>
  <c r="B284" i="12"/>
  <c r="A285" i="12"/>
  <c r="B285" i="12"/>
  <c r="A286" i="12"/>
  <c r="B286" i="12"/>
  <c r="A287" i="12"/>
  <c r="B287" i="12"/>
  <c r="A288" i="12"/>
  <c r="B288" i="12"/>
  <c r="A289" i="12"/>
  <c r="B289" i="12"/>
  <c r="A290" i="12"/>
  <c r="B290" i="12"/>
  <c r="A291" i="12"/>
  <c r="B291" i="12"/>
  <c r="A292" i="12"/>
  <c r="B292" i="12"/>
  <c r="A293" i="12"/>
  <c r="B293" i="12"/>
  <c r="A294" i="12"/>
  <c r="B294" i="12"/>
  <c r="A295" i="12"/>
  <c r="B295" i="12"/>
  <c r="A296" i="12"/>
  <c r="B296" i="12"/>
  <c r="A297" i="12"/>
  <c r="B297" i="12"/>
  <c r="A298" i="12"/>
  <c r="B298" i="12"/>
  <c r="A299" i="12"/>
  <c r="B299" i="12"/>
  <c r="A300" i="12"/>
  <c r="B300" i="12"/>
  <c r="A301" i="12"/>
  <c r="B301" i="12"/>
  <c r="A302" i="12"/>
  <c r="B302" i="12"/>
  <c r="A303" i="12"/>
  <c r="B303" i="12"/>
  <c r="A304" i="12"/>
  <c r="B304" i="12"/>
  <c r="A305" i="12"/>
  <c r="B305" i="12"/>
  <c r="A306" i="12"/>
  <c r="B306" i="12"/>
  <c r="A307" i="12"/>
  <c r="B307" i="12"/>
  <c r="A308" i="12"/>
  <c r="B308" i="12"/>
  <c r="A309" i="12"/>
  <c r="B309" i="12"/>
  <c r="A310" i="12"/>
  <c r="B310" i="12"/>
  <c r="A311" i="12"/>
  <c r="B311" i="12"/>
  <c r="A312" i="12"/>
  <c r="B312" i="12"/>
  <c r="A313" i="12"/>
  <c r="B313" i="12"/>
  <c r="A6" i="37"/>
  <c r="B6" i="37"/>
  <c r="C6" i="37"/>
  <c r="G6" i="37"/>
  <c r="A7" i="37"/>
  <c r="B7" i="37"/>
  <c r="C7" i="37"/>
  <c r="G7" i="37"/>
  <c r="A8" i="37"/>
  <c r="B8" i="37"/>
  <c r="C8" i="37"/>
  <c r="G8" i="37"/>
  <c r="A9" i="37"/>
  <c r="B9" i="37"/>
  <c r="C9" i="37"/>
  <c r="G9" i="37"/>
  <c r="A10" i="37"/>
  <c r="B10" i="37"/>
  <c r="C10" i="37"/>
  <c r="G10" i="37"/>
  <c r="A11" i="37"/>
  <c r="B11" i="37"/>
  <c r="C11" i="37"/>
  <c r="G11" i="37"/>
  <c r="A12" i="37"/>
  <c r="B12" i="37"/>
  <c r="C12" i="37"/>
  <c r="G12" i="37"/>
  <c r="A13" i="37"/>
  <c r="B13" i="37"/>
  <c r="C13" i="37"/>
  <c r="G13" i="37"/>
  <c r="A14" i="37"/>
  <c r="B14" i="37"/>
  <c r="C14" i="37"/>
  <c r="G14" i="37"/>
  <c r="A15" i="37"/>
  <c r="B15" i="37"/>
  <c r="C15" i="37"/>
  <c r="G15" i="37"/>
  <c r="A16" i="37"/>
  <c r="B16" i="37"/>
  <c r="C16" i="37"/>
  <c r="G16" i="37"/>
  <c r="A17" i="37"/>
  <c r="B17" i="37"/>
  <c r="C17" i="37"/>
  <c r="G17" i="37"/>
  <c r="A18" i="37"/>
  <c r="B18" i="37"/>
  <c r="C18" i="37"/>
  <c r="G18" i="37"/>
  <c r="A19" i="37"/>
  <c r="B19" i="37"/>
  <c r="C19" i="37"/>
  <c r="G19" i="37"/>
  <c r="A20" i="37"/>
  <c r="B20" i="37"/>
  <c r="C20" i="37"/>
  <c r="G20" i="37"/>
  <c r="A21" i="37"/>
  <c r="B21" i="37"/>
  <c r="C21" i="37"/>
  <c r="G21" i="37"/>
  <c r="A22" i="37"/>
  <c r="B22" i="37"/>
  <c r="C22" i="37"/>
  <c r="G22" i="37"/>
  <c r="A23" i="37"/>
  <c r="B23" i="37"/>
  <c r="C23" i="37"/>
  <c r="G23" i="37"/>
  <c r="A24" i="37"/>
  <c r="B24" i="37"/>
  <c r="C24" i="37"/>
  <c r="G24" i="37"/>
  <c r="A25" i="37"/>
  <c r="B25" i="37"/>
  <c r="C25" i="37"/>
  <c r="G25" i="37"/>
  <c r="A26" i="37"/>
  <c r="B26" i="37"/>
  <c r="C26" i="37"/>
  <c r="G26" i="37"/>
  <c r="A27" i="37"/>
  <c r="B27" i="37"/>
  <c r="C27" i="37"/>
  <c r="G27" i="37"/>
  <c r="A28" i="37"/>
  <c r="B28" i="37"/>
  <c r="C28" i="37"/>
  <c r="G28" i="37"/>
  <c r="A29" i="37"/>
  <c r="B29" i="37"/>
  <c r="C29" i="37"/>
  <c r="G29" i="37"/>
  <c r="A30" i="37"/>
  <c r="B30" i="37"/>
  <c r="C30" i="37"/>
  <c r="G30" i="37"/>
  <c r="A31" i="37"/>
  <c r="B31" i="37"/>
  <c r="C31" i="37"/>
  <c r="G31" i="37"/>
  <c r="A32" i="37"/>
  <c r="B32" i="37"/>
  <c r="C32" i="37"/>
  <c r="G32" i="37"/>
  <c r="A33" i="37"/>
  <c r="B33" i="37"/>
  <c r="C33" i="37"/>
  <c r="G33" i="37"/>
  <c r="A34" i="37"/>
  <c r="B34" i="37"/>
  <c r="C34" i="37"/>
  <c r="G34" i="37"/>
  <c r="A35" i="37"/>
  <c r="B35" i="37"/>
  <c r="C35" i="37"/>
  <c r="G35" i="37"/>
  <c r="A36" i="37"/>
  <c r="B36" i="37"/>
  <c r="C36" i="37"/>
  <c r="G36" i="37"/>
  <c r="A37" i="37"/>
  <c r="B37" i="37"/>
  <c r="C37" i="37"/>
  <c r="G37" i="37"/>
  <c r="A38" i="37"/>
  <c r="B38" i="37"/>
  <c r="C38" i="37"/>
  <c r="G38" i="37"/>
  <c r="A39" i="37"/>
  <c r="B39" i="37"/>
  <c r="C39" i="37"/>
  <c r="G39" i="37"/>
  <c r="A40" i="37"/>
  <c r="B40" i="37"/>
  <c r="C40" i="37"/>
  <c r="G40" i="37"/>
  <c r="A41" i="37"/>
  <c r="B41" i="37"/>
  <c r="C41" i="37"/>
  <c r="G41" i="37"/>
  <c r="A42" i="37"/>
  <c r="B42" i="37"/>
  <c r="C42" i="37"/>
  <c r="G42" i="37"/>
  <c r="A43" i="37"/>
  <c r="B43" i="37"/>
  <c r="C43" i="37"/>
  <c r="G43" i="37"/>
  <c r="A44" i="37"/>
  <c r="B44" i="37"/>
  <c r="C44" i="37"/>
  <c r="G44" i="37"/>
  <c r="A45" i="37"/>
  <c r="B45" i="37"/>
  <c r="C45" i="37"/>
  <c r="G45" i="37"/>
  <c r="A46" i="37"/>
  <c r="B46" i="37"/>
  <c r="C46" i="37"/>
  <c r="G46" i="37"/>
  <c r="A47" i="37"/>
  <c r="B47" i="37"/>
  <c r="C47" i="37"/>
  <c r="G47" i="37"/>
  <c r="A48" i="37"/>
  <c r="B48" i="37"/>
  <c r="C48" i="37"/>
  <c r="G48" i="37"/>
  <c r="A49" i="37"/>
  <c r="B49" i="37"/>
  <c r="C49" i="37"/>
  <c r="G49" i="37"/>
  <c r="A50" i="37"/>
  <c r="B50" i="37"/>
  <c r="C50" i="37"/>
  <c r="G50" i="37"/>
  <c r="A51" i="37"/>
  <c r="B51" i="37"/>
  <c r="C51" i="37"/>
  <c r="G51" i="37"/>
  <c r="A52" i="37"/>
  <c r="B52" i="37"/>
  <c r="C52" i="37"/>
  <c r="G52" i="37"/>
  <c r="A53" i="37"/>
  <c r="B53" i="37"/>
  <c r="C53" i="37"/>
  <c r="G53" i="37"/>
  <c r="A54" i="37"/>
  <c r="B54" i="37"/>
  <c r="C54" i="37"/>
  <c r="G54" i="37"/>
  <c r="A55" i="37"/>
  <c r="B55" i="37"/>
  <c r="C55" i="37"/>
  <c r="G55" i="37"/>
  <c r="A56" i="37"/>
  <c r="B56" i="37"/>
  <c r="C56" i="37"/>
  <c r="G56" i="37"/>
  <c r="A57" i="37"/>
  <c r="B57" i="37"/>
  <c r="C57" i="37"/>
  <c r="G57" i="37"/>
  <c r="A58" i="37"/>
  <c r="B58" i="37"/>
  <c r="C58" i="37"/>
  <c r="G58" i="37"/>
  <c r="A59" i="37"/>
  <c r="B59" i="37"/>
  <c r="C59" i="37"/>
  <c r="G59" i="37"/>
  <c r="A60" i="37"/>
  <c r="B60" i="37"/>
  <c r="C60" i="37"/>
  <c r="G60" i="37"/>
  <c r="A61" i="37"/>
  <c r="B61" i="37"/>
  <c r="C61" i="37"/>
  <c r="G61" i="37"/>
  <c r="A62" i="37"/>
  <c r="B62" i="37"/>
  <c r="C62" i="37"/>
  <c r="G62" i="37"/>
  <c r="A63" i="37"/>
  <c r="B63" i="37"/>
  <c r="C63" i="37"/>
  <c r="G63" i="37"/>
  <c r="A64" i="37"/>
  <c r="B64" i="37"/>
  <c r="C64" i="37"/>
  <c r="G64" i="37"/>
  <c r="A65" i="37"/>
  <c r="B65" i="37"/>
  <c r="C65" i="37"/>
  <c r="G65" i="37"/>
  <c r="A66" i="37"/>
  <c r="B66" i="37"/>
  <c r="C66" i="37"/>
  <c r="G66" i="37"/>
  <c r="A67" i="37"/>
  <c r="B67" i="37"/>
  <c r="C67" i="37"/>
  <c r="G67" i="37"/>
  <c r="A68" i="37"/>
  <c r="B68" i="37"/>
  <c r="C68" i="37"/>
  <c r="G68" i="37"/>
  <c r="A69" i="37"/>
  <c r="B69" i="37"/>
  <c r="C69" i="37"/>
  <c r="G69" i="37"/>
  <c r="A70" i="37"/>
  <c r="B70" i="37"/>
  <c r="C70" i="37"/>
  <c r="G70" i="37"/>
  <c r="A71" i="37"/>
  <c r="B71" i="37"/>
  <c r="C71" i="37"/>
  <c r="G71" i="37"/>
  <c r="A72" i="37"/>
  <c r="B72" i="37"/>
  <c r="C72" i="37"/>
  <c r="G72" i="37"/>
  <c r="A73" i="37"/>
  <c r="B73" i="37"/>
  <c r="C73" i="37"/>
  <c r="G73" i="37"/>
  <c r="A74" i="37"/>
  <c r="B74" i="37"/>
  <c r="C74" i="37"/>
  <c r="G74" i="37"/>
  <c r="A75" i="37"/>
  <c r="B75" i="37"/>
  <c r="C75" i="37"/>
  <c r="G75" i="37"/>
  <c r="A76" i="37"/>
  <c r="B76" i="37"/>
  <c r="C76" i="37"/>
  <c r="G76" i="37"/>
  <c r="A77" i="37"/>
  <c r="B77" i="37"/>
  <c r="C77" i="37"/>
  <c r="G77" i="37"/>
  <c r="A78" i="37"/>
  <c r="B78" i="37"/>
  <c r="C78" i="37"/>
  <c r="G78" i="37"/>
  <c r="A79" i="37"/>
  <c r="B79" i="37"/>
  <c r="C79" i="37"/>
  <c r="G79" i="37"/>
  <c r="A80" i="37"/>
  <c r="B80" i="37"/>
  <c r="C80" i="37"/>
  <c r="G80" i="37"/>
  <c r="A81" i="37"/>
  <c r="B81" i="37"/>
  <c r="C81" i="37"/>
  <c r="G81" i="37"/>
  <c r="A82" i="37"/>
  <c r="B82" i="37"/>
  <c r="C82" i="37"/>
  <c r="G82" i="37"/>
  <c r="A83" i="37"/>
  <c r="B83" i="37"/>
  <c r="C83" i="37"/>
  <c r="G83" i="37"/>
  <c r="A84" i="37"/>
  <c r="B84" i="37"/>
  <c r="C84" i="37"/>
  <c r="G84" i="37"/>
  <c r="A85" i="37"/>
  <c r="B85" i="37"/>
  <c r="C85" i="37"/>
  <c r="G85" i="37"/>
  <c r="A86" i="37"/>
  <c r="B86" i="37"/>
  <c r="C86" i="37"/>
  <c r="G86" i="37"/>
  <c r="A87" i="37"/>
  <c r="B87" i="37"/>
  <c r="C87" i="37"/>
  <c r="G87" i="37"/>
  <c r="A88" i="37"/>
  <c r="B88" i="37"/>
  <c r="C88" i="37"/>
  <c r="G88" i="37"/>
  <c r="A89" i="37"/>
  <c r="B89" i="37"/>
  <c r="C89" i="37"/>
  <c r="G89" i="37"/>
  <c r="A90" i="37"/>
  <c r="B90" i="37"/>
  <c r="C90" i="37"/>
  <c r="G90" i="37"/>
  <c r="A91" i="37"/>
  <c r="B91" i="37"/>
  <c r="C91" i="37"/>
  <c r="G91" i="37"/>
  <c r="A92" i="37"/>
  <c r="B92" i="37"/>
  <c r="C92" i="37"/>
  <c r="G92" i="37"/>
  <c r="A93" i="37"/>
  <c r="B93" i="37"/>
  <c r="C93" i="37"/>
  <c r="G93" i="37"/>
  <c r="A94" i="37"/>
  <c r="B94" i="37"/>
  <c r="C94" i="37"/>
  <c r="G94" i="37"/>
  <c r="A95" i="37"/>
  <c r="B95" i="37"/>
  <c r="C95" i="37"/>
  <c r="G95" i="37"/>
  <c r="A96" i="37"/>
  <c r="B96" i="37"/>
  <c r="C96" i="37"/>
  <c r="G96" i="37"/>
  <c r="A97" i="37"/>
  <c r="B97" i="37"/>
  <c r="C97" i="37"/>
  <c r="G97" i="37"/>
  <c r="A98" i="37"/>
  <c r="B98" i="37"/>
  <c r="C98" i="37"/>
  <c r="G98" i="37"/>
  <c r="A99" i="37"/>
  <c r="B99" i="37"/>
  <c r="C99" i="37"/>
  <c r="G99" i="37"/>
  <c r="A100" i="37"/>
  <c r="B100" i="37"/>
  <c r="C100" i="37"/>
  <c r="G100" i="37"/>
  <c r="A101" i="37"/>
  <c r="B101" i="37"/>
  <c r="C101" i="37"/>
  <c r="G101" i="37"/>
  <c r="A102" i="37"/>
  <c r="B102" i="37"/>
  <c r="C102" i="37"/>
  <c r="G102" i="37"/>
  <c r="A103" i="37"/>
  <c r="B103" i="37"/>
  <c r="C103" i="37"/>
  <c r="G103" i="37"/>
  <c r="A104" i="37"/>
  <c r="B104" i="37"/>
  <c r="C104" i="37"/>
  <c r="G104" i="37"/>
  <c r="A105" i="37"/>
  <c r="B105" i="37"/>
  <c r="C105" i="37"/>
  <c r="G105" i="37"/>
  <c r="A106" i="37"/>
  <c r="B106" i="37"/>
  <c r="C106" i="37"/>
  <c r="G106" i="37"/>
  <c r="A107" i="37"/>
  <c r="B107" i="37"/>
  <c r="C107" i="37"/>
  <c r="G107" i="37"/>
  <c r="A108" i="37"/>
  <c r="B108" i="37"/>
  <c r="C108" i="37"/>
  <c r="G108" i="37"/>
  <c r="A109" i="37"/>
  <c r="B109" i="37"/>
  <c r="C109" i="37"/>
  <c r="G109" i="37"/>
  <c r="A110" i="37"/>
  <c r="B110" i="37"/>
  <c r="C110" i="37"/>
  <c r="G110" i="37"/>
  <c r="A111" i="37"/>
  <c r="B111" i="37"/>
  <c r="C111" i="37"/>
  <c r="G111" i="37"/>
  <c r="A112" i="37"/>
  <c r="B112" i="37"/>
  <c r="C112" i="37"/>
  <c r="G112" i="37"/>
  <c r="A113" i="37"/>
  <c r="B113" i="37"/>
  <c r="C113" i="37"/>
  <c r="G113" i="37"/>
  <c r="A114" i="37"/>
  <c r="B114" i="37"/>
  <c r="C114" i="37"/>
  <c r="G114" i="37"/>
  <c r="A115" i="37"/>
  <c r="B115" i="37"/>
  <c r="C115" i="37"/>
  <c r="G115" i="37"/>
  <c r="A116" i="37"/>
  <c r="B116" i="37"/>
  <c r="C116" i="37"/>
  <c r="G116" i="37"/>
  <c r="A117" i="37"/>
  <c r="B117" i="37"/>
  <c r="C117" i="37"/>
  <c r="G117" i="37"/>
  <c r="A118" i="37"/>
  <c r="B118" i="37"/>
  <c r="C118" i="37"/>
  <c r="G118" i="37"/>
  <c r="A119" i="37"/>
  <c r="B119" i="37"/>
  <c r="C119" i="37"/>
  <c r="G119" i="37"/>
  <c r="A120" i="37"/>
  <c r="B120" i="37"/>
  <c r="C120" i="37"/>
  <c r="G120" i="37"/>
  <c r="A121" i="37"/>
  <c r="B121" i="37"/>
  <c r="C121" i="37"/>
  <c r="G121" i="37"/>
  <c r="A122" i="37"/>
  <c r="B122" i="37"/>
  <c r="C122" i="37"/>
  <c r="G122" i="37"/>
  <c r="A123" i="37"/>
  <c r="B123" i="37"/>
  <c r="C123" i="37"/>
  <c r="G123" i="37"/>
  <c r="A124" i="37"/>
  <c r="B124" i="37"/>
  <c r="C124" i="37"/>
  <c r="G124" i="37"/>
  <c r="A125" i="37"/>
  <c r="B125" i="37"/>
  <c r="C125" i="37"/>
  <c r="G125" i="37"/>
  <c r="A126" i="37"/>
  <c r="B126" i="37"/>
  <c r="C126" i="37"/>
  <c r="G126" i="37"/>
  <c r="A127" i="37"/>
  <c r="B127" i="37"/>
  <c r="C127" i="37"/>
  <c r="G127" i="37"/>
  <c r="A128" i="37"/>
  <c r="B128" i="37"/>
  <c r="C128" i="37"/>
  <c r="G128" i="37"/>
  <c r="A129" i="37"/>
  <c r="B129" i="37"/>
  <c r="C129" i="37"/>
  <c r="G129" i="37"/>
  <c r="A130" i="37"/>
  <c r="B130" i="37"/>
  <c r="C130" i="37"/>
  <c r="G130" i="37"/>
  <c r="A131" i="37"/>
  <c r="B131" i="37"/>
  <c r="C131" i="37"/>
  <c r="G131" i="37"/>
  <c r="A132" i="37"/>
  <c r="B132" i="37"/>
  <c r="C132" i="37"/>
  <c r="G132" i="37"/>
  <c r="A133" i="37"/>
  <c r="B133" i="37"/>
  <c r="C133" i="37"/>
  <c r="G133" i="37"/>
  <c r="A134" i="37"/>
  <c r="B134" i="37"/>
  <c r="C134" i="37"/>
  <c r="G134" i="37"/>
  <c r="A135" i="37"/>
  <c r="B135" i="37"/>
  <c r="C135" i="37"/>
  <c r="G135" i="37"/>
  <c r="A136" i="37"/>
  <c r="B136" i="37"/>
  <c r="C136" i="37"/>
  <c r="G136" i="37"/>
  <c r="A137" i="37"/>
  <c r="B137" i="37"/>
  <c r="C137" i="37"/>
  <c r="G137" i="37"/>
  <c r="A138" i="37"/>
  <c r="B138" i="37"/>
  <c r="C138" i="37"/>
  <c r="G138" i="37"/>
  <c r="A139" i="37"/>
  <c r="B139" i="37"/>
  <c r="C139" i="37"/>
  <c r="G139" i="37"/>
  <c r="A140" i="37"/>
  <c r="B140" i="37"/>
  <c r="C140" i="37"/>
  <c r="G140" i="37"/>
  <c r="A141" i="37"/>
  <c r="B141" i="37"/>
  <c r="C141" i="37"/>
  <c r="G141" i="37"/>
  <c r="A142" i="37"/>
  <c r="B142" i="37"/>
  <c r="C142" i="37"/>
  <c r="G142" i="37"/>
  <c r="A143" i="37"/>
  <c r="B143" i="37"/>
  <c r="C143" i="37"/>
  <c r="G143" i="37"/>
  <c r="A144" i="37"/>
  <c r="B144" i="37"/>
  <c r="C144" i="37"/>
  <c r="G144" i="37"/>
  <c r="A145" i="37"/>
  <c r="B145" i="37"/>
  <c r="C145" i="37"/>
  <c r="G145" i="37"/>
  <c r="A146" i="37"/>
  <c r="B146" i="37"/>
  <c r="C146" i="37"/>
  <c r="G146" i="37"/>
  <c r="A147" i="37"/>
  <c r="B147" i="37"/>
  <c r="C147" i="37"/>
  <c r="G147" i="37"/>
  <c r="A148" i="37"/>
  <c r="B148" i="37"/>
  <c r="C148" i="37"/>
  <c r="G148" i="37"/>
  <c r="A149" i="37"/>
  <c r="B149" i="37"/>
  <c r="C149" i="37"/>
  <c r="G149" i="37"/>
  <c r="A150" i="37"/>
  <c r="B150" i="37"/>
  <c r="C150" i="37"/>
  <c r="G150" i="37"/>
  <c r="A151" i="37"/>
  <c r="B151" i="37"/>
  <c r="C151" i="37"/>
  <c r="G151" i="37"/>
  <c r="A152" i="37"/>
  <c r="B152" i="37"/>
  <c r="C152" i="37"/>
  <c r="G152" i="37"/>
  <c r="A153" i="37"/>
  <c r="B153" i="37"/>
  <c r="C153" i="37"/>
  <c r="G153" i="37"/>
  <c r="A154" i="37"/>
  <c r="B154" i="37"/>
  <c r="C154" i="37"/>
  <c r="G154" i="37"/>
  <c r="A155" i="37"/>
  <c r="B155" i="37"/>
  <c r="C155" i="37"/>
  <c r="G155" i="37"/>
  <c r="A156" i="37"/>
  <c r="B156" i="37"/>
  <c r="C156" i="37"/>
  <c r="G156" i="37"/>
  <c r="A157" i="37"/>
  <c r="B157" i="37"/>
  <c r="C157" i="37"/>
  <c r="G157" i="37"/>
  <c r="A158" i="37"/>
  <c r="B158" i="37"/>
  <c r="C158" i="37"/>
  <c r="G158" i="37"/>
  <c r="A159" i="37"/>
  <c r="B159" i="37"/>
  <c r="C159" i="37"/>
  <c r="G159" i="37"/>
  <c r="A160" i="37"/>
  <c r="B160" i="37"/>
  <c r="C160" i="37"/>
  <c r="G160" i="37"/>
  <c r="A161" i="37"/>
  <c r="B161" i="37"/>
  <c r="C161" i="37"/>
  <c r="G161" i="37"/>
  <c r="A162" i="37"/>
  <c r="B162" i="37"/>
  <c r="C162" i="37"/>
  <c r="G162" i="37"/>
  <c r="A163" i="37"/>
  <c r="B163" i="37"/>
  <c r="C163" i="37"/>
  <c r="G163" i="37"/>
  <c r="A164" i="37"/>
  <c r="B164" i="37"/>
  <c r="C164" i="37"/>
  <c r="G164" i="37"/>
  <c r="A165" i="37"/>
  <c r="B165" i="37"/>
  <c r="C165" i="37"/>
  <c r="G165" i="37"/>
  <c r="A166" i="37"/>
  <c r="B166" i="37"/>
  <c r="C166" i="37"/>
  <c r="G166" i="37"/>
  <c r="A167" i="37"/>
  <c r="B167" i="37"/>
  <c r="C167" i="37"/>
  <c r="G167" i="37"/>
  <c r="A168" i="37"/>
  <c r="B168" i="37"/>
  <c r="C168" i="37"/>
  <c r="G168" i="37"/>
  <c r="A169" i="37"/>
  <c r="B169" i="37"/>
  <c r="C169" i="37"/>
  <c r="G169" i="37"/>
  <c r="A170" i="37"/>
  <c r="B170" i="37"/>
  <c r="C170" i="37"/>
  <c r="G170" i="37"/>
  <c r="A171" i="37"/>
  <c r="B171" i="37"/>
  <c r="C171" i="37"/>
  <c r="G171" i="37"/>
  <c r="A172" i="37"/>
  <c r="B172" i="37"/>
  <c r="C172" i="37"/>
  <c r="G172" i="37"/>
  <c r="A173" i="37"/>
  <c r="B173" i="37"/>
  <c r="C173" i="37"/>
  <c r="G173" i="37"/>
  <c r="A174" i="37"/>
  <c r="B174" i="37"/>
  <c r="C174" i="37"/>
  <c r="G174" i="37"/>
  <c r="A175" i="37"/>
  <c r="B175" i="37"/>
  <c r="C175" i="37"/>
  <c r="G175" i="37"/>
  <c r="A176" i="37"/>
  <c r="B176" i="37"/>
  <c r="C176" i="37"/>
  <c r="G176" i="37"/>
  <c r="A177" i="37"/>
  <c r="B177" i="37"/>
  <c r="C177" i="37"/>
  <c r="G177" i="37"/>
  <c r="A178" i="37"/>
  <c r="B178" i="37"/>
  <c r="C178" i="37"/>
  <c r="G178" i="37"/>
  <c r="A179" i="37"/>
  <c r="B179" i="37"/>
  <c r="C179" i="37"/>
  <c r="G179" i="37"/>
  <c r="A180" i="37"/>
  <c r="B180" i="37"/>
  <c r="C180" i="37"/>
  <c r="G180" i="37"/>
  <c r="A181" i="37"/>
  <c r="B181" i="37"/>
  <c r="C181" i="37"/>
  <c r="G181" i="37"/>
  <c r="A182" i="37"/>
  <c r="B182" i="37"/>
  <c r="C182" i="37"/>
  <c r="G182" i="37"/>
  <c r="A183" i="37"/>
  <c r="B183" i="37"/>
  <c r="C183" i="37"/>
  <c r="G183" i="37"/>
  <c r="A184" i="37"/>
  <c r="B184" i="37"/>
  <c r="C184" i="37"/>
  <c r="G184" i="37"/>
  <c r="A185" i="37"/>
  <c r="B185" i="37"/>
  <c r="C185" i="37"/>
  <c r="G185" i="37"/>
  <c r="A186" i="37"/>
  <c r="B186" i="37"/>
  <c r="C186" i="37"/>
  <c r="G186" i="37"/>
  <c r="A187" i="37"/>
  <c r="B187" i="37"/>
  <c r="C187" i="37"/>
  <c r="G187" i="37"/>
  <c r="A188" i="37"/>
  <c r="B188" i="37"/>
  <c r="C188" i="37"/>
  <c r="G188" i="37"/>
  <c r="A189" i="37"/>
  <c r="B189" i="37"/>
  <c r="C189" i="37"/>
  <c r="G189" i="37"/>
  <c r="A190" i="37"/>
  <c r="B190" i="37"/>
  <c r="C190" i="37"/>
  <c r="G190" i="37"/>
  <c r="A191" i="37"/>
  <c r="B191" i="37"/>
  <c r="C191" i="37"/>
  <c r="G191" i="37"/>
  <c r="A192" i="37"/>
  <c r="B192" i="37"/>
  <c r="C192" i="37"/>
  <c r="G192" i="37"/>
  <c r="A193" i="37"/>
  <c r="B193" i="37"/>
  <c r="C193" i="37"/>
  <c r="G193" i="37"/>
  <c r="A194" i="37"/>
  <c r="B194" i="37"/>
  <c r="C194" i="37"/>
  <c r="G194" i="37"/>
  <c r="A195" i="37"/>
  <c r="B195" i="37"/>
  <c r="C195" i="37"/>
  <c r="G195" i="37"/>
  <c r="A196" i="37"/>
  <c r="B196" i="37"/>
  <c r="C196" i="37"/>
  <c r="G196" i="37"/>
  <c r="A197" i="37"/>
  <c r="B197" i="37"/>
  <c r="C197" i="37"/>
  <c r="G197" i="37"/>
  <c r="A198" i="37"/>
  <c r="B198" i="37"/>
  <c r="C198" i="37"/>
  <c r="G198" i="37"/>
  <c r="A199" i="37"/>
  <c r="B199" i="37"/>
  <c r="C199" i="37"/>
  <c r="G199" i="37"/>
  <c r="A200" i="37"/>
  <c r="B200" i="37"/>
  <c r="C200" i="37"/>
  <c r="G200" i="37"/>
  <c r="A201" i="37"/>
  <c r="B201" i="37"/>
  <c r="C201" i="37"/>
  <c r="G201" i="37"/>
  <c r="A202" i="37"/>
  <c r="B202" i="37"/>
  <c r="C202" i="37"/>
  <c r="G202" i="37"/>
  <c r="A203" i="37"/>
  <c r="B203" i="37"/>
  <c r="C203" i="37"/>
  <c r="G203" i="37"/>
  <c r="A204" i="37"/>
  <c r="B204" i="37"/>
  <c r="C204" i="37"/>
  <c r="G204" i="37"/>
  <c r="A205" i="37"/>
  <c r="B205" i="37"/>
  <c r="C205" i="37"/>
  <c r="G205" i="37"/>
  <c r="A206" i="37"/>
  <c r="B206" i="37"/>
  <c r="C206" i="37"/>
  <c r="G206" i="37"/>
  <c r="A207" i="37"/>
  <c r="B207" i="37"/>
  <c r="C207" i="37"/>
  <c r="G207" i="37"/>
  <c r="A208" i="37"/>
  <c r="B208" i="37"/>
  <c r="C208" i="37"/>
  <c r="G208" i="37"/>
  <c r="A209" i="37"/>
  <c r="B209" i="37"/>
  <c r="C209" i="37"/>
  <c r="G209" i="37"/>
  <c r="A210" i="37"/>
  <c r="B210" i="37"/>
  <c r="C210" i="37"/>
  <c r="G210" i="37"/>
  <c r="A211" i="37"/>
  <c r="B211" i="37"/>
  <c r="C211" i="37"/>
  <c r="G211" i="37"/>
  <c r="A212" i="37"/>
  <c r="B212" i="37"/>
  <c r="C212" i="37"/>
  <c r="G212" i="37"/>
  <c r="A213" i="37"/>
  <c r="B213" i="37"/>
  <c r="C213" i="37"/>
  <c r="G213" i="37"/>
  <c r="A214" i="37"/>
  <c r="B214" i="37"/>
  <c r="C214" i="37"/>
  <c r="G214" i="37"/>
  <c r="A215" i="37"/>
  <c r="B215" i="37"/>
  <c r="C215" i="37"/>
  <c r="G215" i="37"/>
  <c r="A216" i="37"/>
  <c r="B216" i="37"/>
  <c r="C216" i="37"/>
  <c r="G216" i="37"/>
  <c r="A217" i="37"/>
  <c r="B217" i="37"/>
  <c r="C217" i="37"/>
  <c r="G217" i="37"/>
  <c r="A218" i="37"/>
  <c r="B218" i="37"/>
  <c r="C218" i="37"/>
  <c r="G218" i="37"/>
  <c r="A219" i="37"/>
  <c r="B219" i="37"/>
  <c r="C219" i="37"/>
  <c r="G219" i="37"/>
  <c r="A220" i="37"/>
  <c r="B220" i="37"/>
  <c r="C220" i="37"/>
  <c r="G220" i="37"/>
  <c r="A221" i="37"/>
  <c r="B221" i="37"/>
  <c r="C221" i="37"/>
  <c r="G221" i="37"/>
  <c r="A222" i="37"/>
  <c r="B222" i="37"/>
  <c r="C222" i="37"/>
  <c r="G222" i="37"/>
  <c r="A223" i="37"/>
  <c r="B223" i="37"/>
  <c r="C223" i="37"/>
  <c r="G223" i="37"/>
  <c r="A224" i="37"/>
  <c r="B224" i="37"/>
  <c r="C224" i="37"/>
  <c r="G224" i="37"/>
  <c r="A225" i="37"/>
  <c r="B225" i="37"/>
  <c r="C225" i="37"/>
  <c r="G225" i="37"/>
  <c r="A226" i="37"/>
  <c r="B226" i="37"/>
  <c r="C226" i="37"/>
  <c r="G226" i="37"/>
  <c r="A227" i="37"/>
  <c r="B227" i="37"/>
  <c r="C227" i="37"/>
  <c r="G227" i="37"/>
  <c r="A228" i="37"/>
  <c r="B228" i="37"/>
  <c r="C228" i="37"/>
  <c r="G228" i="37"/>
  <c r="A229" i="37"/>
  <c r="B229" i="37"/>
  <c r="C229" i="37"/>
  <c r="G229" i="37"/>
  <c r="A230" i="37"/>
  <c r="B230" i="37"/>
  <c r="C230" i="37"/>
  <c r="G230" i="37"/>
  <c r="A231" i="37"/>
  <c r="B231" i="37"/>
  <c r="C231" i="37"/>
  <c r="G231" i="37"/>
  <c r="A232" i="37"/>
  <c r="B232" i="37"/>
  <c r="C232" i="37"/>
  <c r="G232" i="37"/>
  <c r="A233" i="37"/>
  <c r="B233" i="37"/>
  <c r="C233" i="37"/>
  <c r="G233" i="37"/>
  <c r="A234" i="37"/>
  <c r="B234" i="37"/>
  <c r="C234" i="37"/>
  <c r="G234" i="37"/>
  <c r="A235" i="37"/>
  <c r="B235" i="37"/>
  <c r="C235" i="37"/>
  <c r="G235" i="37"/>
  <c r="A236" i="37"/>
  <c r="B236" i="37"/>
  <c r="C236" i="37"/>
  <c r="G236" i="37"/>
  <c r="A237" i="37"/>
  <c r="B237" i="37"/>
  <c r="C237" i="37"/>
  <c r="G237" i="37"/>
  <c r="A238" i="37"/>
  <c r="B238" i="37"/>
  <c r="C238" i="37"/>
  <c r="G238" i="37"/>
  <c r="A239" i="37"/>
  <c r="B239" i="37"/>
  <c r="C239" i="37"/>
  <c r="G239" i="37"/>
  <c r="A240" i="37"/>
  <c r="B240" i="37"/>
  <c r="C240" i="37"/>
  <c r="G240" i="37"/>
  <c r="A241" i="37"/>
  <c r="B241" i="37"/>
  <c r="C241" i="37"/>
  <c r="G241" i="37"/>
  <c r="A242" i="37"/>
  <c r="B242" i="37"/>
  <c r="C242" i="37"/>
  <c r="G242" i="37"/>
  <c r="A243" i="37"/>
  <c r="B243" i="37"/>
  <c r="C243" i="37"/>
  <c r="G243" i="37"/>
  <c r="A244" i="37"/>
  <c r="B244" i="37"/>
  <c r="C244" i="37"/>
  <c r="G244" i="37"/>
  <c r="A245" i="37"/>
  <c r="B245" i="37"/>
  <c r="C245" i="37"/>
  <c r="G245" i="37"/>
  <c r="A246" i="37"/>
  <c r="B246" i="37"/>
  <c r="C246" i="37"/>
  <c r="G246" i="37"/>
  <c r="A247" i="37"/>
  <c r="B247" i="37"/>
  <c r="C247" i="37"/>
  <c r="G247" i="37"/>
  <c r="A248" i="37"/>
  <c r="B248" i="37"/>
  <c r="C248" i="37"/>
  <c r="G248" i="37"/>
  <c r="A249" i="37"/>
  <c r="B249" i="37"/>
  <c r="C249" i="37"/>
  <c r="G249" i="37"/>
  <c r="A250" i="37"/>
  <c r="B250" i="37"/>
  <c r="C250" i="37"/>
  <c r="G250" i="37"/>
  <c r="A251" i="37"/>
  <c r="B251" i="37"/>
  <c r="C251" i="37"/>
  <c r="G251" i="37"/>
  <c r="A252" i="37"/>
  <c r="B252" i="37"/>
  <c r="C252" i="37"/>
  <c r="G252" i="37"/>
  <c r="A253" i="37"/>
  <c r="B253" i="37"/>
  <c r="C253" i="37"/>
  <c r="G253" i="37"/>
  <c r="A254" i="37"/>
  <c r="B254" i="37"/>
  <c r="C254" i="37"/>
  <c r="G254" i="37"/>
  <c r="A255" i="37"/>
  <c r="B255" i="37"/>
  <c r="C255" i="37"/>
  <c r="G255" i="37"/>
  <c r="A256" i="37"/>
  <c r="B256" i="37"/>
  <c r="C256" i="37"/>
  <c r="G256" i="37"/>
  <c r="A257" i="37"/>
  <c r="B257" i="37"/>
  <c r="C257" i="37"/>
  <c r="G257" i="37"/>
  <c r="A258" i="37"/>
  <c r="B258" i="37"/>
  <c r="C258" i="37"/>
  <c r="G258" i="37"/>
  <c r="A259" i="37"/>
  <c r="B259" i="37"/>
  <c r="C259" i="37"/>
  <c r="G259" i="37"/>
  <c r="A260" i="37"/>
  <c r="B260" i="37"/>
  <c r="C260" i="37"/>
  <c r="G260" i="37"/>
  <c r="A261" i="37"/>
  <c r="B261" i="37"/>
  <c r="C261" i="37"/>
  <c r="G261" i="37"/>
  <c r="A262" i="37"/>
  <c r="B262" i="37"/>
  <c r="C262" i="37"/>
  <c r="G262" i="37"/>
  <c r="A263" i="37"/>
  <c r="B263" i="37"/>
  <c r="C263" i="37"/>
  <c r="G263" i="37"/>
  <c r="A264" i="37"/>
  <c r="B264" i="37"/>
  <c r="C264" i="37"/>
  <c r="G264" i="37"/>
  <c r="A265" i="37"/>
  <c r="B265" i="37"/>
  <c r="C265" i="37"/>
  <c r="G265" i="37"/>
  <c r="A266" i="37"/>
  <c r="B266" i="37"/>
  <c r="C266" i="37"/>
  <c r="G266" i="37"/>
  <c r="A267" i="37"/>
  <c r="B267" i="37"/>
  <c r="C267" i="37"/>
  <c r="G267" i="37"/>
  <c r="A268" i="37"/>
  <c r="B268" i="37"/>
  <c r="C268" i="37"/>
  <c r="G268" i="37"/>
  <c r="A269" i="37"/>
  <c r="B269" i="37"/>
  <c r="C269" i="37"/>
  <c r="G269" i="37"/>
  <c r="A270" i="37"/>
  <c r="B270" i="37"/>
  <c r="C270" i="37"/>
  <c r="G270" i="37"/>
  <c r="A271" i="37"/>
  <c r="B271" i="37"/>
  <c r="C271" i="37"/>
  <c r="G271" i="37"/>
  <c r="A272" i="37"/>
  <c r="B272" i="37"/>
  <c r="C272" i="37"/>
  <c r="G272" i="37"/>
  <c r="A273" i="37"/>
  <c r="B273" i="37"/>
  <c r="C273" i="37"/>
  <c r="G273" i="37"/>
  <c r="A274" i="37"/>
  <c r="B274" i="37"/>
  <c r="C274" i="37"/>
  <c r="G274" i="37"/>
  <c r="A275" i="37"/>
  <c r="B275" i="37"/>
  <c r="C275" i="37"/>
  <c r="G275" i="37"/>
  <c r="A276" i="37"/>
  <c r="B276" i="37"/>
  <c r="C276" i="37"/>
  <c r="G276" i="37"/>
  <c r="A277" i="37"/>
  <c r="B277" i="37"/>
  <c r="C277" i="37"/>
  <c r="G277" i="37"/>
  <c r="A278" i="37"/>
  <c r="B278" i="37"/>
  <c r="C278" i="37"/>
  <c r="G278" i="37"/>
  <c r="A279" i="37"/>
  <c r="B279" i="37"/>
  <c r="C279" i="37"/>
  <c r="G279" i="37"/>
  <c r="A280" i="37"/>
  <c r="B280" i="37"/>
  <c r="C280" i="37"/>
  <c r="G280" i="37"/>
  <c r="A281" i="37"/>
  <c r="B281" i="37"/>
  <c r="C281" i="37"/>
  <c r="G281" i="37"/>
  <c r="A282" i="37"/>
  <c r="B282" i="37"/>
  <c r="C282" i="37"/>
  <c r="G282" i="37"/>
  <c r="A283" i="37"/>
  <c r="B283" i="37"/>
  <c r="C283" i="37"/>
  <c r="G283" i="37"/>
  <c r="A284" i="37"/>
  <c r="B284" i="37"/>
  <c r="C284" i="37"/>
  <c r="G284" i="37"/>
  <c r="A285" i="37"/>
  <c r="B285" i="37"/>
  <c r="C285" i="37"/>
  <c r="G285" i="37"/>
  <c r="A286" i="37"/>
  <c r="B286" i="37"/>
  <c r="C286" i="37"/>
  <c r="G286" i="37"/>
  <c r="A287" i="37"/>
  <c r="B287" i="37"/>
  <c r="C287" i="37"/>
  <c r="G287" i="37"/>
  <c r="A288" i="37"/>
  <c r="B288" i="37"/>
  <c r="C288" i="37"/>
  <c r="G288" i="37"/>
  <c r="A289" i="37"/>
  <c r="B289" i="37"/>
  <c r="C289" i="37"/>
  <c r="G289" i="37"/>
  <c r="A290" i="37"/>
  <c r="B290" i="37"/>
  <c r="C290" i="37"/>
  <c r="G290" i="37"/>
  <c r="A291" i="37"/>
  <c r="B291" i="37"/>
  <c r="C291" i="37"/>
  <c r="G291" i="37"/>
  <c r="A292" i="37"/>
  <c r="B292" i="37"/>
  <c r="C292" i="37"/>
  <c r="G292" i="37"/>
  <c r="A293" i="37"/>
  <c r="B293" i="37"/>
  <c r="C293" i="37"/>
  <c r="G293" i="37"/>
  <c r="A294" i="37"/>
  <c r="B294" i="37"/>
  <c r="C294" i="37"/>
  <c r="G294" i="37"/>
  <c r="A295" i="37"/>
  <c r="B295" i="37"/>
  <c r="C295" i="37"/>
  <c r="G295" i="37"/>
  <c r="A296" i="37"/>
  <c r="B296" i="37"/>
  <c r="C296" i="37"/>
  <c r="G296" i="37"/>
  <c r="A297" i="37"/>
  <c r="B297" i="37"/>
  <c r="C297" i="37"/>
  <c r="G297" i="37"/>
  <c r="A298" i="37"/>
  <c r="B298" i="37"/>
  <c r="C298" i="37"/>
  <c r="G298" i="37"/>
  <c r="A299" i="37"/>
  <c r="B299" i="37"/>
  <c r="C299" i="37"/>
  <c r="G299" i="37"/>
  <c r="A300" i="37"/>
  <c r="B300" i="37"/>
  <c r="C300" i="37"/>
  <c r="G300" i="37"/>
  <c r="A301" i="37"/>
  <c r="B301" i="37"/>
  <c r="C301" i="37"/>
  <c r="G301" i="37"/>
  <c r="A302" i="37"/>
  <c r="B302" i="37"/>
  <c r="C302" i="37"/>
  <c r="G302" i="37"/>
  <c r="A303" i="37"/>
  <c r="B303" i="37"/>
  <c r="C303" i="37"/>
  <c r="G303" i="37"/>
  <c r="A304" i="37"/>
  <c r="B304" i="37"/>
  <c r="C304" i="37"/>
  <c r="G304" i="37"/>
  <c r="A305" i="37"/>
  <c r="B305" i="37"/>
  <c r="C305" i="37"/>
  <c r="G305" i="37"/>
  <c r="A306" i="37"/>
  <c r="B306" i="37"/>
  <c r="C306" i="37"/>
  <c r="G306" i="37"/>
  <c r="A307" i="37"/>
  <c r="B307" i="37"/>
  <c r="C307" i="37"/>
  <c r="G307" i="37"/>
  <c r="A308" i="37"/>
  <c r="B308" i="37"/>
  <c r="C308" i="37"/>
  <c r="G308" i="37"/>
  <c r="A309" i="37"/>
  <c r="B309" i="37"/>
  <c r="C309" i="37"/>
  <c r="G309" i="37"/>
  <c r="A310" i="37"/>
  <c r="B310" i="37"/>
  <c r="C310" i="37"/>
  <c r="G310" i="37"/>
  <c r="A311" i="37"/>
  <c r="B311" i="37"/>
  <c r="C311" i="37"/>
  <c r="G311" i="37"/>
  <c r="A312" i="37"/>
  <c r="B312" i="37"/>
  <c r="C312" i="37"/>
  <c r="G312" i="37"/>
  <c r="A313" i="37"/>
  <c r="B313" i="37"/>
  <c r="C313" i="37"/>
  <c r="G313" i="37"/>
  <c r="F242" i="39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5" i="11"/>
  <c r="A6" i="11"/>
  <c r="B6" i="11"/>
  <c r="A7" i="11"/>
  <c r="B7" i="11"/>
  <c r="A8" i="11"/>
  <c r="B8" i="11"/>
  <c r="A9" i="11"/>
  <c r="B9" i="11"/>
  <c r="A10" i="11"/>
  <c r="B10" i="11"/>
  <c r="A11" i="11"/>
  <c r="B11" i="11"/>
  <c r="A12" i="11"/>
  <c r="B12" i="11"/>
  <c r="A13" i="11"/>
  <c r="B13" i="11"/>
  <c r="A14" i="11"/>
  <c r="B14" i="11"/>
  <c r="A15" i="11"/>
  <c r="B15" i="11"/>
  <c r="A16" i="11"/>
  <c r="B16" i="11"/>
  <c r="A17" i="11"/>
  <c r="B17" i="11"/>
  <c r="A18" i="11"/>
  <c r="B18" i="11"/>
  <c r="A19" i="11"/>
  <c r="B19" i="11"/>
  <c r="A20" i="11"/>
  <c r="B20" i="11"/>
  <c r="A21" i="11"/>
  <c r="B21" i="11"/>
  <c r="A22" i="11"/>
  <c r="B22" i="11"/>
  <c r="A23" i="11"/>
  <c r="B23" i="11"/>
  <c r="A24" i="11"/>
  <c r="B24" i="11"/>
  <c r="A25" i="11"/>
  <c r="B25" i="11"/>
  <c r="A26" i="11"/>
  <c r="B26" i="11"/>
  <c r="A27" i="11"/>
  <c r="B27" i="11"/>
  <c r="A28" i="11"/>
  <c r="B28" i="11"/>
  <c r="A29" i="11"/>
  <c r="B29" i="11"/>
  <c r="A30" i="11"/>
  <c r="B30" i="11"/>
  <c r="A31" i="11"/>
  <c r="B31" i="11"/>
  <c r="A32" i="11"/>
  <c r="B32" i="11"/>
  <c r="A33" i="11"/>
  <c r="B33" i="11"/>
  <c r="A34" i="11"/>
  <c r="B34" i="11"/>
  <c r="A35" i="11"/>
  <c r="B35" i="11"/>
  <c r="A36" i="11"/>
  <c r="B36" i="11"/>
  <c r="A37" i="11"/>
  <c r="B37" i="11"/>
  <c r="A38" i="11"/>
  <c r="B38" i="11"/>
  <c r="A39" i="11"/>
  <c r="B39" i="11"/>
  <c r="A40" i="11"/>
  <c r="B40" i="11"/>
  <c r="A41" i="11"/>
  <c r="B41" i="11"/>
  <c r="A42" i="11"/>
  <c r="B42" i="11"/>
  <c r="A43" i="11"/>
  <c r="B43" i="11"/>
  <c r="A44" i="11"/>
  <c r="B44" i="11"/>
  <c r="A45" i="11"/>
  <c r="B45" i="11"/>
  <c r="A46" i="11"/>
  <c r="B46" i="11"/>
  <c r="A47" i="11"/>
  <c r="B47" i="11"/>
  <c r="A48" i="11"/>
  <c r="B48" i="11"/>
  <c r="A49" i="11"/>
  <c r="B49" i="11"/>
  <c r="A50" i="11"/>
  <c r="B50" i="11"/>
  <c r="A51" i="11"/>
  <c r="B51" i="11"/>
  <c r="A52" i="11"/>
  <c r="B52" i="11"/>
  <c r="A53" i="11"/>
  <c r="B53" i="11"/>
  <c r="A54" i="11"/>
  <c r="B54" i="11"/>
  <c r="A55" i="11"/>
  <c r="B55" i="11"/>
  <c r="A56" i="11"/>
  <c r="B56" i="11"/>
  <c r="A57" i="11"/>
  <c r="B57" i="11"/>
  <c r="A58" i="11"/>
  <c r="B58" i="11"/>
  <c r="A59" i="11"/>
  <c r="B59" i="11"/>
  <c r="A60" i="11"/>
  <c r="B60" i="11"/>
  <c r="A61" i="11"/>
  <c r="B61" i="11"/>
  <c r="A62" i="11"/>
  <c r="B62" i="11"/>
  <c r="A63" i="11"/>
  <c r="B63" i="11"/>
  <c r="A64" i="11"/>
  <c r="B64" i="11"/>
  <c r="A65" i="11"/>
  <c r="B65" i="11"/>
  <c r="A66" i="11"/>
  <c r="B66" i="11"/>
  <c r="A67" i="11"/>
  <c r="B67" i="11"/>
  <c r="A68" i="11"/>
  <c r="B68" i="11"/>
  <c r="A69" i="11"/>
  <c r="B69" i="11"/>
  <c r="A70" i="11"/>
  <c r="B70" i="11"/>
  <c r="A71" i="11"/>
  <c r="B71" i="11"/>
  <c r="A72" i="11"/>
  <c r="B72" i="11"/>
  <c r="A73" i="11"/>
  <c r="B73" i="11"/>
  <c r="A74" i="11"/>
  <c r="B74" i="11"/>
  <c r="A75" i="11"/>
  <c r="B75" i="11"/>
  <c r="A76" i="11"/>
  <c r="B76" i="11"/>
  <c r="A77" i="11"/>
  <c r="B77" i="11"/>
  <c r="A78" i="11"/>
  <c r="B78" i="11"/>
  <c r="A79" i="11"/>
  <c r="B79" i="11"/>
  <c r="A80" i="11"/>
  <c r="B80" i="11"/>
  <c r="A81" i="11"/>
  <c r="B81" i="11"/>
  <c r="A82" i="11"/>
  <c r="B82" i="11"/>
  <c r="A83" i="11"/>
  <c r="B83" i="11"/>
  <c r="A84" i="11"/>
  <c r="B84" i="11"/>
  <c r="A85" i="11"/>
  <c r="B85" i="11"/>
  <c r="A86" i="11"/>
  <c r="B86" i="11"/>
  <c r="A87" i="11"/>
  <c r="B87" i="11"/>
  <c r="A88" i="11"/>
  <c r="B88" i="11"/>
  <c r="A89" i="11"/>
  <c r="B89" i="11"/>
  <c r="A90" i="11"/>
  <c r="B90" i="11"/>
  <c r="A91" i="11"/>
  <c r="B91" i="11"/>
  <c r="A92" i="11"/>
  <c r="B92" i="11"/>
  <c r="A93" i="11"/>
  <c r="B93" i="11"/>
  <c r="A94" i="11"/>
  <c r="B94" i="11"/>
  <c r="A95" i="11"/>
  <c r="B95" i="11"/>
  <c r="A96" i="11"/>
  <c r="B96" i="11"/>
  <c r="A97" i="11"/>
  <c r="B97" i="11"/>
  <c r="A98" i="11"/>
  <c r="B98" i="11"/>
  <c r="A99" i="11"/>
  <c r="B99" i="11"/>
  <c r="A100" i="11"/>
  <c r="B100" i="11"/>
  <c r="A101" i="11"/>
  <c r="B101" i="11"/>
  <c r="A102" i="11"/>
  <c r="B102" i="11"/>
  <c r="A103" i="11"/>
  <c r="B103" i="11"/>
  <c r="A104" i="11"/>
  <c r="B104" i="11"/>
  <c r="A105" i="11"/>
  <c r="B105" i="11"/>
  <c r="A106" i="11"/>
  <c r="B106" i="11"/>
  <c r="A107" i="11"/>
  <c r="B107" i="11"/>
  <c r="A108" i="11"/>
  <c r="B108" i="11"/>
  <c r="A109" i="11"/>
  <c r="B109" i="11"/>
  <c r="A110" i="11"/>
  <c r="B110" i="11"/>
  <c r="A111" i="11"/>
  <c r="B111" i="11"/>
  <c r="A112" i="11"/>
  <c r="B112" i="11"/>
  <c r="A113" i="11"/>
  <c r="B113" i="11"/>
  <c r="A114" i="11"/>
  <c r="B114" i="11"/>
  <c r="A115" i="11"/>
  <c r="B115" i="11"/>
  <c r="A116" i="11"/>
  <c r="B116" i="11"/>
  <c r="A117" i="11"/>
  <c r="B117" i="11"/>
  <c r="A118" i="11"/>
  <c r="B118" i="11"/>
  <c r="A119" i="11"/>
  <c r="B119" i="11"/>
  <c r="A120" i="11"/>
  <c r="B120" i="11"/>
  <c r="A121" i="11"/>
  <c r="B121" i="11"/>
  <c r="A122" i="11"/>
  <c r="B122" i="11"/>
  <c r="A123" i="11"/>
  <c r="B123" i="11"/>
  <c r="A124" i="11"/>
  <c r="B124" i="11"/>
  <c r="A125" i="11"/>
  <c r="B125" i="11"/>
  <c r="A126" i="11"/>
  <c r="B126" i="11"/>
  <c r="A127" i="11"/>
  <c r="B127" i="11"/>
  <c r="A128" i="11"/>
  <c r="B128" i="11"/>
  <c r="A129" i="11"/>
  <c r="B129" i="11"/>
  <c r="A130" i="11"/>
  <c r="B130" i="11"/>
  <c r="A131" i="11"/>
  <c r="B131" i="11"/>
  <c r="A132" i="11"/>
  <c r="B132" i="11"/>
  <c r="A133" i="11"/>
  <c r="B133" i="11"/>
  <c r="A134" i="11"/>
  <c r="B134" i="11"/>
  <c r="A135" i="11"/>
  <c r="B135" i="11"/>
  <c r="A136" i="11"/>
  <c r="B136" i="11"/>
  <c r="A137" i="11"/>
  <c r="B137" i="11"/>
  <c r="A138" i="11"/>
  <c r="B138" i="11"/>
  <c r="A139" i="11"/>
  <c r="B139" i="11"/>
  <c r="A140" i="11"/>
  <c r="B140" i="11"/>
  <c r="A141" i="11"/>
  <c r="B141" i="11"/>
  <c r="A142" i="11"/>
  <c r="B142" i="11"/>
  <c r="A143" i="11"/>
  <c r="B143" i="11"/>
  <c r="A144" i="11"/>
  <c r="B144" i="11"/>
  <c r="A145" i="11"/>
  <c r="B145" i="11"/>
  <c r="A146" i="11"/>
  <c r="B146" i="11"/>
  <c r="A147" i="11"/>
  <c r="B147" i="11"/>
  <c r="A148" i="11"/>
  <c r="B148" i="11"/>
  <c r="A149" i="11"/>
  <c r="B149" i="11"/>
  <c r="A150" i="11"/>
  <c r="B150" i="11"/>
  <c r="A151" i="11"/>
  <c r="B151" i="11"/>
  <c r="A152" i="11"/>
  <c r="B152" i="11"/>
  <c r="A153" i="11"/>
  <c r="B153" i="11"/>
  <c r="A154" i="11"/>
  <c r="B154" i="11"/>
  <c r="A155" i="11"/>
  <c r="B155" i="11"/>
  <c r="A156" i="11"/>
  <c r="B156" i="11"/>
  <c r="A157" i="11"/>
  <c r="B157" i="11"/>
  <c r="A158" i="11"/>
  <c r="B158" i="11"/>
  <c r="A159" i="11"/>
  <c r="B159" i="11"/>
  <c r="A160" i="11"/>
  <c r="B160" i="11"/>
  <c r="A161" i="11"/>
  <c r="B161" i="11"/>
  <c r="A162" i="11"/>
  <c r="B162" i="11"/>
  <c r="A163" i="11"/>
  <c r="B163" i="11"/>
  <c r="A164" i="11"/>
  <c r="B164" i="11"/>
  <c r="A165" i="11"/>
  <c r="B165" i="11"/>
  <c r="A166" i="11"/>
  <c r="B166" i="11"/>
  <c r="A167" i="11"/>
  <c r="B167" i="11"/>
  <c r="A168" i="11"/>
  <c r="B168" i="11"/>
  <c r="A169" i="11"/>
  <c r="B169" i="11"/>
  <c r="A170" i="11"/>
  <c r="B170" i="11"/>
  <c r="A171" i="11"/>
  <c r="B171" i="11"/>
  <c r="A172" i="11"/>
  <c r="B172" i="11"/>
  <c r="A173" i="11"/>
  <c r="B173" i="11"/>
  <c r="A174" i="11"/>
  <c r="B174" i="11"/>
  <c r="A175" i="11"/>
  <c r="B175" i="11"/>
  <c r="A176" i="11"/>
  <c r="B176" i="11"/>
  <c r="A177" i="11"/>
  <c r="B177" i="11"/>
  <c r="A178" i="11"/>
  <c r="B178" i="11"/>
  <c r="A179" i="11"/>
  <c r="B179" i="11"/>
  <c r="A180" i="11"/>
  <c r="B180" i="11"/>
  <c r="A181" i="11"/>
  <c r="B181" i="11"/>
  <c r="A182" i="11"/>
  <c r="B182" i="11"/>
  <c r="A183" i="11"/>
  <c r="B183" i="11"/>
  <c r="A184" i="11"/>
  <c r="B184" i="11"/>
  <c r="A185" i="11"/>
  <c r="B185" i="11"/>
  <c r="A186" i="11"/>
  <c r="B186" i="11"/>
  <c r="A187" i="11"/>
  <c r="B187" i="11"/>
  <c r="A188" i="11"/>
  <c r="B188" i="11"/>
  <c r="A189" i="11"/>
  <c r="B189" i="11"/>
  <c r="A190" i="11"/>
  <c r="B190" i="11"/>
  <c r="A191" i="11"/>
  <c r="B191" i="11"/>
  <c r="A192" i="11"/>
  <c r="B192" i="11"/>
  <c r="A193" i="11"/>
  <c r="B193" i="11"/>
  <c r="A194" i="11"/>
  <c r="B194" i="11"/>
  <c r="A195" i="11"/>
  <c r="B195" i="11"/>
  <c r="A196" i="11"/>
  <c r="B196" i="11"/>
  <c r="A197" i="11"/>
  <c r="B197" i="11"/>
  <c r="A198" i="11"/>
  <c r="B198" i="11"/>
  <c r="A199" i="11"/>
  <c r="B199" i="11"/>
  <c r="A200" i="11"/>
  <c r="B200" i="11"/>
  <c r="A201" i="11"/>
  <c r="B201" i="11"/>
  <c r="A202" i="11"/>
  <c r="B202" i="11"/>
  <c r="A203" i="11"/>
  <c r="B203" i="11"/>
  <c r="A204" i="11"/>
  <c r="B204" i="11"/>
  <c r="A205" i="11"/>
  <c r="B205" i="11"/>
  <c r="A206" i="11"/>
  <c r="B206" i="11"/>
  <c r="A207" i="11"/>
  <c r="B207" i="11"/>
  <c r="A208" i="11"/>
  <c r="B208" i="11"/>
  <c r="A209" i="11"/>
  <c r="B209" i="11"/>
  <c r="A210" i="11"/>
  <c r="B210" i="11"/>
  <c r="A211" i="11"/>
  <c r="B211" i="11"/>
  <c r="A212" i="11"/>
  <c r="B212" i="11"/>
  <c r="A213" i="11"/>
  <c r="B213" i="11"/>
  <c r="A214" i="11"/>
  <c r="B214" i="11"/>
  <c r="A215" i="11"/>
  <c r="B215" i="11"/>
  <c r="A216" i="11"/>
  <c r="B216" i="11"/>
  <c r="A217" i="11"/>
  <c r="B217" i="11"/>
  <c r="A218" i="11"/>
  <c r="B218" i="11"/>
  <c r="A219" i="11"/>
  <c r="B219" i="11"/>
  <c r="A220" i="11"/>
  <c r="B220" i="11"/>
  <c r="A221" i="11"/>
  <c r="B221" i="11"/>
  <c r="A222" i="11"/>
  <c r="B222" i="11"/>
  <c r="A223" i="11"/>
  <c r="B223" i="11"/>
  <c r="A224" i="11"/>
  <c r="B224" i="11"/>
  <c r="A225" i="11"/>
  <c r="B225" i="11"/>
  <c r="A226" i="11"/>
  <c r="B226" i="11"/>
  <c r="A227" i="11"/>
  <c r="B227" i="11"/>
  <c r="A228" i="11"/>
  <c r="B228" i="11"/>
  <c r="A229" i="11"/>
  <c r="B229" i="11"/>
  <c r="A230" i="11"/>
  <c r="B230" i="11"/>
  <c r="A231" i="11"/>
  <c r="B231" i="11"/>
  <c r="A232" i="11"/>
  <c r="B232" i="11"/>
  <c r="A233" i="11"/>
  <c r="B233" i="11"/>
  <c r="A234" i="11"/>
  <c r="B234" i="11"/>
  <c r="A235" i="11"/>
  <c r="B235" i="11"/>
  <c r="A236" i="11"/>
  <c r="B236" i="11"/>
  <c r="A237" i="11"/>
  <c r="B237" i="11"/>
  <c r="A238" i="11"/>
  <c r="B238" i="11"/>
  <c r="A239" i="11"/>
  <c r="B239" i="11"/>
  <c r="A240" i="11"/>
  <c r="B240" i="11"/>
  <c r="A241" i="11"/>
  <c r="B241" i="11"/>
  <c r="A242" i="11"/>
  <c r="B242" i="11"/>
  <c r="A243" i="11"/>
  <c r="B243" i="11"/>
  <c r="A244" i="11"/>
  <c r="B244" i="11"/>
  <c r="A245" i="11"/>
  <c r="B245" i="11"/>
  <c r="A246" i="11"/>
  <c r="B246" i="11"/>
  <c r="A247" i="11"/>
  <c r="B247" i="11"/>
  <c r="A248" i="11"/>
  <c r="B248" i="11"/>
  <c r="A249" i="11"/>
  <c r="B249" i="11"/>
  <c r="A250" i="11"/>
  <c r="B250" i="11"/>
  <c r="A251" i="11"/>
  <c r="B251" i="11"/>
  <c r="A252" i="11"/>
  <c r="B252" i="11"/>
  <c r="A253" i="11"/>
  <c r="B253" i="11"/>
  <c r="A254" i="11"/>
  <c r="B254" i="11"/>
  <c r="A255" i="11"/>
  <c r="B255" i="11"/>
  <c r="A256" i="11"/>
  <c r="B256" i="11"/>
  <c r="A257" i="11"/>
  <c r="B257" i="11"/>
  <c r="A258" i="11"/>
  <c r="B258" i="11"/>
  <c r="A259" i="11"/>
  <c r="B259" i="11"/>
  <c r="A260" i="11"/>
  <c r="B260" i="11"/>
  <c r="A261" i="11"/>
  <c r="B261" i="11"/>
  <c r="A262" i="11"/>
  <c r="B262" i="11"/>
  <c r="A263" i="11"/>
  <c r="B263" i="11"/>
  <c r="A264" i="11"/>
  <c r="B264" i="11"/>
  <c r="A265" i="11"/>
  <c r="B265" i="11"/>
  <c r="A266" i="11"/>
  <c r="B266" i="11"/>
  <c r="A267" i="11"/>
  <c r="B267" i="11"/>
  <c r="A268" i="11"/>
  <c r="B268" i="11"/>
  <c r="A269" i="11"/>
  <c r="B269" i="11"/>
  <c r="A270" i="11"/>
  <c r="B270" i="11"/>
  <c r="A271" i="11"/>
  <c r="B271" i="11"/>
  <c r="A272" i="11"/>
  <c r="B272" i="11"/>
  <c r="A273" i="11"/>
  <c r="B273" i="11"/>
  <c r="A274" i="11"/>
  <c r="B274" i="11"/>
  <c r="A275" i="11"/>
  <c r="B275" i="11"/>
  <c r="A276" i="11"/>
  <c r="B276" i="11"/>
  <c r="A277" i="11"/>
  <c r="B277" i="11"/>
  <c r="A278" i="11"/>
  <c r="B278" i="11"/>
  <c r="A279" i="11"/>
  <c r="B279" i="11"/>
  <c r="A280" i="11"/>
  <c r="B280" i="11"/>
  <c r="A281" i="11"/>
  <c r="B281" i="11"/>
  <c r="A282" i="11"/>
  <c r="B282" i="11"/>
  <c r="A283" i="11"/>
  <c r="B283" i="11"/>
  <c r="A284" i="11"/>
  <c r="B284" i="11"/>
  <c r="A285" i="11"/>
  <c r="B285" i="11"/>
  <c r="A286" i="11"/>
  <c r="B286" i="11"/>
  <c r="A287" i="11"/>
  <c r="B287" i="11"/>
  <c r="A288" i="11"/>
  <c r="B288" i="11"/>
  <c r="A289" i="11"/>
  <c r="B289" i="11"/>
  <c r="A290" i="11"/>
  <c r="B290" i="11"/>
  <c r="A291" i="11"/>
  <c r="B291" i="11"/>
  <c r="A292" i="11"/>
  <c r="B292" i="11"/>
  <c r="A293" i="11"/>
  <c r="B293" i="11"/>
  <c r="A294" i="11"/>
  <c r="B294" i="11"/>
  <c r="A295" i="11"/>
  <c r="B295" i="11"/>
  <c r="A296" i="11"/>
  <c r="B296" i="11"/>
  <c r="A297" i="11"/>
  <c r="B297" i="11"/>
  <c r="A298" i="11"/>
  <c r="B298" i="11"/>
  <c r="A299" i="11"/>
  <c r="B299" i="11"/>
  <c r="A300" i="11"/>
  <c r="B300" i="11"/>
  <c r="A301" i="11"/>
  <c r="B301" i="11"/>
  <c r="A302" i="11"/>
  <c r="B302" i="11"/>
  <c r="A303" i="11"/>
  <c r="B303" i="11"/>
  <c r="A304" i="11"/>
  <c r="B304" i="11"/>
  <c r="A305" i="11"/>
  <c r="B305" i="11"/>
  <c r="A306" i="11"/>
  <c r="B306" i="11"/>
  <c r="A307" i="11"/>
  <c r="B307" i="11"/>
  <c r="A308" i="11"/>
  <c r="B308" i="11"/>
  <c r="A309" i="11"/>
  <c r="B309" i="11"/>
  <c r="A310" i="11"/>
  <c r="B310" i="11"/>
  <c r="A311" i="11"/>
  <c r="B311" i="11"/>
  <c r="A312" i="11"/>
  <c r="B312" i="11"/>
  <c r="A313" i="11"/>
  <c r="B313" i="11"/>
  <c r="B5" i="11"/>
  <c r="A5" i="11"/>
  <c r="A17" i="34"/>
  <c r="B17" i="34"/>
  <c r="A18" i="34"/>
  <c r="B18" i="34"/>
  <c r="A19" i="34"/>
  <c r="B19" i="34"/>
  <c r="A20" i="34"/>
  <c r="B20" i="34"/>
  <c r="A21" i="34"/>
  <c r="B21" i="34"/>
  <c r="A22" i="34"/>
  <c r="B22" i="34"/>
  <c r="A23" i="34"/>
  <c r="B23" i="34"/>
  <c r="A24" i="34"/>
  <c r="B24" i="34"/>
  <c r="A25" i="34"/>
  <c r="B25" i="34"/>
  <c r="A26" i="34"/>
  <c r="B26" i="34"/>
  <c r="A27" i="34"/>
  <c r="B27" i="34"/>
  <c r="A28" i="34"/>
  <c r="B28" i="34"/>
  <c r="A29" i="34"/>
  <c r="B29" i="34"/>
  <c r="A30" i="34"/>
  <c r="B30" i="34"/>
  <c r="A31" i="34"/>
  <c r="B31" i="34"/>
  <c r="A32" i="34"/>
  <c r="B32" i="34"/>
  <c r="A33" i="34"/>
  <c r="B33" i="34"/>
  <c r="A34" i="34"/>
  <c r="B34" i="34"/>
  <c r="A35" i="34"/>
  <c r="B35" i="34"/>
  <c r="A36" i="34"/>
  <c r="B36" i="34"/>
  <c r="A37" i="34"/>
  <c r="B37" i="34"/>
  <c r="A38" i="34"/>
  <c r="B38" i="34"/>
  <c r="A39" i="34"/>
  <c r="B39" i="34"/>
  <c r="A40" i="34"/>
  <c r="B40" i="34"/>
  <c r="A41" i="34"/>
  <c r="B41" i="34"/>
  <c r="A42" i="34"/>
  <c r="B42" i="34"/>
  <c r="A43" i="34"/>
  <c r="B43" i="34"/>
  <c r="A44" i="34"/>
  <c r="B44" i="34"/>
  <c r="A45" i="34"/>
  <c r="B45" i="34"/>
  <c r="A46" i="34"/>
  <c r="B46" i="34"/>
  <c r="A47" i="34"/>
  <c r="B47" i="34"/>
  <c r="A48" i="34"/>
  <c r="B48" i="34"/>
  <c r="A49" i="34"/>
  <c r="B49" i="34"/>
  <c r="A50" i="34"/>
  <c r="B50" i="34"/>
  <c r="A51" i="34"/>
  <c r="B51" i="34"/>
  <c r="A52" i="34"/>
  <c r="B52" i="34"/>
  <c r="A53" i="34"/>
  <c r="B53" i="34"/>
  <c r="A54" i="34"/>
  <c r="B54" i="34"/>
  <c r="A55" i="34"/>
  <c r="B55" i="34"/>
  <c r="A56" i="34"/>
  <c r="B56" i="34"/>
  <c r="A57" i="34"/>
  <c r="B57" i="34"/>
  <c r="A58" i="34"/>
  <c r="B58" i="34"/>
  <c r="A59" i="34"/>
  <c r="B59" i="34"/>
  <c r="A60" i="34"/>
  <c r="B60" i="34"/>
  <c r="A61" i="34"/>
  <c r="B61" i="34"/>
  <c r="A62" i="34"/>
  <c r="B62" i="34"/>
  <c r="A63" i="34"/>
  <c r="B63" i="34"/>
  <c r="A64" i="34"/>
  <c r="B64" i="34"/>
  <c r="A65" i="34"/>
  <c r="B65" i="34"/>
  <c r="A66" i="34"/>
  <c r="B66" i="34"/>
  <c r="A67" i="34"/>
  <c r="B67" i="34"/>
  <c r="A68" i="34"/>
  <c r="B68" i="34"/>
  <c r="A69" i="34"/>
  <c r="B69" i="34"/>
  <c r="A70" i="34"/>
  <c r="B70" i="34"/>
  <c r="A71" i="34"/>
  <c r="B71" i="34"/>
  <c r="A72" i="34"/>
  <c r="B72" i="34"/>
  <c r="A73" i="34"/>
  <c r="B73" i="34"/>
  <c r="A74" i="34"/>
  <c r="B74" i="34"/>
  <c r="A75" i="34"/>
  <c r="B75" i="34"/>
  <c r="A76" i="34"/>
  <c r="B76" i="34"/>
  <c r="A77" i="34"/>
  <c r="B77" i="34"/>
  <c r="A78" i="34"/>
  <c r="B78" i="34"/>
  <c r="A79" i="34"/>
  <c r="B79" i="34"/>
  <c r="A80" i="34"/>
  <c r="B80" i="34"/>
  <c r="A81" i="34"/>
  <c r="B81" i="34"/>
  <c r="A82" i="34"/>
  <c r="B82" i="34"/>
  <c r="A83" i="34"/>
  <c r="B83" i="34"/>
  <c r="A84" i="34"/>
  <c r="B84" i="34"/>
  <c r="A85" i="34"/>
  <c r="B85" i="34"/>
  <c r="A86" i="34"/>
  <c r="B86" i="34"/>
  <c r="A87" i="34"/>
  <c r="B87" i="34"/>
  <c r="A88" i="34"/>
  <c r="B88" i="34"/>
  <c r="A89" i="34"/>
  <c r="B89" i="34"/>
  <c r="A90" i="34"/>
  <c r="B90" i="34"/>
  <c r="A91" i="34"/>
  <c r="B91" i="34"/>
  <c r="A92" i="34"/>
  <c r="B92" i="34"/>
  <c r="A93" i="34"/>
  <c r="B93" i="34"/>
  <c r="A94" i="34"/>
  <c r="B94" i="34"/>
  <c r="A95" i="34"/>
  <c r="B95" i="34"/>
  <c r="A96" i="34"/>
  <c r="B96" i="34"/>
  <c r="A97" i="34"/>
  <c r="B97" i="34"/>
  <c r="A98" i="34"/>
  <c r="B98" i="34"/>
  <c r="A99" i="34"/>
  <c r="B99" i="34"/>
  <c r="A100" i="34"/>
  <c r="B100" i="34"/>
  <c r="A101" i="34"/>
  <c r="B101" i="34"/>
  <c r="A102" i="34"/>
  <c r="B102" i="34"/>
  <c r="A103" i="34"/>
  <c r="B103" i="34"/>
  <c r="A104" i="34"/>
  <c r="B104" i="34"/>
  <c r="A105" i="34"/>
  <c r="B105" i="34"/>
  <c r="A106" i="34"/>
  <c r="B106" i="34"/>
  <c r="A107" i="34"/>
  <c r="B107" i="34"/>
  <c r="A108" i="34"/>
  <c r="B108" i="34"/>
  <c r="A109" i="34"/>
  <c r="B109" i="34"/>
  <c r="A110" i="34"/>
  <c r="B110" i="34"/>
  <c r="A111" i="34"/>
  <c r="B111" i="34"/>
  <c r="A112" i="34"/>
  <c r="B112" i="34"/>
  <c r="A113" i="34"/>
  <c r="B113" i="34"/>
  <c r="A114" i="34"/>
  <c r="B114" i="34"/>
  <c r="A115" i="34"/>
  <c r="B115" i="34"/>
  <c r="A116" i="34"/>
  <c r="B116" i="34"/>
  <c r="A117" i="34"/>
  <c r="B117" i="34"/>
  <c r="A118" i="34"/>
  <c r="B118" i="34"/>
  <c r="A119" i="34"/>
  <c r="B119" i="34"/>
  <c r="A120" i="34"/>
  <c r="B120" i="34"/>
  <c r="A121" i="34"/>
  <c r="B121" i="34"/>
  <c r="A122" i="34"/>
  <c r="B122" i="34"/>
  <c r="A123" i="34"/>
  <c r="B123" i="34"/>
  <c r="A124" i="34"/>
  <c r="B124" i="34"/>
  <c r="A125" i="34"/>
  <c r="B125" i="34"/>
  <c r="A126" i="34"/>
  <c r="B126" i="34"/>
  <c r="A127" i="34"/>
  <c r="B127" i="34"/>
  <c r="A128" i="34"/>
  <c r="B128" i="34"/>
  <c r="A129" i="34"/>
  <c r="B129" i="34"/>
  <c r="A130" i="34"/>
  <c r="B130" i="34"/>
  <c r="A131" i="34"/>
  <c r="B131" i="34"/>
  <c r="A132" i="34"/>
  <c r="B132" i="34"/>
  <c r="A133" i="34"/>
  <c r="B133" i="34"/>
  <c r="A134" i="34"/>
  <c r="B134" i="34"/>
  <c r="A135" i="34"/>
  <c r="B135" i="34"/>
  <c r="A136" i="34"/>
  <c r="B136" i="34"/>
  <c r="A137" i="34"/>
  <c r="B137" i="34"/>
  <c r="A138" i="34"/>
  <c r="B138" i="34"/>
  <c r="A139" i="34"/>
  <c r="B139" i="34"/>
  <c r="A140" i="34"/>
  <c r="B140" i="34"/>
  <c r="A141" i="34"/>
  <c r="B141" i="34"/>
  <c r="A142" i="34"/>
  <c r="B142" i="34"/>
  <c r="A143" i="34"/>
  <c r="B143" i="34"/>
  <c r="A144" i="34"/>
  <c r="B144" i="34"/>
  <c r="A145" i="34"/>
  <c r="B145" i="34"/>
  <c r="A146" i="34"/>
  <c r="B146" i="34"/>
  <c r="A147" i="34"/>
  <c r="B147" i="34"/>
  <c r="A148" i="34"/>
  <c r="B148" i="34"/>
  <c r="A149" i="34"/>
  <c r="B149" i="34"/>
  <c r="A150" i="34"/>
  <c r="B150" i="34"/>
  <c r="A151" i="34"/>
  <c r="B151" i="34"/>
  <c r="A152" i="34"/>
  <c r="B152" i="34"/>
  <c r="A153" i="34"/>
  <c r="B153" i="34"/>
  <c r="A154" i="34"/>
  <c r="B154" i="34"/>
  <c r="A155" i="34"/>
  <c r="B155" i="34"/>
  <c r="A156" i="34"/>
  <c r="B156" i="34"/>
  <c r="A157" i="34"/>
  <c r="B157" i="34"/>
  <c r="A158" i="34"/>
  <c r="B158" i="34"/>
  <c r="A159" i="34"/>
  <c r="B159" i="34"/>
  <c r="A160" i="34"/>
  <c r="B160" i="34"/>
  <c r="A161" i="34"/>
  <c r="B161" i="34"/>
  <c r="A162" i="34"/>
  <c r="B162" i="34"/>
  <c r="A163" i="34"/>
  <c r="B163" i="34"/>
  <c r="A164" i="34"/>
  <c r="B164" i="34"/>
  <c r="A165" i="34"/>
  <c r="B165" i="34"/>
  <c r="A166" i="34"/>
  <c r="B166" i="34"/>
  <c r="A167" i="34"/>
  <c r="B167" i="34"/>
  <c r="A168" i="34"/>
  <c r="B168" i="34"/>
  <c r="A169" i="34"/>
  <c r="B169" i="34"/>
  <c r="A170" i="34"/>
  <c r="B170" i="34"/>
  <c r="A171" i="34"/>
  <c r="B171" i="34"/>
  <c r="A172" i="34"/>
  <c r="B172" i="34"/>
  <c r="A173" i="34"/>
  <c r="B173" i="34"/>
  <c r="A174" i="34"/>
  <c r="B174" i="34"/>
  <c r="A175" i="34"/>
  <c r="B175" i="34"/>
  <c r="A176" i="34"/>
  <c r="B176" i="34"/>
  <c r="A177" i="34"/>
  <c r="B177" i="34"/>
  <c r="A178" i="34"/>
  <c r="B178" i="34"/>
  <c r="A179" i="34"/>
  <c r="B179" i="34"/>
  <c r="A180" i="34"/>
  <c r="B180" i="34"/>
  <c r="A181" i="34"/>
  <c r="B181" i="34"/>
  <c r="A182" i="34"/>
  <c r="B182" i="34"/>
  <c r="A183" i="34"/>
  <c r="B183" i="34"/>
  <c r="A184" i="34"/>
  <c r="B184" i="34"/>
  <c r="A185" i="34"/>
  <c r="B185" i="34"/>
  <c r="A186" i="34"/>
  <c r="B186" i="34"/>
  <c r="A187" i="34"/>
  <c r="B187" i="34"/>
  <c r="A188" i="34"/>
  <c r="B188" i="34"/>
  <c r="A189" i="34"/>
  <c r="B189" i="34"/>
  <c r="A190" i="34"/>
  <c r="B190" i="34"/>
  <c r="A191" i="34"/>
  <c r="B191" i="34"/>
  <c r="A192" i="34"/>
  <c r="B192" i="34"/>
  <c r="A193" i="34"/>
  <c r="B193" i="34"/>
  <c r="A194" i="34"/>
  <c r="B194" i="34"/>
  <c r="A195" i="34"/>
  <c r="B195" i="34"/>
  <c r="A196" i="34"/>
  <c r="B196" i="34"/>
  <c r="A197" i="34"/>
  <c r="B197" i="34"/>
  <c r="A198" i="34"/>
  <c r="B198" i="34"/>
  <c r="A199" i="34"/>
  <c r="B199" i="34"/>
  <c r="A200" i="34"/>
  <c r="B200" i="34"/>
  <c r="A201" i="34"/>
  <c r="B201" i="34"/>
  <c r="A202" i="34"/>
  <c r="B202" i="34"/>
  <c r="A203" i="34"/>
  <c r="B203" i="34"/>
  <c r="A204" i="34"/>
  <c r="B204" i="34"/>
  <c r="A205" i="34"/>
  <c r="B205" i="34"/>
  <c r="A206" i="34"/>
  <c r="B206" i="34"/>
  <c r="A207" i="34"/>
  <c r="B207" i="34"/>
  <c r="A208" i="34"/>
  <c r="B208" i="34"/>
  <c r="A209" i="34"/>
  <c r="B209" i="34"/>
  <c r="A210" i="34"/>
  <c r="B210" i="34"/>
  <c r="A211" i="34"/>
  <c r="B211" i="34"/>
  <c r="A212" i="34"/>
  <c r="B212" i="34"/>
  <c r="A213" i="34"/>
  <c r="B213" i="34"/>
  <c r="A214" i="34"/>
  <c r="B214" i="34"/>
  <c r="A215" i="34"/>
  <c r="B215" i="34"/>
  <c r="A216" i="34"/>
  <c r="B216" i="34"/>
  <c r="A217" i="34"/>
  <c r="B217" i="34"/>
  <c r="A218" i="34"/>
  <c r="B218" i="34"/>
  <c r="A219" i="34"/>
  <c r="B219" i="34"/>
  <c r="A220" i="34"/>
  <c r="B220" i="34"/>
  <c r="A221" i="34"/>
  <c r="B221" i="34"/>
  <c r="A222" i="34"/>
  <c r="B222" i="34"/>
  <c r="A223" i="34"/>
  <c r="B223" i="34"/>
  <c r="A224" i="34"/>
  <c r="B224" i="34"/>
  <c r="A225" i="34"/>
  <c r="B225" i="34"/>
  <c r="A226" i="34"/>
  <c r="B226" i="34"/>
  <c r="A227" i="34"/>
  <c r="B227" i="34"/>
  <c r="A228" i="34"/>
  <c r="B228" i="34"/>
  <c r="A229" i="34"/>
  <c r="B229" i="34"/>
  <c r="A230" i="34"/>
  <c r="B230" i="34"/>
  <c r="A231" i="34"/>
  <c r="B231" i="34"/>
  <c r="A232" i="34"/>
  <c r="B232" i="34"/>
  <c r="A233" i="34"/>
  <c r="B233" i="34"/>
  <c r="A234" i="34"/>
  <c r="B234" i="34"/>
  <c r="A235" i="34"/>
  <c r="B235" i="34"/>
  <c r="A236" i="34"/>
  <c r="B236" i="34"/>
  <c r="A237" i="34"/>
  <c r="B237" i="34"/>
  <c r="A238" i="34"/>
  <c r="B238" i="34"/>
  <c r="A239" i="34"/>
  <c r="B239" i="34"/>
  <c r="A240" i="34"/>
  <c r="B240" i="34"/>
  <c r="A241" i="34"/>
  <c r="B241" i="34"/>
  <c r="A242" i="34"/>
  <c r="B242" i="34"/>
  <c r="A243" i="34"/>
  <c r="B243" i="34"/>
  <c r="A244" i="34"/>
  <c r="B244" i="34"/>
  <c r="A245" i="34"/>
  <c r="B245" i="34"/>
  <c r="A246" i="34"/>
  <c r="B246" i="34"/>
  <c r="A247" i="34"/>
  <c r="B247" i="34"/>
  <c r="A248" i="34"/>
  <c r="B248" i="34"/>
  <c r="A249" i="34"/>
  <c r="B249" i="34"/>
  <c r="A250" i="34"/>
  <c r="B250" i="34"/>
  <c r="A251" i="34"/>
  <c r="B251" i="34"/>
  <c r="A252" i="34"/>
  <c r="B252" i="34"/>
  <c r="A253" i="34"/>
  <c r="B253" i="34"/>
  <c r="A254" i="34"/>
  <c r="B254" i="34"/>
  <c r="A255" i="34"/>
  <c r="B255" i="34"/>
  <c r="A256" i="34"/>
  <c r="B256" i="34"/>
  <c r="A257" i="34"/>
  <c r="B257" i="34"/>
  <c r="A258" i="34"/>
  <c r="B258" i="34"/>
  <c r="A259" i="34"/>
  <c r="B259" i="34"/>
  <c r="A260" i="34"/>
  <c r="B260" i="34"/>
  <c r="A261" i="34"/>
  <c r="B261" i="34"/>
  <c r="A262" i="34"/>
  <c r="B262" i="34"/>
  <c r="A263" i="34"/>
  <c r="B263" i="34"/>
  <c r="A264" i="34"/>
  <c r="B264" i="34"/>
  <c r="A265" i="34"/>
  <c r="B265" i="34"/>
  <c r="A266" i="34"/>
  <c r="B266" i="34"/>
  <c r="A267" i="34"/>
  <c r="B267" i="34"/>
  <c r="A268" i="34"/>
  <c r="B268" i="34"/>
  <c r="A269" i="34"/>
  <c r="B269" i="34"/>
  <c r="A270" i="34"/>
  <c r="B270" i="34"/>
  <c r="A271" i="34"/>
  <c r="B271" i="34"/>
  <c r="A272" i="34"/>
  <c r="B272" i="34"/>
  <c r="A273" i="34"/>
  <c r="B273" i="34"/>
  <c r="A274" i="34"/>
  <c r="B274" i="34"/>
  <c r="A275" i="34"/>
  <c r="B275" i="34"/>
  <c r="A276" i="34"/>
  <c r="B276" i="34"/>
  <c r="A277" i="34"/>
  <c r="B277" i="34"/>
  <c r="A278" i="34"/>
  <c r="B278" i="34"/>
  <c r="A279" i="34"/>
  <c r="B279" i="34"/>
  <c r="A280" i="34"/>
  <c r="B280" i="34"/>
  <c r="A281" i="34"/>
  <c r="B281" i="34"/>
  <c r="A282" i="34"/>
  <c r="B282" i="34"/>
  <c r="A283" i="34"/>
  <c r="B283" i="34"/>
  <c r="A284" i="34"/>
  <c r="B284" i="34"/>
  <c r="A285" i="34"/>
  <c r="B285" i="34"/>
  <c r="A286" i="34"/>
  <c r="B286" i="34"/>
  <c r="A287" i="34"/>
  <c r="B287" i="34"/>
  <c r="A288" i="34"/>
  <c r="B288" i="34"/>
  <c r="A289" i="34"/>
  <c r="B289" i="34"/>
  <c r="A290" i="34"/>
  <c r="B290" i="34"/>
  <c r="A291" i="34"/>
  <c r="B291" i="34"/>
  <c r="A292" i="34"/>
  <c r="B292" i="34"/>
  <c r="A293" i="34"/>
  <c r="B293" i="34"/>
  <c r="A294" i="34"/>
  <c r="B294" i="34"/>
  <c r="A295" i="34"/>
  <c r="B295" i="34"/>
  <c r="A296" i="34"/>
  <c r="B296" i="34"/>
  <c r="A297" i="34"/>
  <c r="B297" i="34"/>
  <c r="A298" i="34"/>
  <c r="B298" i="34"/>
  <c r="A299" i="34"/>
  <c r="B299" i="34"/>
  <c r="A300" i="34"/>
  <c r="B300" i="34"/>
  <c r="A301" i="34"/>
  <c r="B301" i="34"/>
  <c r="A302" i="34"/>
  <c r="B302" i="34"/>
  <c r="A303" i="34"/>
  <c r="B303" i="34"/>
  <c r="A304" i="34"/>
  <c r="B304" i="34"/>
  <c r="A305" i="34"/>
  <c r="B305" i="34"/>
  <c r="A306" i="34"/>
  <c r="B306" i="34"/>
  <c r="A307" i="34"/>
  <c r="B307" i="34"/>
  <c r="A308" i="34"/>
  <c r="B308" i="34"/>
  <c r="A309" i="34"/>
  <c r="B309" i="34"/>
  <c r="A310" i="34"/>
  <c r="B310" i="34"/>
  <c r="A311" i="34"/>
  <c r="B311" i="34"/>
  <c r="A312" i="34"/>
  <c r="B312" i="34"/>
  <c r="A313" i="34"/>
  <c r="B313" i="34"/>
  <c r="A314" i="34"/>
  <c r="B314" i="34"/>
  <c r="A315" i="34"/>
  <c r="B315" i="34"/>
  <c r="A316" i="34"/>
  <c r="B316" i="34"/>
  <c r="A317" i="34"/>
  <c r="B317" i="34"/>
  <c r="A318" i="34"/>
  <c r="B318" i="34"/>
  <c r="A319" i="34"/>
  <c r="B319" i="34"/>
  <c r="A320" i="34"/>
  <c r="B320" i="34"/>
  <c r="A321" i="34"/>
  <c r="B321" i="34"/>
  <c r="A322" i="34"/>
  <c r="B322" i="34"/>
  <c r="A323" i="34"/>
  <c r="B323" i="34"/>
  <c r="A324" i="34"/>
  <c r="B324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A9" i="36"/>
  <c r="B9" i="36"/>
  <c r="A10" i="36"/>
  <c r="B10" i="36"/>
  <c r="A11" i="36"/>
  <c r="B11" i="36"/>
  <c r="A12" i="36"/>
  <c r="B12" i="36"/>
  <c r="A13" i="36"/>
  <c r="B13" i="36"/>
  <c r="A14" i="36"/>
  <c r="B14" i="36"/>
  <c r="A15" i="36"/>
  <c r="B15" i="36"/>
  <c r="A16" i="36"/>
  <c r="B16" i="36"/>
  <c r="A17" i="36"/>
  <c r="B17" i="36"/>
  <c r="A18" i="36"/>
  <c r="B18" i="36"/>
  <c r="A19" i="36"/>
  <c r="B19" i="36"/>
  <c r="A20" i="36"/>
  <c r="B20" i="36"/>
  <c r="A21" i="36"/>
  <c r="B21" i="36"/>
  <c r="A22" i="36"/>
  <c r="B22" i="36"/>
  <c r="A23" i="36"/>
  <c r="B23" i="36"/>
  <c r="A24" i="36"/>
  <c r="B24" i="36"/>
  <c r="A25" i="36"/>
  <c r="B25" i="36"/>
  <c r="A26" i="36"/>
  <c r="B26" i="36"/>
  <c r="A27" i="36"/>
  <c r="B27" i="36"/>
  <c r="A28" i="36"/>
  <c r="B28" i="36"/>
  <c r="A29" i="36"/>
  <c r="B29" i="36"/>
  <c r="A30" i="36"/>
  <c r="B30" i="36"/>
  <c r="A31" i="36"/>
  <c r="B31" i="36"/>
  <c r="A32" i="36"/>
  <c r="B32" i="36"/>
  <c r="A33" i="36"/>
  <c r="B33" i="36"/>
  <c r="A34" i="36"/>
  <c r="B34" i="36"/>
  <c r="A35" i="36"/>
  <c r="B35" i="36"/>
  <c r="A36" i="36"/>
  <c r="B36" i="36"/>
  <c r="A37" i="36"/>
  <c r="B37" i="36"/>
  <c r="A38" i="36"/>
  <c r="B38" i="36"/>
  <c r="A39" i="36"/>
  <c r="B39" i="36"/>
  <c r="A40" i="36"/>
  <c r="B40" i="36"/>
  <c r="A41" i="36"/>
  <c r="B41" i="36"/>
  <c r="A42" i="36"/>
  <c r="B42" i="36"/>
  <c r="A43" i="36"/>
  <c r="B43" i="36"/>
  <c r="A44" i="36"/>
  <c r="B44" i="36"/>
  <c r="A45" i="36"/>
  <c r="B45" i="36"/>
  <c r="A46" i="36"/>
  <c r="B46" i="36"/>
  <c r="A47" i="36"/>
  <c r="B47" i="36"/>
  <c r="A48" i="36"/>
  <c r="B48" i="36"/>
  <c r="A49" i="36"/>
  <c r="B49" i="36"/>
  <c r="A50" i="36"/>
  <c r="B50" i="36"/>
  <c r="A51" i="36"/>
  <c r="B51" i="36"/>
  <c r="A52" i="36"/>
  <c r="B52" i="36"/>
  <c r="A53" i="36"/>
  <c r="B53" i="36"/>
  <c r="A54" i="36"/>
  <c r="B54" i="36"/>
  <c r="A55" i="36"/>
  <c r="B55" i="36"/>
  <c r="A56" i="36"/>
  <c r="B56" i="36"/>
  <c r="A57" i="36"/>
  <c r="B57" i="36"/>
  <c r="A58" i="36"/>
  <c r="B58" i="36"/>
  <c r="A59" i="36"/>
  <c r="B59" i="36"/>
  <c r="A60" i="36"/>
  <c r="B60" i="36"/>
  <c r="A61" i="36"/>
  <c r="B61" i="36"/>
  <c r="A62" i="36"/>
  <c r="B62" i="36"/>
  <c r="A63" i="36"/>
  <c r="B63" i="36"/>
  <c r="A64" i="36"/>
  <c r="B64" i="36"/>
  <c r="A65" i="36"/>
  <c r="B65" i="36"/>
  <c r="A66" i="36"/>
  <c r="B66" i="36"/>
  <c r="A67" i="36"/>
  <c r="B67" i="36"/>
  <c r="A68" i="36"/>
  <c r="B68" i="36"/>
  <c r="A69" i="36"/>
  <c r="B69" i="36"/>
  <c r="A70" i="36"/>
  <c r="B70" i="36"/>
  <c r="A71" i="36"/>
  <c r="B71" i="36"/>
  <c r="A72" i="36"/>
  <c r="B72" i="36"/>
  <c r="A73" i="36"/>
  <c r="B73" i="36"/>
  <c r="A74" i="36"/>
  <c r="B74" i="36"/>
  <c r="A75" i="36"/>
  <c r="B75" i="36"/>
  <c r="A76" i="36"/>
  <c r="B76" i="36"/>
  <c r="A77" i="36"/>
  <c r="B77" i="36"/>
  <c r="A78" i="36"/>
  <c r="B78" i="36"/>
  <c r="A79" i="36"/>
  <c r="B79" i="36"/>
  <c r="A80" i="36"/>
  <c r="B80" i="36"/>
  <c r="A81" i="36"/>
  <c r="B81" i="36"/>
  <c r="A82" i="36"/>
  <c r="B82" i="36"/>
  <c r="A83" i="36"/>
  <c r="B83" i="36"/>
  <c r="A84" i="36"/>
  <c r="B84" i="36"/>
  <c r="A85" i="36"/>
  <c r="B85" i="36"/>
  <c r="A86" i="36"/>
  <c r="B86" i="36"/>
  <c r="A87" i="36"/>
  <c r="B87" i="36"/>
  <c r="A88" i="36"/>
  <c r="B88" i="36"/>
  <c r="A89" i="36"/>
  <c r="B89" i="36"/>
  <c r="A90" i="36"/>
  <c r="B90" i="36"/>
  <c r="A91" i="36"/>
  <c r="B91" i="36"/>
  <c r="A92" i="36"/>
  <c r="B92" i="36"/>
  <c r="A93" i="36"/>
  <c r="B93" i="36"/>
  <c r="A94" i="36"/>
  <c r="B94" i="36"/>
  <c r="A95" i="36"/>
  <c r="B95" i="36"/>
  <c r="A96" i="36"/>
  <c r="B96" i="36"/>
  <c r="A97" i="36"/>
  <c r="B97" i="36"/>
  <c r="A98" i="36"/>
  <c r="B98" i="36"/>
  <c r="A99" i="36"/>
  <c r="B99" i="36"/>
  <c r="A100" i="36"/>
  <c r="B100" i="36"/>
  <c r="A101" i="36"/>
  <c r="B101" i="36"/>
  <c r="A102" i="36"/>
  <c r="B102" i="36"/>
  <c r="A103" i="36"/>
  <c r="B103" i="36"/>
  <c r="A104" i="36"/>
  <c r="B104" i="36"/>
  <c r="A105" i="36"/>
  <c r="B105" i="36"/>
  <c r="A106" i="36"/>
  <c r="B106" i="36"/>
  <c r="A107" i="36"/>
  <c r="B107" i="36"/>
  <c r="A108" i="36"/>
  <c r="B108" i="36"/>
  <c r="A109" i="36"/>
  <c r="B109" i="36"/>
  <c r="A110" i="36"/>
  <c r="B110" i="36"/>
  <c r="A111" i="36"/>
  <c r="B111" i="36"/>
  <c r="A112" i="36"/>
  <c r="B112" i="36"/>
  <c r="A113" i="36"/>
  <c r="B113" i="36"/>
  <c r="A114" i="36"/>
  <c r="B114" i="36"/>
  <c r="A115" i="36"/>
  <c r="B115" i="36"/>
  <c r="A116" i="36"/>
  <c r="B116" i="36"/>
  <c r="A117" i="36"/>
  <c r="B117" i="36"/>
  <c r="A118" i="36"/>
  <c r="B118" i="36"/>
  <c r="A119" i="36"/>
  <c r="B119" i="36"/>
  <c r="A120" i="36"/>
  <c r="B120" i="36"/>
  <c r="A121" i="36"/>
  <c r="B121" i="36"/>
  <c r="A122" i="36"/>
  <c r="B122" i="36"/>
  <c r="A123" i="36"/>
  <c r="B123" i="36"/>
  <c r="A124" i="36"/>
  <c r="B124" i="36"/>
  <c r="A125" i="36"/>
  <c r="B125" i="36"/>
  <c r="A126" i="36"/>
  <c r="B126" i="36"/>
  <c r="A127" i="36"/>
  <c r="B127" i="36"/>
  <c r="A128" i="36"/>
  <c r="B128" i="36"/>
  <c r="A129" i="36"/>
  <c r="B129" i="36"/>
  <c r="A130" i="36"/>
  <c r="B130" i="36"/>
  <c r="A131" i="36"/>
  <c r="B131" i="36"/>
  <c r="A132" i="36"/>
  <c r="B132" i="36"/>
  <c r="A133" i="36"/>
  <c r="B133" i="36"/>
  <c r="A134" i="36"/>
  <c r="B134" i="36"/>
  <c r="A135" i="36"/>
  <c r="B135" i="36"/>
  <c r="A136" i="36"/>
  <c r="B136" i="36"/>
  <c r="A137" i="36"/>
  <c r="B137" i="36"/>
  <c r="A138" i="36"/>
  <c r="B138" i="36"/>
  <c r="A139" i="36"/>
  <c r="B139" i="36"/>
  <c r="A140" i="36"/>
  <c r="B140" i="36"/>
  <c r="A141" i="36"/>
  <c r="B141" i="36"/>
  <c r="A142" i="36"/>
  <c r="B142" i="36"/>
  <c r="A143" i="36"/>
  <c r="B143" i="36"/>
  <c r="A144" i="36"/>
  <c r="B144" i="36"/>
  <c r="A145" i="36"/>
  <c r="B145" i="36"/>
  <c r="A146" i="36"/>
  <c r="B146" i="36"/>
  <c r="A147" i="36"/>
  <c r="B147" i="36"/>
  <c r="A148" i="36"/>
  <c r="B148" i="36"/>
  <c r="A149" i="36"/>
  <c r="B149" i="36"/>
  <c r="A150" i="36"/>
  <c r="B150" i="36"/>
  <c r="A151" i="36"/>
  <c r="B151" i="36"/>
  <c r="A152" i="36"/>
  <c r="B152" i="36"/>
  <c r="A153" i="36"/>
  <c r="B153" i="36"/>
  <c r="A154" i="36"/>
  <c r="B154" i="36"/>
  <c r="A155" i="36"/>
  <c r="B155" i="36"/>
  <c r="A156" i="36"/>
  <c r="B156" i="36"/>
  <c r="A157" i="36"/>
  <c r="B157" i="36"/>
  <c r="A158" i="36"/>
  <c r="B158" i="36"/>
  <c r="A159" i="36"/>
  <c r="B159" i="36"/>
  <c r="A160" i="36"/>
  <c r="B160" i="36"/>
  <c r="A161" i="36"/>
  <c r="B161" i="36"/>
  <c r="A162" i="36"/>
  <c r="B162" i="36"/>
  <c r="A163" i="36"/>
  <c r="B163" i="36"/>
  <c r="A164" i="36"/>
  <c r="B164" i="36"/>
  <c r="A165" i="36"/>
  <c r="B165" i="36"/>
  <c r="A166" i="36"/>
  <c r="B166" i="36"/>
  <c r="A167" i="36"/>
  <c r="B167" i="36"/>
  <c r="A168" i="36"/>
  <c r="B168" i="36"/>
  <c r="A169" i="36"/>
  <c r="B169" i="36"/>
  <c r="A170" i="36"/>
  <c r="B170" i="36"/>
  <c r="A171" i="36"/>
  <c r="B171" i="36"/>
  <c r="A172" i="36"/>
  <c r="B172" i="36"/>
  <c r="A173" i="36"/>
  <c r="B173" i="36"/>
  <c r="A174" i="36"/>
  <c r="B174" i="36"/>
  <c r="A175" i="36"/>
  <c r="B175" i="36"/>
  <c r="A176" i="36"/>
  <c r="B176" i="36"/>
  <c r="A177" i="36"/>
  <c r="B177" i="36"/>
  <c r="A178" i="36"/>
  <c r="B178" i="36"/>
  <c r="A179" i="36"/>
  <c r="B179" i="36"/>
  <c r="A180" i="36"/>
  <c r="B180" i="36"/>
  <c r="A181" i="36"/>
  <c r="B181" i="36"/>
  <c r="A182" i="36"/>
  <c r="B182" i="36"/>
  <c r="A183" i="36"/>
  <c r="B183" i="36"/>
  <c r="A184" i="36"/>
  <c r="B184" i="36"/>
  <c r="A185" i="36"/>
  <c r="B185" i="36"/>
  <c r="A186" i="36"/>
  <c r="B186" i="36"/>
  <c r="A187" i="36"/>
  <c r="B187" i="36"/>
  <c r="A188" i="36"/>
  <c r="B188" i="36"/>
  <c r="A189" i="36"/>
  <c r="B189" i="36"/>
  <c r="A190" i="36"/>
  <c r="B190" i="36"/>
  <c r="A191" i="36"/>
  <c r="B191" i="36"/>
  <c r="A192" i="36"/>
  <c r="B192" i="36"/>
  <c r="A193" i="36"/>
  <c r="B193" i="36"/>
  <c r="A194" i="36"/>
  <c r="B194" i="36"/>
  <c r="A195" i="36"/>
  <c r="B195" i="36"/>
  <c r="A196" i="36"/>
  <c r="B196" i="36"/>
  <c r="A197" i="36"/>
  <c r="B197" i="36"/>
  <c r="A198" i="36"/>
  <c r="B198" i="36"/>
  <c r="A199" i="36"/>
  <c r="B199" i="36"/>
  <c r="A200" i="36"/>
  <c r="B200" i="36"/>
  <c r="A201" i="36"/>
  <c r="B201" i="36"/>
  <c r="A202" i="36"/>
  <c r="B202" i="36"/>
  <c r="A203" i="36"/>
  <c r="B203" i="36"/>
  <c r="A204" i="36"/>
  <c r="B204" i="36"/>
  <c r="A205" i="36"/>
  <c r="B205" i="36"/>
  <c r="A206" i="36"/>
  <c r="B206" i="36"/>
  <c r="A207" i="36"/>
  <c r="B207" i="36"/>
  <c r="A208" i="36"/>
  <c r="B208" i="36"/>
  <c r="A209" i="36"/>
  <c r="B209" i="36"/>
  <c r="A210" i="36"/>
  <c r="B210" i="36"/>
  <c r="A211" i="36"/>
  <c r="B211" i="36"/>
  <c r="A212" i="36"/>
  <c r="B212" i="36"/>
  <c r="A213" i="36"/>
  <c r="B213" i="36"/>
  <c r="A214" i="36"/>
  <c r="B214" i="36"/>
  <c r="A215" i="36"/>
  <c r="B215" i="36"/>
  <c r="A216" i="36"/>
  <c r="B216" i="36"/>
  <c r="A217" i="36"/>
  <c r="B217" i="36"/>
  <c r="A218" i="36"/>
  <c r="B218" i="36"/>
  <c r="A219" i="36"/>
  <c r="B219" i="36"/>
  <c r="A220" i="36"/>
  <c r="B220" i="36"/>
  <c r="A221" i="36"/>
  <c r="B221" i="36"/>
  <c r="A222" i="36"/>
  <c r="B222" i="36"/>
  <c r="A223" i="36"/>
  <c r="B223" i="36"/>
  <c r="A224" i="36"/>
  <c r="B224" i="36"/>
  <c r="A225" i="36"/>
  <c r="B225" i="36"/>
  <c r="A226" i="36"/>
  <c r="B226" i="36"/>
  <c r="A227" i="36"/>
  <c r="B227" i="36"/>
  <c r="A228" i="36"/>
  <c r="B228" i="36"/>
  <c r="A229" i="36"/>
  <c r="B229" i="36"/>
  <c r="A230" i="36"/>
  <c r="B230" i="36"/>
  <c r="A231" i="36"/>
  <c r="B231" i="36"/>
  <c r="A232" i="36"/>
  <c r="B232" i="36"/>
  <c r="A233" i="36"/>
  <c r="B233" i="36"/>
  <c r="A234" i="36"/>
  <c r="B234" i="36"/>
  <c r="A235" i="36"/>
  <c r="B235" i="36"/>
  <c r="A236" i="36"/>
  <c r="B236" i="36"/>
  <c r="A237" i="36"/>
  <c r="B237" i="36"/>
  <c r="A238" i="36"/>
  <c r="B238" i="36"/>
  <c r="A239" i="36"/>
  <c r="B239" i="36"/>
  <c r="A240" i="36"/>
  <c r="B240" i="36"/>
  <c r="A241" i="36"/>
  <c r="B241" i="36"/>
  <c r="A242" i="36"/>
  <c r="B242" i="36"/>
  <c r="A243" i="36"/>
  <c r="B243" i="36"/>
  <c r="A244" i="36"/>
  <c r="B244" i="36"/>
  <c r="A245" i="36"/>
  <c r="B245" i="36"/>
  <c r="A246" i="36"/>
  <c r="B246" i="36"/>
  <c r="A247" i="36"/>
  <c r="B247" i="36"/>
  <c r="A248" i="36"/>
  <c r="B248" i="36"/>
  <c r="A249" i="36"/>
  <c r="B249" i="36"/>
  <c r="A250" i="36"/>
  <c r="B250" i="36"/>
  <c r="A251" i="36"/>
  <c r="B251" i="36"/>
  <c r="A252" i="36"/>
  <c r="B252" i="36"/>
  <c r="A253" i="36"/>
  <c r="B253" i="36"/>
  <c r="A254" i="36"/>
  <c r="B254" i="36"/>
  <c r="A255" i="36"/>
  <c r="B255" i="36"/>
  <c r="A256" i="36"/>
  <c r="B256" i="36"/>
  <c r="A257" i="36"/>
  <c r="B257" i="36"/>
  <c r="A258" i="36"/>
  <c r="B258" i="36"/>
  <c r="A259" i="36"/>
  <c r="B259" i="36"/>
  <c r="A260" i="36"/>
  <c r="B260" i="36"/>
  <c r="A261" i="36"/>
  <c r="B261" i="36"/>
  <c r="A262" i="36"/>
  <c r="B262" i="36"/>
  <c r="A263" i="36"/>
  <c r="B263" i="36"/>
  <c r="A264" i="36"/>
  <c r="B264" i="36"/>
  <c r="A265" i="36"/>
  <c r="B265" i="36"/>
  <c r="A266" i="36"/>
  <c r="B266" i="36"/>
  <c r="A267" i="36"/>
  <c r="B267" i="36"/>
  <c r="A268" i="36"/>
  <c r="B268" i="36"/>
  <c r="A269" i="36"/>
  <c r="B269" i="36"/>
  <c r="A270" i="36"/>
  <c r="B270" i="36"/>
  <c r="A271" i="36"/>
  <c r="B271" i="36"/>
  <c r="A272" i="36"/>
  <c r="B272" i="36"/>
  <c r="A273" i="36"/>
  <c r="B273" i="36"/>
  <c r="A274" i="36"/>
  <c r="B274" i="36"/>
  <c r="A275" i="36"/>
  <c r="B275" i="36"/>
  <c r="A276" i="36"/>
  <c r="B276" i="36"/>
  <c r="A277" i="36"/>
  <c r="B277" i="36"/>
  <c r="A278" i="36"/>
  <c r="B278" i="36"/>
  <c r="A279" i="36"/>
  <c r="B279" i="36"/>
  <c r="A280" i="36"/>
  <c r="B280" i="36"/>
  <c r="A281" i="36"/>
  <c r="B281" i="36"/>
  <c r="A282" i="36"/>
  <c r="B282" i="36"/>
  <c r="A283" i="36"/>
  <c r="B283" i="36"/>
  <c r="A284" i="36"/>
  <c r="B284" i="36"/>
  <c r="A285" i="36"/>
  <c r="B285" i="36"/>
  <c r="A286" i="36"/>
  <c r="B286" i="36"/>
  <c r="A287" i="36"/>
  <c r="B287" i="36"/>
  <c r="A288" i="36"/>
  <c r="B288" i="36"/>
  <c r="A289" i="36"/>
  <c r="B289" i="36"/>
  <c r="A290" i="36"/>
  <c r="B290" i="36"/>
  <c r="A291" i="36"/>
  <c r="B291" i="36"/>
  <c r="A292" i="36"/>
  <c r="B292" i="36"/>
  <c r="A293" i="36"/>
  <c r="B293" i="36"/>
  <c r="A294" i="36"/>
  <c r="B294" i="36"/>
  <c r="A295" i="36"/>
  <c r="B295" i="36"/>
  <c r="A296" i="36"/>
  <c r="B296" i="36"/>
  <c r="A297" i="36"/>
  <c r="B297" i="36"/>
  <c r="A298" i="36"/>
  <c r="B298" i="36"/>
  <c r="A299" i="36"/>
  <c r="B299" i="36"/>
  <c r="A300" i="36"/>
  <c r="B300" i="36"/>
  <c r="A301" i="36"/>
  <c r="B301" i="36"/>
  <c r="A302" i="36"/>
  <c r="B302" i="36"/>
  <c r="A303" i="36"/>
  <c r="B303" i="36"/>
  <c r="A304" i="36"/>
  <c r="B304" i="36"/>
  <c r="A305" i="36"/>
  <c r="B305" i="36"/>
  <c r="A306" i="36"/>
  <c r="B306" i="36"/>
  <c r="A307" i="36"/>
  <c r="B307" i="36"/>
  <c r="A308" i="36"/>
  <c r="B308" i="36"/>
  <c r="A309" i="36"/>
  <c r="B309" i="36"/>
  <c r="A310" i="36"/>
  <c r="B310" i="36"/>
  <c r="A311" i="36"/>
  <c r="B311" i="36"/>
  <c r="A312" i="36"/>
  <c r="B312" i="36"/>
  <c r="A313" i="36"/>
  <c r="B313" i="36"/>
  <c r="A314" i="36"/>
  <c r="B314" i="36"/>
  <c r="A315" i="36"/>
  <c r="B315" i="36"/>
  <c r="A316" i="36"/>
  <c r="B316" i="36"/>
  <c r="A12" i="9"/>
  <c r="B12" i="9"/>
  <c r="A13" i="9"/>
  <c r="B13" i="9"/>
  <c r="A14" i="9"/>
  <c r="B14" i="9"/>
  <c r="A15" i="9"/>
  <c r="B15" i="9"/>
  <c r="A16" i="9"/>
  <c r="B16" i="9"/>
  <c r="A17" i="9"/>
  <c r="B17" i="9"/>
  <c r="A18" i="9"/>
  <c r="B18" i="9"/>
  <c r="A19" i="9"/>
  <c r="B19" i="9"/>
  <c r="A20" i="9"/>
  <c r="B20" i="9"/>
  <c r="A21" i="9"/>
  <c r="B21" i="9"/>
  <c r="A22" i="9"/>
  <c r="B22" i="9"/>
  <c r="A23" i="9"/>
  <c r="B23" i="9"/>
  <c r="A24" i="9"/>
  <c r="B24" i="9"/>
  <c r="A25" i="9"/>
  <c r="B25" i="9"/>
  <c r="A26" i="9"/>
  <c r="B26" i="9"/>
  <c r="A27" i="9"/>
  <c r="B27" i="9"/>
  <c r="A28" i="9"/>
  <c r="B28" i="9"/>
  <c r="A29" i="9"/>
  <c r="B29" i="9"/>
  <c r="A30" i="9"/>
  <c r="B30" i="9"/>
  <c r="A31" i="9"/>
  <c r="B31" i="9"/>
  <c r="A32" i="9"/>
  <c r="B32" i="9"/>
  <c r="A33" i="9"/>
  <c r="B33" i="9"/>
  <c r="A34" i="9"/>
  <c r="B34" i="9"/>
  <c r="A35" i="9"/>
  <c r="B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A48" i="9"/>
  <c r="B48" i="9"/>
  <c r="A49" i="9"/>
  <c r="B49" i="9"/>
  <c r="A50" i="9"/>
  <c r="B50" i="9"/>
  <c r="A51" i="9"/>
  <c r="B51" i="9"/>
  <c r="A52" i="9"/>
  <c r="B52" i="9"/>
  <c r="A53" i="9"/>
  <c r="B53" i="9"/>
  <c r="A54" i="9"/>
  <c r="B54" i="9"/>
  <c r="A55" i="9"/>
  <c r="B55" i="9"/>
  <c r="A56" i="9"/>
  <c r="B56" i="9"/>
  <c r="A57" i="9"/>
  <c r="B57" i="9"/>
  <c r="A58" i="9"/>
  <c r="B58" i="9"/>
  <c r="A59" i="9"/>
  <c r="B59" i="9"/>
  <c r="A60" i="9"/>
  <c r="B60" i="9"/>
  <c r="A61" i="9"/>
  <c r="B61" i="9"/>
  <c r="A62" i="9"/>
  <c r="B62" i="9"/>
  <c r="A63" i="9"/>
  <c r="B63" i="9"/>
  <c r="A64" i="9"/>
  <c r="B64" i="9"/>
  <c r="A65" i="9"/>
  <c r="B65" i="9"/>
  <c r="A66" i="9"/>
  <c r="B66" i="9"/>
  <c r="A67" i="9"/>
  <c r="B67" i="9"/>
  <c r="A68" i="9"/>
  <c r="B68" i="9"/>
  <c r="A69" i="9"/>
  <c r="B69" i="9"/>
  <c r="A70" i="9"/>
  <c r="B70" i="9"/>
  <c r="A71" i="9"/>
  <c r="B71" i="9"/>
  <c r="A72" i="9"/>
  <c r="B72" i="9"/>
  <c r="A73" i="9"/>
  <c r="B73" i="9"/>
  <c r="A74" i="9"/>
  <c r="B74" i="9"/>
  <c r="A75" i="9"/>
  <c r="B75" i="9"/>
  <c r="A76" i="9"/>
  <c r="B76" i="9"/>
  <c r="A77" i="9"/>
  <c r="B77" i="9"/>
  <c r="A78" i="9"/>
  <c r="B78" i="9"/>
  <c r="A79" i="9"/>
  <c r="B79" i="9"/>
  <c r="A80" i="9"/>
  <c r="B80" i="9"/>
  <c r="A81" i="9"/>
  <c r="B81" i="9"/>
  <c r="A82" i="9"/>
  <c r="B82" i="9"/>
  <c r="A83" i="9"/>
  <c r="B83" i="9"/>
  <c r="A84" i="9"/>
  <c r="B84" i="9"/>
  <c r="A85" i="9"/>
  <c r="B85" i="9"/>
  <c r="A86" i="9"/>
  <c r="B86" i="9"/>
  <c r="A87" i="9"/>
  <c r="B87" i="9"/>
  <c r="A88" i="9"/>
  <c r="B88" i="9"/>
  <c r="A89" i="9"/>
  <c r="B89" i="9"/>
  <c r="A90" i="9"/>
  <c r="B90" i="9"/>
  <c r="A91" i="9"/>
  <c r="B91" i="9"/>
  <c r="A92" i="9"/>
  <c r="B92" i="9"/>
  <c r="A93" i="9"/>
  <c r="B93" i="9"/>
  <c r="A94" i="9"/>
  <c r="B94" i="9"/>
  <c r="A95" i="9"/>
  <c r="B95" i="9"/>
  <c r="A96" i="9"/>
  <c r="B96" i="9"/>
  <c r="A97" i="9"/>
  <c r="B97" i="9"/>
  <c r="A98" i="9"/>
  <c r="B98" i="9"/>
  <c r="A99" i="9"/>
  <c r="B99" i="9"/>
  <c r="A100" i="9"/>
  <c r="B100" i="9"/>
  <c r="A101" i="9"/>
  <c r="B101" i="9"/>
  <c r="A102" i="9"/>
  <c r="B102" i="9"/>
  <c r="A103" i="9"/>
  <c r="B103" i="9"/>
  <c r="A104" i="9"/>
  <c r="B104" i="9"/>
  <c r="A105" i="9"/>
  <c r="B105" i="9"/>
  <c r="A106" i="9"/>
  <c r="B106" i="9"/>
  <c r="A107" i="9"/>
  <c r="B107" i="9"/>
  <c r="A108" i="9"/>
  <c r="B108" i="9"/>
  <c r="A109" i="9"/>
  <c r="B109" i="9"/>
  <c r="A110" i="9"/>
  <c r="B110" i="9"/>
  <c r="A111" i="9"/>
  <c r="B111" i="9"/>
  <c r="A112" i="9"/>
  <c r="B112" i="9"/>
  <c r="A113" i="9"/>
  <c r="B113" i="9"/>
  <c r="A114" i="9"/>
  <c r="B114" i="9"/>
  <c r="A115" i="9"/>
  <c r="B115" i="9"/>
  <c r="A116" i="9"/>
  <c r="B116" i="9"/>
  <c r="A117" i="9"/>
  <c r="B117" i="9"/>
  <c r="A118" i="9"/>
  <c r="B118" i="9"/>
  <c r="A119" i="9"/>
  <c r="B119" i="9"/>
  <c r="A120" i="9"/>
  <c r="B120" i="9"/>
  <c r="A121" i="9"/>
  <c r="B121" i="9"/>
  <c r="A122" i="9"/>
  <c r="B122" i="9"/>
  <c r="A123" i="9"/>
  <c r="B123" i="9"/>
  <c r="A124" i="9"/>
  <c r="B124" i="9"/>
  <c r="A125" i="9"/>
  <c r="B125" i="9"/>
  <c r="A126" i="9"/>
  <c r="B126" i="9"/>
  <c r="A127" i="9"/>
  <c r="B127" i="9"/>
  <c r="A128" i="9"/>
  <c r="B128" i="9"/>
  <c r="A129" i="9"/>
  <c r="B129" i="9"/>
  <c r="A130" i="9"/>
  <c r="B130" i="9"/>
  <c r="A131" i="9"/>
  <c r="B131" i="9"/>
  <c r="A132" i="9"/>
  <c r="B132" i="9"/>
  <c r="A133" i="9"/>
  <c r="B133" i="9"/>
  <c r="A134" i="9"/>
  <c r="B134" i="9"/>
  <c r="A135" i="9"/>
  <c r="B135" i="9"/>
  <c r="A136" i="9"/>
  <c r="B136" i="9"/>
  <c r="A137" i="9"/>
  <c r="B137" i="9"/>
  <c r="A138" i="9"/>
  <c r="B138" i="9"/>
  <c r="A139" i="9"/>
  <c r="B139" i="9"/>
  <c r="A140" i="9"/>
  <c r="B140" i="9"/>
  <c r="A141" i="9"/>
  <c r="B141" i="9"/>
  <c r="A142" i="9"/>
  <c r="B142" i="9"/>
  <c r="A143" i="9"/>
  <c r="B143" i="9"/>
  <c r="A144" i="9"/>
  <c r="B144" i="9"/>
  <c r="A145" i="9"/>
  <c r="B145" i="9"/>
  <c r="A146" i="9"/>
  <c r="B146" i="9"/>
  <c r="A147" i="9"/>
  <c r="B147" i="9"/>
  <c r="A148" i="9"/>
  <c r="B148" i="9"/>
  <c r="A149" i="9"/>
  <c r="B149" i="9"/>
  <c r="A150" i="9"/>
  <c r="B150" i="9"/>
  <c r="A151" i="9"/>
  <c r="B151" i="9"/>
  <c r="A152" i="9"/>
  <c r="B152" i="9"/>
  <c r="A153" i="9"/>
  <c r="B153" i="9"/>
  <c r="A154" i="9"/>
  <c r="B154" i="9"/>
  <c r="A155" i="9"/>
  <c r="B155" i="9"/>
  <c r="A156" i="9"/>
  <c r="B156" i="9"/>
  <c r="A157" i="9"/>
  <c r="B157" i="9"/>
  <c r="A158" i="9"/>
  <c r="B158" i="9"/>
  <c r="A159" i="9"/>
  <c r="B159" i="9"/>
  <c r="A160" i="9"/>
  <c r="B160" i="9"/>
  <c r="A161" i="9"/>
  <c r="B161" i="9"/>
  <c r="A162" i="9"/>
  <c r="B162" i="9"/>
  <c r="A163" i="9"/>
  <c r="B163" i="9"/>
  <c r="A164" i="9"/>
  <c r="B164" i="9"/>
  <c r="A165" i="9"/>
  <c r="B165" i="9"/>
  <c r="A166" i="9"/>
  <c r="B166" i="9"/>
  <c r="A167" i="9"/>
  <c r="B167" i="9"/>
  <c r="A168" i="9"/>
  <c r="B168" i="9"/>
  <c r="A169" i="9"/>
  <c r="B169" i="9"/>
  <c r="A170" i="9"/>
  <c r="B170" i="9"/>
  <c r="A171" i="9"/>
  <c r="B171" i="9"/>
  <c r="A172" i="9"/>
  <c r="B172" i="9"/>
  <c r="A173" i="9"/>
  <c r="B173" i="9"/>
  <c r="A174" i="9"/>
  <c r="B174" i="9"/>
  <c r="A175" i="9"/>
  <c r="B175" i="9"/>
  <c r="A176" i="9"/>
  <c r="B176" i="9"/>
  <c r="A177" i="9"/>
  <c r="B177" i="9"/>
  <c r="A178" i="9"/>
  <c r="B178" i="9"/>
  <c r="A179" i="9"/>
  <c r="B179" i="9"/>
  <c r="A180" i="9"/>
  <c r="B180" i="9"/>
  <c r="A181" i="9"/>
  <c r="B181" i="9"/>
  <c r="A182" i="9"/>
  <c r="B182" i="9"/>
  <c r="A183" i="9"/>
  <c r="B183" i="9"/>
  <c r="A184" i="9"/>
  <c r="B184" i="9"/>
  <c r="A185" i="9"/>
  <c r="B185" i="9"/>
  <c r="A186" i="9"/>
  <c r="B186" i="9"/>
  <c r="A187" i="9"/>
  <c r="B187" i="9"/>
  <c r="A188" i="9"/>
  <c r="B188" i="9"/>
  <c r="A189" i="9"/>
  <c r="B189" i="9"/>
  <c r="A190" i="9"/>
  <c r="B190" i="9"/>
  <c r="A191" i="9"/>
  <c r="B191" i="9"/>
  <c r="A192" i="9"/>
  <c r="B192" i="9"/>
  <c r="A193" i="9"/>
  <c r="B193" i="9"/>
  <c r="A194" i="9"/>
  <c r="B194" i="9"/>
  <c r="A195" i="9"/>
  <c r="B195" i="9"/>
  <c r="A196" i="9"/>
  <c r="B196" i="9"/>
  <c r="A197" i="9"/>
  <c r="B197" i="9"/>
  <c r="A198" i="9"/>
  <c r="B198" i="9"/>
  <c r="A199" i="9"/>
  <c r="B199" i="9"/>
  <c r="A200" i="9"/>
  <c r="B200" i="9"/>
  <c r="A201" i="9"/>
  <c r="B201" i="9"/>
  <c r="A202" i="9"/>
  <c r="B202" i="9"/>
  <c r="A203" i="9"/>
  <c r="B203" i="9"/>
  <c r="A204" i="9"/>
  <c r="B204" i="9"/>
  <c r="A205" i="9"/>
  <c r="B205" i="9"/>
  <c r="A206" i="9"/>
  <c r="B206" i="9"/>
  <c r="A207" i="9"/>
  <c r="B207" i="9"/>
  <c r="A208" i="9"/>
  <c r="B208" i="9"/>
  <c r="A209" i="9"/>
  <c r="B209" i="9"/>
  <c r="A210" i="9"/>
  <c r="B210" i="9"/>
  <c r="A211" i="9"/>
  <c r="B211" i="9"/>
  <c r="A212" i="9"/>
  <c r="B212" i="9"/>
  <c r="A213" i="9"/>
  <c r="B213" i="9"/>
  <c r="A214" i="9"/>
  <c r="B214" i="9"/>
  <c r="A215" i="9"/>
  <c r="B215" i="9"/>
  <c r="A216" i="9"/>
  <c r="B216" i="9"/>
  <c r="A217" i="9"/>
  <c r="B217" i="9"/>
  <c r="A218" i="9"/>
  <c r="B218" i="9"/>
  <c r="A219" i="9"/>
  <c r="B219" i="9"/>
  <c r="A220" i="9"/>
  <c r="B220" i="9"/>
  <c r="A221" i="9"/>
  <c r="B221" i="9"/>
  <c r="A222" i="9"/>
  <c r="B222" i="9"/>
  <c r="A223" i="9"/>
  <c r="B223" i="9"/>
  <c r="A224" i="9"/>
  <c r="B224" i="9"/>
  <c r="A225" i="9"/>
  <c r="B225" i="9"/>
  <c r="A226" i="9"/>
  <c r="B226" i="9"/>
  <c r="A227" i="9"/>
  <c r="B227" i="9"/>
  <c r="A228" i="9"/>
  <c r="B228" i="9"/>
  <c r="A229" i="9"/>
  <c r="B229" i="9"/>
  <c r="A230" i="9"/>
  <c r="B230" i="9"/>
  <c r="A231" i="9"/>
  <c r="B231" i="9"/>
  <c r="A232" i="9"/>
  <c r="B232" i="9"/>
  <c r="A233" i="9"/>
  <c r="B233" i="9"/>
  <c r="A234" i="9"/>
  <c r="B234" i="9"/>
  <c r="A235" i="9"/>
  <c r="B235" i="9"/>
  <c r="A236" i="9"/>
  <c r="B236" i="9"/>
  <c r="A237" i="9"/>
  <c r="B237" i="9"/>
  <c r="A238" i="9"/>
  <c r="B238" i="9"/>
  <c r="A239" i="9"/>
  <c r="B239" i="9"/>
  <c r="A240" i="9"/>
  <c r="B240" i="9"/>
  <c r="A241" i="9"/>
  <c r="B241" i="9"/>
  <c r="A242" i="9"/>
  <c r="B242" i="9"/>
  <c r="A243" i="9"/>
  <c r="B243" i="9"/>
  <c r="A244" i="9"/>
  <c r="B244" i="9"/>
  <c r="A245" i="9"/>
  <c r="B245" i="9"/>
  <c r="A246" i="9"/>
  <c r="B246" i="9"/>
  <c r="A247" i="9"/>
  <c r="B247" i="9"/>
  <c r="A248" i="9"/>
  <c r="B248" i="9"/>
  <c r="A249" i="9"/>
  <c r="B249" i="9"/>
  <c r="A250" i="9"/>
  <c r="B250" i="9"/>
  <c r="A251" i="9"/>
  <c r="B251" i="9"/>
  <c r="A252" i="9"/>
  <c r="B252" i="9"/>
  <c r="A253" i="9"/>
  <c r="B253" i="9"/>
  <c r="A254" i="9"/>
  <c r="B254" i="9"/>
  <c r="A255" i="9"/>
  <c r="B255" i="9"/>
  <c r="A256" i="9"/>
  <c r="B256" i="9"/>
  <c r="A257" i="9"/>
  <c r="B257" i="9"/>
  <c r="A258" i="9"/>
  <c r="B258" i="9"/>
  <c r="A259" i="9"/>
  <c r="B259" i="9"/>
  <c r="A260" i="9"/>
  <c r="B260" i="9"/>
  <c r="A261" i="9"/>
  <c r="B261" i="9"/>
  <c r="A262" i="9"/>
  <c r="B262" i="9"/>
  <c r="A263" i="9"/>
  <c r="B263" i="9"/>
  <c r="A264" i="9"/>
  <c r="B264" i="9"/>
  <c r="A265" i="9"/>
  <c r="B265" i="9"/>
  <c r="A266" i="9"/>
  <c r="B266" i="9"/>
  <c r="A267" i="9"/>
  <c r="B267" i="9"/>
  <c r="A268" i="9"/>
  <c r="B268" i="9"/>
  <c r="A269" i="9"/>
  <c r="B269" i="9"/>
  <c r="A270" i="9"/>
  <c r="B270" i="9"/>
  <c r="A271" i="9"/>
  <c r="B271" i="9"/>
  <c r="A272" i="9"/>
  <c r="B272" i="9"/>
  <c r="A273" i="9"/>
  <c r="B273" i="9"/>
  <c r="A274" i="9"/>
  <c r="B274" i="9"/>
  <c r="A275" i="9"/>
  <c r="B275" i="9"/>
  <c r="A276" i="9"/>
  <c r="B276" i="9"/>
  <c r="A277" i="9"/>
  <c r="B277" i="9"/>
  <c r="A278" i="9"/>
  <c r="B278" i="9"/>
  <c r="A279" i="9"/>
  <c r="B279" i="9"/>
  <c r="A280" i="9"/>
  <c r="B280" i="9"/>
  <c r="A281" i="9"/>
  <c r="B281" i="9"/>
  <c r="A282" i="9"/>
  <c r="B282" i="9"/>
  <c r="A283" i="9"/>
  <c r="B283" i="9"/>
  <c r="A284" i="9"/>
  <c r="B284" i="9"/>
  <c r="A285" i="9"/>
  <c r="B285" i="9"/>
  <c r="A286" i="9"/>
  <c r="B286" i="9"/>
  <c r="A287" i="9"/>
  <c r="B287" i="9"/>
  <c r="A288" i="9"/>
  <c r="B288" i="9"/>
  <c r="A289" i="9"/>
  <c r="B289" i="9"/>
  <c r="A290" i="9"/>
  <c r="B290" i="9"/>
  <c r="A291" i="9"/>
  <c r="B291" i="9"/>
  <c r="A292" i="9"/>
  <c r="B292" i="9"/>
  <c r="A293" i="9"/>
  <c r="B293" i="9"/>
  <c r="A294" i="9"/>
  <c r="B294" i="9"/>
  <c r="A295" i="9"/>
  <c r="B295" i="9"/>
  <c r="A296" i="9"/>
  <c r="B296" i="9"/>
  <c r="A297" i="9"/>
  <c r="B297" i="9"/>
  <c r="A298" i="9"/>
  <c r="B298" i="9"/>
  <c r="A299" i="9"/>
  <c r="B299" i="9"/>
  <c r="A300" i="9"/>
  <c r="B300" i="9"/>
  <c r="A301" i="9"/>
  <c r="B301" i="9"/>
  <c r="A302" i="9"/>
  <c r="B302" i="9"/>
  <c r="A303" i="9"/>
  <c r="B303" i="9"/>
  <c r="A304" i="9"/>
  <c r="B304" i="9"/>
  <c r="A305" i="9"/>
  <c r="B305" i="9"/>
  <c r="A306" i="9"/>
  <c r="B306" i="9"/>
  <c r="A307" i="9"/>
  <c r="B307" i="9"/>
  <c r="A308" i="9"/>
  <c r="B308" i="9"/>
  <c r="A309" i="9"/>
  <c r="B309" i="9"/>
  <c r="A310" i="9"/>
  <c r="B310" i="9"/>
  <c r="A311" i="9"/>
  <c r="B311" i="9"/>
  <c r="A312" i="9"/>
  <c r="B312" i="9"/>
  <c r="A313" i="9"/>
  <c r="B313" i="9"/>
  <c r="A314" i="9"/>
  <c r="B314" i="9"/>
  <c r="A315" i="9"/>
  <c r="B315" i="9"/>
  <c r="A316" i="9"/>
  <c r="B316" i="9"/>
  <c r="A317" i="9"/>
  <c r="B317" i="9"/>
  <c r="A318" i="9"/>
  <c r="B318" i="9"/>
  <c r="A319" i="9"/>
  <c r="B319" i="9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211" i="36"/>
  <c r="C212" i="36"/>
  <c r="C213" i="36"/>
  <c r="C214" i="36"/>
  <c r="C215" i="36"/>
  <c r="C216" i="36"/>
  <c r="C217" i="36"/>
  <c r="C218" i="36"/>
  <c r="C219" i="36"/>
  <c r="C220" i="36"/>
  <c r="C221" i="36"/>
  <c r="C222" i="36"/>
  <c r="C223" i="36"/>
  <c r="C224" i="36"/>
  <c r="C225" i="36"/>
  <c r="C226" i="36"/>
  <c r="C227" i="36"/>
  <c r="C228" i="36"/>
  <c r="C229" i="36"/>
  <c r="C230" i="36"/>
  <c r="C231" i="36"/>
  <c r="C232" i="36"/>
  <c r="C233" i="36"/>
  <c r="C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48" i="36"/>
  <c r="C249" i="36"/>
  <c r="C250" i="36"/>
  <c r="C251" i="36"/>
  <c r="C252" i="36"/>
  <c r="C253" i="36"/>
  <c r="C254" i="36"/>
  <c r="C255" i="36"/>
  <c r="C256" i="36"/>
  <c r="C257" i="36"/>
  <c r="C258" i="36"/>
  <c r="C259" i="36"/>
  <c r="C260" i="36"/>
  <c r="C261" i="36"/>
  <c r="C262" i="36"/>
  <c r="C263" i="36"/>
  <c r="C264" i="36"/>
  <c r="C265" i="36"/>
  <c r="C266" i="36"/>
  <c r="C267" i="36"/>
  <c r="C268" i="36"/>
  <c r="C269" i="36"/>
  <c r="C270" i="36"/>
  <c r="C271" i="36"/>
  <c r="C272" i="36"/>
  <c r="C273" i="36"/>
  <c r="C274" i="36"/>
  <c r="C275" i="36"/>
  <c r="C276" i="36"/>
  <c r="C277" i="36"/>
  <c r="C278" i="36"/>
  <c r="C279" i="36"/>
  <c r="C280" i="36"/>
  <c r="C281" i="36"/>
  <c r="C282" i="36"/>
  <c r="C283" i="36"/>
  <c r="C284" i="36"/>
  <c r="C285" i="36"/>
  <c r="C286" i="36"/>
  <c r="C287" i="36"/>
  <c r="C288" i="36"/>
  <c r="C289" i="36"/>
  <c r="C290" i="36"/>
  <c r="C291" i="36"/>
  <c r="C292" i="36"/>
  <c r="C293" i="36"/>
  <c r="C294" i="36"/>
  <c r="C295" i="36"/>
  <c r="C296" i="36"/>
  <c r="C297" i="36"/>
  <c r="C298" i="36"/>
  <c r="C299" i="36"/>
  <c r="C300" i="36"/>
  <c r="C301" i="36"/>
  <c r="C302" i="36"/>
  <c r="C303" i="36"/>
  <c r="C304" i="36"/>
  <c r="C305" i="36"/>
  <c r="C306" i="36"/>
  <c r="C307" i="36"/>
  <c r="C308" i="36"/>
  <c r="C309" i="36"/>
  <c r="C310" i="36"/>
  <c r="C311" i="36"/>
  <c r="C312" i="36"/>
  <c r="C313" i="36"/>
  <c r="C314" i="36"/>
  <c r="C315" i="36"/>
  <c r="C316" i="36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A6" i="33"/>
  <c r="B6" i="33"/>
  <c r="A7" i="33"/>
  <c r="B7" i="33"/>
  <c r="A8" i="33"/>
  <c r="B8" i="33"/>
  <c r="A9" i="33"/>
  <c r="B9" i="33"/>
  <c r="A10" i="33"/>
  <c r="B10" i="33"/>
  <c r="A11" i="33"/>
  <c r="B11" i="33"/>
  <c r="A12" i="33"/>
  <c r="B12" i="33"/>
  <c r="A13" i="33"/>
  <c r="B13" i="33"/>
  <c r="A14" i="33"/>
  <c r="B14" i="33"/>
  <c r="A15" i="33"/>
  <c r="B15" i="33"/>
  <c r="A16" i="33"/>
  <c r="B16" i="33"/>
  <c r="A17" i="33"/>
  <c r="B17" i="33"/>
  <c r="A18" i="33"/>
  <c r="B18" i="33"/>
  <c r="A19" i="33"/>
  <c r="B19" i="33"/>
  <c r="A20" i="33"/>
  <c r="B20" i="33"/>
  <c r="A21" i="33"/>
  <c r="B21" i="33"/>
  <c r="A22" i="33"/>
  <c r="B22" i="33"/>
  <c r="A23" i="33"/>
  <c r="B23" i="33"/>
  <c r="A24" i="33"/>
  <c r="B24" i="33"/>
  <c r="A25" i="33"/>
  <c r="B25" i="33"/>
  <c r="A26" i="33"/>
  <c r="B26" i="33"/>
  <c r="A27" i="33"/>
  <c r="B27" i="33"/>
  <c r="A28" i="33"/>
  <c r="B28" i="33"/>
  <c r="A29" i="33"/>
  <c r="B29" i="33"/>
  <c r="A30" i="33"/>
  <c r="B30" i="33"/>
  <c r="A31" i="33"/>
  <c r="B31" i="33"/>
  <c r="A32" i="33"/>
  <c r="B32" i="33"/>
  <c r="A33" i="33"/>
  <c r="B33" i="33"/>
  <c r="A34" i="33"/>
  <c r="B34" i="33"/>
  <c r="A35" i="33"/>
  <c r="B35" i="33"/>
  <c r="A36" i="33"/>
  <c r="B36" i="33"/>
  <c r="A37" i="33"/>
  <c r="B37" i="33"/>
  <c r="A38" i="33"/>
  <c r="B38" i="33"/>
  <c r="A39" i="33"/>
  <c r="B39" i="33"/>
  <c r="A40" i="33"/>
  <c r="B40" i="33"/>
  <c r="A41" i="33"/>
  <c r="B41" i="33"/>
  <c r="A42" i="33"/>
  <c r="B42" i="33"/>
  <c r="A43" i="33"/>
  <c r="B43" i="33"/>
  <c r="A44" i="33"/>
  <c r="B44" i="33"/>
  <c r="A45" i="33"/>
  <c r="B45" i="33"/>
  <c r="A46" i="33"/>
  <c r="B46" i="33"/>
  <c r="A47" i="33"/>
  <c r="B47" i="33"/>
  <c r="A48" i="33"/>
  <c r="B48" i="33"/>
  <c r="A49" i="33"/>
  <c r="B49" i="33"/>
  <c r="A50" i="33"/>
  <c r="B50" i="33"/>
  <c r="A51" i="33"/>
  <c r="B51" i="33"/>
  <c r="A52" i="33"/>
  <c r="B52" i="33"/>
  <c r="A53" i="33"/>
  <c r="B53" i="33"/>
  <c r="A54" i="33"/>
  <c r="B54" i="33"/>
  <c r="A55" i="33"/>
  <c r="B55" i="33"/>
  <c r="A56" i="33"/>
  <c r="B56" i="33"/>
  <c r="A57" i="33"/>
  <c r="B57" i="33"/>
  <c r="A58" i="33"/>
  <c r="B58" i="33"/>
  <c r="A59" i="33"/>
  <c r="B59" i="33"/>
  <c r="A60" i="33"/>
  <c r="B60" i="33"/>
  <c r="A61" i="33"/>
  <c r="B61" i="33"/>
  <c r="A62" i="33"/>
  <c r="B62" i="33"/>
  <c r="A63" i="33"/>
  <c r="B63" i="33"/>
  <c r="A64" i="33"/>
  <c r="B64" i="33"/>
  <c r="A65" i="33"/>
  <c r="B65" i="33"/>
  <c r="A66" i="33"/>
  <c r="B66" i="33"/>
  <c r="A67" i="33"/>
  <c r="B67" i="33"/>
  <c r="A68" i="33"/>
  <c r="B68" i="33"/>
  <c r="A69" i="33"/>
  <c r="B69" i="33"/>
  <c r="A70" i="33"/>
  <c r="B70" i="33"/>
  <c r="A71" i="33"/>
  <c r="B71" i="33"/>
  <c r="A72" i="33"/>
  <c r="B72" i="33"/>
  <c r="A73" i="33"/>
  <c r="B73" i="33"/>
  <c r="A74" i="33"/>
  <c r="B74" i="33"/>
  <c r="A75" i="33"/>
  <c r="B75" i="33"/>
  <c r="A76" i="33"/>
  <c r="B76" i="33"/>
  <c r="A77" i="33"/>
  <c r="B77" i="33"/>
  <c r="A78" i="33"/>
  <c r="B78" i="33"/>
  <c r="A79" i="33"/>
  <c r="B79" i="33"/>
  <c r="A80" i="33"/>
  <c r="B80" i="33"/>
  <c r="A81" i="33"/>
  <c r="B81" i="33"/>
  <c r="A82" i="33"/>
  <c r="B82" i="33"/>
  <c r="A83" i="33"/>
  <c r="B83" i="33"/>
  <c r="A84" i="33"/>
  <c r="B84" i="33"/>
  <c r="A85" i="33"/>
  <c r="B85" i="33"/>
  <c r="A86" i="33"/>
  <c r="B86" i="33"/>
  <c r="A87" i="33"/>
  <c r="B87" i="33"/>
  <c r="A88" i="33"/>
  <c r="B88" i="33"/>
  <c r="A89" i="33"/>
  <c r="B89" i="33"/>
  <c r="A90" i="33"/>
  <c r="B90" i="33"/>
  <c r="A91" i="33"/>
  <c r="B91" i="33"/>
  <c r="A92" i="33"/>
  <c r="B92" i="33"/>
  <c r="A93" i="33"/>
  <c r="B93" i="33"/>
  <c r="A94" i="33"/>
  <c r="B94" i="33"/>
  <c r="A95" i="33"/>
  <c r="B95" i="33"/>
  <c r="A96" i="33"/>
  <c r="B96" i="33"/>
  <c r="A97" i="33"/>
  <c r="B97" i="33"/>
  <c r="A98" i="33"/>
  <c r="B98" i="33"/>
  <c r="A99" i="33"/>
  <c r="B99" i="33"/>
  <c r="A100" i="33"/>
  <c r="B100" i="33"/>
  <c r="A101" i="33"/>
  <c r="B101" i="33"/>
  <c r="A102" i="33"/>
  <c r="B102" i="33"/>
  <c r="A103" i="33"/>
  <c r="B103" i="33"/>
  <c r="A104" i="33"/>
  <c r="B104" i="33"/>
  <c r="A105" i="33"/>
  <c r="B105" i="33"/>
  <c r="A106" i="33"/>
  <c r="B106" i="33"/>
  <c r="A107" i="33"/>
  <c r="B107" i="33"/>
  <c r="A108" i="33"/>
  <c r="B108" i="33"/>
  <c r="A109" i="33"/>
  <c r="B109" i="33"/>
  <c r="A110" i="33"/>
  <c r="B110" i="33"/>
  <c r="A111" i="33"/>
  <c r="B111" i="33"/>
  <c r="A112" i="33"/>
  <c r="B112" i="33"/>
  <c r="A113" i="33"/>
  <c r="B113" i="33"/>
  <c r="A114" i="33"/>
  <c r="B114" i="33"/>
  <c r="A115" i="33"/>
  <c r="B115" i="33"/>
  <c r="A116" i="33"/>
  <c r="B116" i="33"/>
  <c r="A117" i="33"/>
  <c r="B117" i="33"/>
  <c r="A118" i="33"/>
  <c r="B118" i="33"/>
  <c r="A119" i="33"/>
  <c r="B119" i="33"/>
  <c r="A120" i="33"/>
  <c r="B120" i="33"/>
  <c r="A121" i="33"/>
  <c r="B121" i="33"/>
  <c r="A122" i="33"/>
  <c r="B122" i="33"/>
  <c r="A123" i="33"/>
  <c r="B123" i="33"/>
  <c r="A124" i="33"/>
  <c r="B124" i="33"/>
  <c r="A125" i="33"/>
  <c r="B125" i="33"/>
  <c r="A126" i="33"/>
  <c r="B126" i="33"/>
  <c r="A127" i="33"/>
  <c r="B127" i="33"/>
  <c r="A128" i="33"/>
  <c r="B128" i="33"/>
  <c r="A129" i="33"/>
  <c r="B129" i="33"/>
  <c r="A130" i="33"/>
  <c r="B130" i="33"/>
  <c r="A131" i="33"/>
  <c r="B131" i="33"/>
  <c r="A132" i="33"/>
  <c r="B132" i="33"/>
  <c r="A133" i="33"/>
  <c r="B133" i="33"/>
  <c r="A134" i="33"/>
  <c r="B134" i="33"/>
  <c r="A135" i="33"/>
  <c r="B135" i="33"/>
  <c r="A136" i="33"/>
  <c r="B136" i="33"/>
  <c r="A137" i="33"/>
  <c r="B137" i="33"/>
  <c r="A138" i="33"/>
  <c r="B138" i="33"/>
  <c r="A139" i="33"/>
  <c r="B139" i="33"/>
  <c r="A140" i="33"/>
  <c r="B140" i="33"/>
  <c r="A141" i="33"/>
  <c r="B141" i="33"/>
  <c r="A142" i="33"/>
  <c r="B142" i="33"/>
  <c r="A143" i="33"/>
  <c r="B143" i="33"/>
  <c r="A144" i="33"/>
  <c r="B144" i="33"/>
  <c r="A145" i="33"/>
  <c r="B145" i="33"/>
  <c r="A146" i="33"/>
  <c r="B146" i="33"/>
  <c r="A147" i="33"/>
  <c r="B147" i="33"/>
  <c r="A148" i="33"/>
  <c r="B148" i="33"/>
  <c r="A149" i="33"/>
  <c r="B149" i="33"/>
  <c r="A150" i="33"/>
  <c r="B150" i="33"/>
  <c r="A151" i="33"/>
  <c r="B151" i="33"/>
  <c r="A152" i="33"/>
  <c r="B152" i="33"/>
  <c r="A153" i="33"/>
  <c r="B153" i="33"/>
  <c r="A154" i="33"/>
  <c r="B154" i="33"/>
  <c r="A155" i="33"/>
  <c r="B155" i="33"/>
  <c r="A156" i="33"/>
  <c r="B156" i="33"/>
  <c r="A157" i="33"/>
  <c r="B157" i="33"/>
  <c r="A158" i="33"/>
  <c r="B158" i="33"/>
  <c r="A159" i="33"/>
  <c r="B159" i="33"/>
  <c r="A160" i="33"/>
  <c r="B160" i="33"/>
  <c r="A161" i="33"/>
  <c r="B161" i="33"/>
  <c r="A162" i="33"/>
  <c r="B162" i="33"/>
  <c r="A163" i="33"/>
  <c r="B163" i="33"/>
  <c r="A164" i="33"/>
  <c r="B164" i="33"/>
  <c r="A165" i="33"/>
  <c r="B165" i="33"/>
  <c r="A166" i="33"/>
  <c r="B166" i="33"/>
  <c r="A167" i="33"/>
  <c r="B167" i="33"/>
  <c r="A168" i="33"/>
  <c r="B168" i="33"/>
  <c r="A169" i="33"/>
  <c r="B169" i="33"/>
  <c r="A170" i="33"/>
  <c r="B170" i="33"/>
  <c r="A171" i="33"/>
  <c r="B171" i="33"/>
  <c r="A172" i="33"/>
  <c r="B172" i="33"/>
  <c r="A173" i="33"/>
  <c r="B173" i="33"/>
  <c r="A174" i="33"/>
  <c r="B174" i="33"/>
  <c r="A175" i="33"/>
  <c r="B175" i="33"/>
  <c r="A176" i="33"/>
  <c r="B176" i="33"/>
  <c r="A177" i="33"/>
  <c r="B177" i="33"/>
  <c r="A178" i="33"/>
  <c r="B178" i="33"/>
  <c r="A179" i="33"/>
  <c r="B179" i="33"/>
  <c r="A180" i="33"/>
  <c r="B180" i="33"/>
  <c r="A181" i="33"/>
  <c r="B181" i="33"/>
  <c r="A182" i="33"/>
  <c r="B182" i="33"/>
  <c r="A183" i="33"/>
  <c r="B183" i="33"/>
  <c r="A184" i="33"/>
  <c r="B184" i="33"/>
  <c r="A185" i="33"/>
  <c r="B185" i="33"/>
  <c r="A186" i="33"/>
  <c r="B186" i="33"/>
  <c r="A187" i="33"/>
  <c r="B187" i="33"/>
  <c r="A188" i="33"/>
  <c r="B188" i="33"/>
  <c r="A189" i="33"/>
  <c r="B189" i="33"/>
  <c r="A190" i="33"/>
  <c r="B190" i="33"/>
  <c r="A191" i="33"/>
  <c r="B191" i="33"/>
  <c r="A192" i="33"/>
  <c r="B192" i="33"/>
  <c r="A193" i="33"/>
  <c r="B193" i="33"/>
  <c r="A194" i="33"/>
  <c r="B194" i="33"/>
  <c r="A195" i="33"/>
  <c r="B195" i="33"/>
  <c r="A196" i="33"/>
  <c r="B196" i="33"/>
  <c r="A197" i="33"/>
  <c r="B197" i="33"/>
  <c r="A198" i="33"/>
  <c r="B198" i="33"/>
  <c r="A199" i="33"/>
  <c r="B199" i="33"/>
  <c r="A200" i="33"/>
  <c r="B200" i="33"/>
  <c r="A201" i="33"/>
  <c r="B201" i="33"/>
  <c r="A202" i="33"/>
  <c r="B202" i="33"/>
  <c r="A203" i="33"/>
  <c r="B203" i="33"/>
  <c r="A204" i="33"/>
  <c r="B204" i="33"/>
  <c r="A205" i="33"/>
  <c r="B205" i="33"/>
  <c r="A206" i="33"/>
  <c r="B206" i="33"/>
  <c r="A207" i="33"/>
  <c r="B207" i="33"/>
  <c r="A208" i="33"/>
  <c r="B208" i="33"/>
  <c r="A209" i="33"/>
  <c r="B209" i="33"/>
  <c r="A210" i="33"/>
  <c r="B210" i="33"/>
  <c r="A211" i="33"/>
  <c r="B211" i="33"/>
  <c r="D211" i="33"/>
  <c r="A212" i="33"/>
  <c r="B212" i="33"/>
  <c r="A213" i="33"/>
  <c r="B213" i="33"/>
  <c r="A214" i="33"/>
  <c r="B214" i="33"/>
  <c r="A215" i="33"/>
  <c r="B215" i="33"/>
  <c r="A216" i="33"/>
  <c r="B216" i="33"/>
  <c r="A217" i="33"/>
  <c r="B217" i="33"/>
  <c r="A218" i="33"/>
  <c r="B218" i="33"/>
  <c r="A219" i="33"/>
  <c r="B219" i="33"/>
  <c r="A220" i="33"/>
  <c r="B220" i="33"/>
  <c r="A221" i="33"/>
  <c r="B221" i="33"/>
  <c r="A222" i="33"/>
  <c r="B222" i="33"/>
  <c r="A223" i="33"/>
  <c r="B223" i="33"/>
  <c r="A224" i="33"/>
  <c r="B224" i="33"/>
  <c r="A225" i="33"/>
  <c r="B225" i="33"/>
  <c r="A226" i="33"/>
  <c r="B226" i="33"/>
  <c r="A227" i="33"/>
  <c r="B227" i="33"/>
  <c r="A228" i="33"/>
  <c r="B228" i="33"/>
  <c r="A229" i="33"/>
  <c r="B229" i="33"/>
  <c r="A230" i="33"/>
  <c r="B230" i="33"/>
  <c r="A231" i="33"/>
  <c r="B231" i="33"/>
  <c r="A232" i="33"/>
  <c r="B232" i="33"/>
  <c r="A233" i="33"/>
  <c r="B233" i="33"/>
  <c r="A234" i="33"/>
  <c r="B234" i="33"/>
  <c r="A235" i="33"/>
  <c r="B235" i="33"/>
  <c r="A236" i="33"/>
  <c r="B236" i="33"/>
  <c r="A237" i="33"/>
  <c r="B237" i="33"/>
  <c r="A238" i="33"/>
  <c r="B238" i="33"/>
  <c r="A239" i="33"/>
  <c r="B239" i="33"/>
  <c r="A240" i="33"/>
  <c r="B240" i="33"/>
  <c r="A241" i="33"/>
  <c r="B241" i="33"/>
  <c r="A242" i="33"/>
  <c r="B242" i="33"/>
  <c r="A243" i="33"/>
  <c r="B243" i="33"/>
  <c r="A244" i="33"/>
  <c r="B244" i="33"/>
  <c r="A245" i="33"/>
  <c r="B245" i="33"/>
  <c r="D245" i="33"/>
  <c r="A246" i="33"/>
  <c r="B246" i="33"/>
  <c r="A247" i="33"/>
  <c r="B247" i="33"/>
  <c r="A248" i="33"/>
  <c r="B248" i="33"/>
  <c r="A249" i="33"/>
  <c r="B249" i="33"/>
  <c r="A250" i="33"/>
  <c r="B250" i="33"/>
  <c r="A251" i="33"/>
  <c r="B251" i="33"/>
  <c r="A252" i="33"/>
  <c r="B252" i="33"/>
  <c r="A253" i="33"/>
  <c r="B253" i="33"/>
  <c r="A254" i="33"/>
  <c r="B254" i="33"/>
  <c r="A255" i="33"/>
  <c r="B255" i="33"/>
  <c r="A256" i="33"/>
  <c r="B256" i="33"/>
  <c r="A257" i="33"/>
  <c r="B257" i="33"/>
  <c r="A258" i="33"/>
  <c r="B258" i="33"/>
  <c r="A259" i="33"/>
  <c r="B259" i="33"/>
  <c r="A260" i="33"/>
  <c r="B260" i="33"/>
  <c r="A261" i="33"/>
  <c r="B261" i="33"/>
  <c r="A262" i="33"/>
  <c r="B262" i="33"/>
  <c r="A263" i="33"/>
  <c r="B263" i="33"/>
  <c r="A264" i="33"/>
  <c r="B264" i="33"/>
  <c r="A265" i="33"/>
  <c r="B265" i="33"/>
  <c r="A266" i="33"/>
  <c r="B266" i="33"/>
  <c r="A267" i="33"/>
  <c r="B267" i="33"/>
  <c r="A268" i="33"/>
  <c r="B268" i="33"/>
  <c r="A269" i="33"/>
  <c r="B269" i="33"/>
  <c r="A270" i="33"/>
  <c r="B270" i="33"/>
  <c r="A271" i="33"/>
  <c r="B271" i="33"/>
  <c r="A272" i="33"/>
  <c r="B272" i="33"/>
  <c r="A273" i="33"/>
  <c r="B273" i="33"/>
  <c r="A274" i="33"/>
  <c r="B274" i="33"/>
  <c r="A275" i="33"/>
  <c r="B275" i="33"/>
  <c r="A276" i="33"/>
  <c r="B276" i="33"/>
  <c r="A277" i="33"/>
  <c r="B277" i="33"/>
  <c r="A278" i="33"/>
  <c r="B278" i="33"/>
  <c r="A279" i="33"/>
  <c r="B279" i="33"/>
  <c r="A280" i="33"/>
  <c r="B280" i="33"/>
  <c r="A281" i="33"/>
  <c r="B281" i="33"/>
  <c r="A282" i="33"/>
  <c r="B282" i="33"/>
  <c r="A283" i="33"/>
  <c r="B283" i="33"/>
  <c r="A284" i="33"/>
  <c r="B284" i="33"/>
  <c r="A285" i="33"/>
  <c r="B285" i="33"/>
  <c r="A286" i="33"/>
  <c r="B286" i="33"/>
  <c r="A287" i="33"/>
  <c r="B287" i="33"/>
  <c r="A288" i="33"/>
  <c r="B288" i="33"/>
  <c r="A289" i="33"/>
  <c r="B289" i="33"/>
  <c r="A290" i="33"/>
  <c r="B290" i="33"/>
  <c r="A291" i="33"/>
  <c r="B291" i="33"/>
  <c r="A292" i="33"/>
  <c r="B292" i="33"/>
  <c r="A293" i="33"/>
  <c r="B293" i="33"/>
  <c r="A294" i="33"/>
  <c r="B294" i="33"/>
  <c r="A295" i="33"/>
  <c r="B295" i="33"/>
  <c r="A296" i="33"/>
  <c r="B296" i="33"/>
  <c r="A297" i="33"/>
  <c r="B297" i="33"/>
  <c r="A298" i="33"/>
  <c r="B298" i="33"/>
  <c r="A299" i="33"/>
  <c r="B299" i="33"/>
  <c r="A300" i="33"/>
  <c r="B300" i="33"/>
  <c r="A301" i="33"/>
  <c r="B301" i="33"/>
  <c r="A302" i="33"/>
  <c r="B302" i="33"/>
  <c r="A303" i="33"/>
  <c r="B303" i="33"/>
  <c r="A304" i="33"/>
  <c r="B304" i="33"/>
  <c r="A305" i="33"/>
  <c r="B305" i="33"/>
  <c r="A306" i="33"/>
  <c r="B306" i="33"/>
  <c r="A307" i="33"/>
  <c r="B307" i="33"/>
  <c r="A308" i="33"/>
  <c r="B308" i="33"/>
  <c r="A309" i="33"/>
  <c r="B309" i="33"/>
  <c r="A310" i="33"/>
  <c r="B310" i="33"/>
  <c r="A311" i="33"/>
  <c r="B311" i="33"/>
  <c r="A312" i="33"/>
  <c r="B312" i="33"/>
  <c r="A313" i="33"/>
  <c r="B313" i="33"/>
  <c r="A6" i="32"/>
  <c r="B6" i="32"/>
  <c r="A7" i="32"/>
  <c r="B7" i="32"/>
  <c r="A8" i="32"/>
  <c r="B8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A24" i="32"/>
  <c r="B24" i="32"/>
  <c r="A25" i="32"/>
  <c r="B25" i="32"/>
  <c r="A26" i="32"/>
  <c r="B26" i="32"/>
  <c r="A27" i="32"/>
  <c r="B27" i="32"/>
  <c r="A28" i="32"/>
  <c r="B28" i="32"/>
  <c r="A29" i="32"/>
  <c r="B29" i="32"/>
  <c r="A30" i="32"/>
  <c r="B30" i="32"/>
  <c r="A31" i="32"/>
  <c r="B31" i="32"/>
  <c r="A32" i="32"/>
  <c r="B32" i="32"/>
  <c r="A33" i="32"/>
  <c r="B33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A51" i="32"/>
  <c r="B51" i="32"/>
  <c r="A52" i="32"/>
  <c r="B52" i="32"/>
  <c r="A53" i="32"/>
  <c r="B53" i="32"/>
  <c r="A54" i="32"/>
  <c r="B54" i="32"/>
  <c r="A55" i="32"/>
  <c r="B55" i="32"/>
  <c r="A56" i="32"/>
  <c r="B56" i="32"/>
  <c r="A57" i="32"/>
  <c r="B57" i="32"/>
  <c r="A58" i="32"/>
  <c r="B58" i="32"/>
  <c r="A59" i="32"/>
  <c r="B59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A74" i="32"/>
  <c r="B74" i="32"/>
  <c r="A75" i="32"/>
  <c r="B75" i="32"/>
  <c r="A76" i="32"/>
  <c r="B76" i="32"/>
  <c r="A77" i="32"/>
  <c r="B77" i="32"/>
  <c r="A78" i="32"/>
  <c r="B78" i="32"/>
  <c r="A79" i="32"/>
  <c r="B79" i="32"/>
  <c r="A80" i="32"/>
  <c r="B80" i="32"/>
  <c r="A81" i="32"/>
  <c r="B81" i="32"/>
  <c r="A82" i="32"/>
  <c r="B82" i="32"/>
  <c r="A83" i="32"/>
  <c r="B83" i="32"/>
  <c r="A84" i="32"/>
  <c r="B84" i="32"/>
  <c r="A85" i="32"/>
  <c r="B85" i="32"/>
  <c r="A86" i="32"/>
  <c r="B86" i="32"/>
  <c r="A87" i="32"/>
  <c r="B87" i="32"/>
  <c r="A88" i="32"/>
  <c r="B88" i="32"/>
  <c r="A89" i="32"/>
  <c r="B89" i="32"/>
  <c r="A90" i="32"/>
  <c r="B90" i="32"/>
  <c r="A91" i="32"/>
  <c r="B91" i="32"/>
  <c r="A92" i="32"/>
  <c r="B92" i="32"/>
  <c r="A93" i="32"/>
  <c r="B93" i="32"/>
  <c r="A94" i="32"/>
  <c r="B94" i="32"/>
  <c r="A95" i="32"/>
  <c r="B95" i="32"/>
  <c r="A96" i="32"/>
  <c r="B96" i="32"/>
  <c r="A97" i="32"/>
  <c r="B97" i="32"/>
  <c r="A98" i="32"/>
  <c r="B98" i="32"/>
  <c r="A99" i="32"/>
  <c r="B99" i="32"/>
  <c r="A100" i="32"/>
  <c r="B100" i="32"/>
  <c r="A101" i="32"/>
  <c r="B101" i="32"/>
  <c r="A102" i="32"/>
  <c r="B102" i="32"/>
  <c r="A103" i="32"/>
  <c r="B103" i="32"/>
  <c r="A104" i="32"/>
  <c r="B104" i="32"/>
  <c r="A105" i="32"/>
  <c r="B105" i="32"/>
  <c r="A106" i="32"/>
  <c r="B106" i="32"/>
  <c r="A107" i="32"/>
  <c r="B107" i="32"/>
  <c r="A108" i="32"/>
  <c r="B108" i="32"/>
  <c r="A109" i="32"/>
  <c r="B109" i="32"/>
  <c r="A110" i="32"/>
  <c r="B110" i="32"/>
  <c r="A111" i="32"/>
  <c r="B111" i="32"/>
  <c r="A112" i="32"/>
  <c r="B112" i="32"/>
  <c r="A113" i="32"/>
  <c r="B113" i="32"/>
  <c r="A114" i="32"/>
  <c r="B114" i="32"/>
  <c r="A115" i="32"/>
  <c r="B115" i="32"/>
  <c r="A116" i="32"/>
  <c r="B116" i="32"/>
  <c r="A117" i="32"/>
  <c r="B117" i="32"/>
  <c r="A118" i="32"/>
  <c r="B118" i="32"/>
  <c r="A119" i="32"/>
  <c r="B119" i="32"/>
  <c r="A120" i="32"/>
  <c r="B120" i="32"/>
  <c r="A121" i="32"/>
  <c r="B121" i="32"/>
  <c r="A122" i="32"/>
  <c r="B122" i="32"/>
  <c r="A123" i="32"/>
  <c r="B123" i="32"/>
  <c r="A124" i="32"/>
  <c r="B124" i="32"/>
  <c r="A125" i="32"/>
  <c r="B125" i="32"/>
  <c r="A126" i="32"/>
  <c r="B126" i="32"/>
  <c r="A127" i="32"/>
  <c r="B127" i="32"/>
  <c r="A128" i="32"/>
  <c r="B128" i="32"/>
  <c r="A129" i="32"/>
  <c r="B129" i="32"/>
  <c r="A130" i="32"/>
  <c r="B130" i="32"/>
  <c r="A131" i="32"/>
  <c r="B131" i="32"/>
  <c r="A132" i="32"/>
  <c r="B132" i="32"/>
  <c r="A133" i="32"/>
  <c r="B133" i="32"/>
  <c r="A134" i="32"/>
  <c r="B134" i="32"/>
  <c r="A135" i="32"/>
  <c r="B135" i="32"/>
  <c r="A136" i="32"/>
  <c r="B136" i="32"/>
  <c r="A137" i="32"/>
  <c r="B137" i="32"/>
  <c r="A138" i="32"/>
  <c r="B138" i="32"/>
  <c r="A139" i="32"/>
  <c r="B139" i="32"/>
  <c r="A140" i="32"/>
  <c r="B140" i="32"/>
  <c r="A141" i="32"/>
  <c r="B141" i="32"/>
  <c r="A142" i="32"/>
  <c r="B142" i="32"/>
  <c r="A143" i="32"/>
  <c r="B143" i="32"/>
  <c r="A144" i="32"/>
  <c r="B144" i="32"/>
  <c r="A145" i="32"/>
  <c r="B145" i="32"/>
  <c r="A146" i="32"/>
  <c r="B146" i="32"/>
  <c r="A147" i="32"/>
  <c r="B147" i="32"/>
  <c r="A148" i="32"/>
  <c r="B148" i="32"/>
  <c r="A149" i="32"/>
  <c r="B149" i="32"/>
  <c r="A150" i="32"/>
  <c r="B150" i="32"/>
  <c r="A151" i="32"/>
  <c r="B151" i="32"/>
  <c r="D151" i="32"/>
  <c r="A152" i="32"/>
  <c r="B152" i="32"/>
  <c r="A153" i="32"/>
  <c r="B153" i="32"/>
  <c r="A154" i="32"/>
  <c r="B154" i="32"/>
  <c r="A155" i="32"/>
  <c r="B155" i="32"/>
  <c r="A156" i="32"/>
  <c r="B156" i="32"/>
  <c r="A157" i="32"/>
  <c r="B157" i="32"/>
  <c r="A158" i="32"/>
  <c r="B158" i="32"/>
  <c r="A159" i="32"/>
  <c r="B159" i="32"/>
  <c r="A160" i="32"/>
  <c r="B160" i="32"/>
  <c r="A161" i="32"/>
  <c r="B161" i="32"/>
  <c r="A162" i="32"/>
  <c r="B162" i="32"/>
  <c r="A163" i="32"/>
  <c r="B163" i="32"/>
  <c r="A164" i="32"/>
  <c r="B164" i="32"/>
  <c r="A165" i="32"/>
  <c r="B165" i="32"/>
  <c r="A166" i="32"/>
  <c r="B166" i="32"/>
  <c r="A167" i="32"/>
  <c r="B167" i="32"/>
  <c r="A168" i="32"/>
  <c r="B168" i="32"/>
  <c r="A169" i="32"/>
  <c r="B169" i="32"/>
  <c r="A170" i="32"/>
  <c r="B170" i="32"/>
  <c r="A171" i="32"/>
  <c r="B171" i="32"/>
  <c r="A172" i="32"/>
  <c r="B172" i="32"/>
  <c r="A173" i="32"/>
  <c r="B173" i="32"/>
  <c r="A174" i="32"/>
  <c r="B174" i="32"/>
  <c r="A175" i="32"/>
  <c r="B175" i="32"/>
  <c r="A176" i="32"/>
  <c r="B176" i="32"/>
  <c r="A177" i="32"/>
  <c r="B177" i="32"/>
  <c r="A178" i="32"/>
  <c r="B178" i="32"/>
  <c r="A179" i="32"/>
  <c r="B179" i="32"/>
  <c r="A180" i="32"/>
  <c r="B180" i="32"/>
  <c r="D180" i="32"/>
  <c r="A181" i="32"/>
  <c r="B181" i="32"/>
  <c r="A182" i="32"/>
  <c r="B182" i="32"/>
  <c r="A183" i="32"/>
  <c r="B183" i="32"/>
  <c r="A184" i="32"/>
  <c r="B184" i="32"/>
  <c r="A185" i="32"/>
  <c r="B185" i="32"/>
  <c r="A186" i="32"/>
  <c r="B186" i="32"/>
  <c r="A187" i="32"/>
  <c r="B187" i="32"/>
  <c r="A188" i="32"/>
  <c r="B188" i="32"/>
  <c r="A189" i="32"/>
  <c r="B189" i="32"/>
  <c r="A190" i="32"/>
  <c r="B190" i="32"/>
  <c r="A191" i="32"/>
  <c r="B191" i="32"/>
  <c r="A192" i="32"/>
  <c r="B192" i="32"/>
  <c r="A193" i="32"/>
  <c r="B193" i="32"/>
  <c r="A194" i="32"/>
  <c r="B194" i="32"/>
  <c r="A195" i="32"/>
  <c r="B195" i="32"/>
  <c r="D195" i="32"/>
  <c r="A196" i="32"/>
  <c r="B196" i="32"/>
  <c r="A197" i="32"/>
  <c r="B197" i="32"/>
  <c r="A198" i="32"/>
  <c r="B198" i="32"/>
  <c r="A199" i="32"/>
  <c r="B199" i="32"/>
  <c r="D199" i="32"/>
  <c r="A200" i="32"/>
  <c r="B200" i="32"/>
  <c r="A201" i="32"/>
  <c r="B201" i="32"/>
  <c r="A202" i="32"/>
  <c r="B202" i="32"/>
  <c r="A203" i="32"/>
  <c r="B203" i="32"/>
  <c r="A204" i="32"/>
  <c r="B204" i="32"/>
  <c r="A205" i="32"/>
  <c r="B205" i="32"/>
  <c r="A206" i="32"/>
  <c r="B206" i="32"/>
  <c r="A207" i="32"/>
  <c r="B207" i="32"/>
  <c r="A208" i="32"/>
  <c r="B208" i="32"/>
  <c r="A209" i="32"/>
  <c r="B209" i="32"/>
  <c r="A210" i="32"/>
  <c r="B210" i="32"/>
  <c r="A211" i="32"/>
  <c r="B211" i="32"/>
  <c r="A212" i="32"/>
  <c r="B212" i="32"/>
  <c r="A213" i="32"/>
  <c r="B213" i="32"/>
  <c r="A214" i="32"/>
  <c r="B214" i="32"/>
  <c r="A215" i="32"/>
  <c r="B215" i="32"/>
  <c r="A216" i="32"/>
  <c r="B216" i="32"/>
  <c r="A217" i="32"/>
  <c r="B217" i="32"/>
  <c r="A218" i="32"/>
  <c r="B218" i="32"/>
  <c r="A219" i="32"/>
  <c r="B219" i="32"/>
  <c r="A220" i="32"/>
  <c r="B220" i="32"/>
  <c r="A221" i="32"/>
  <c r="B221" i="32"/>
  <c r="A222" i="32"/>
  <c r="B222" i="32"/>
  <c r="A223" i="32"/>
  <c r="B223" i="32"/>
  <c r="A224" i="32"/>
  <c r="B224" i="32"/>
  <c r="A225" i="32"/>
  <c r="B225" i="32"/>
  <c r="A226" i="32"/>
  <c r="B226" i="32"/>
  <c r="A227" i="32"/>
  <c r="B227" i="32"/>
  <c r="A228" i="32"/>
  <c r="B228" i="32"/>
  <c r="A229" i="32"/>
  <c r="B229" i="32"/>
  <c r="A230" i="32"/>
  <c r="B230" i="32"/>
  <c r="A231" i="32"/>
  <c r="B231" i="32"/>
  <c r="A232" i="32"/>
  <c r="B232" i="32"/>
  <c r="A233" i="32"/>
  <c r="B233" i="32"/>
  <c r="A234" i="32"/>
  <c r="B234" i="32"/>
  <c r="A235" i="32"/>
  <c r="B235" i="32"/>
  <c r="A236" i="32"/>
  <c r="B236" i="32"/>
  <c r="A237" i="32"/>
  <c r="B237" i="32"/>
  <c r="A238" i="32"/>
  <c r="B238" i="32"/>
  <c r="A239" i="32"/>
  <c r="B239" i="32"/>
  <c r="A240" i="32"/>
  <c r="B240" i="32"/>
  <c r="A241" i="32"/>
  <c r="B241" i="32"/>
  <c r="A242" i="32"/>
  <c r="B242" i="32"/>
  <c r="A243" i="32"/>
  <c r="B243" i="32"/>
  <c r="A244" i="32"/>
  <c r="B244" i="32"/>
  <c r="A245" i="32"/>
  <c r="B245" i="32"/>
  <c r="A246" i="32"/>
  <c r="B246" i="32"/>
  <c r="A247" i="32"/>
  <c r="B247" i="32"/>
  <c r="A248" i="32"/>
  <c r="B248" i="32"/>
  <c r="A249" i="32"/>
  <c r="B249" i="32"/>
  <c r="A250" i="32"/>
  <c r="B250" i="32"/>
  <c r="A251" i="32"/>
  <c r="B251" i="32"/>
  <c r="A252" i="32"/>
  <c r="B252" i="32"/>
  <c r="A253" i="32"/>
  <c r="B253" i="32"/>
  <c r="A254" i="32"/>
  <c r="B254" i="32"/>
  <c r="A255" i="32"/>
  <c r="B255" i="32"/>
  <c r="A256" i="32"/>
  <c r="B256" i="32"/>
  <c r="A257" i="32"/>
  <c r="B257" i="32"/>
  <c r="A258" i="32"/>
  <c r="B258" i="32"/>
  <c r="A259" i="32"/>
  <c r="B259" i="32"/>
  <c r="A260" i="32"/>
  <c r="B260" i="32"/>
  <c r="A261" i="32"/>
  <c r="B261" i="32"/>
  <c r="A262" i="32"/>
  <c r="B262" i="32"/>
  <c r="A263" i="32"/>
  <c r="B263" i="32"/>
  <c r="A264" i="32"/>
  <c r="B264" i="32"/>
  <c r="A265" i="32"/>
  <c r="B265" i="32"/>
  <c r="A266" i="32"/>
  <c r="B266" i="32"/>
  <c r="A267" i="32"/>
  <c r="B267" i="32"/>
  <c r="A268" i="32"/>
  <c r="B268" i="32"/>
  <c r="A269" i="32"/>
  <c r="B269" i="32"/>
  <c r="A270" i="32"/>
  <c r="B270" i="32"/>
  <c r="A271" i="32"/>
  <c r="B271" i="32"/>
  <c r="A272" i="32"/>
  <c r="B272" i="32"/>
  <c r="A273" i="32"/>
  <c r="B273" i="32"/>
  <c r="A274" i="32"/>
  <c r="B274" i="32"/>
  <c r="A275" i="32"/>
  <c r="B275" i="32"/>
  <c r="A276" i="32"/>
  <c r="B276" i="32"/>
  <c r="A277" i="32"/>
  <c r="B277" i="32"/>
  <c r="A278" i="32"/>
  <c r="B278" i="32"/>
  <c r="A279" i="32"/>
  <c r="B279" i="32"/>
  <c r="A280" i="32"/>
  <c r="B280" i="32"/>
  <c r="A281" i="32"/>
  <c r="B281" i="32"/>
  <c r="A282" i="32"/>
  <c r="B282" i="32"/>
  <c r="A283" i="32"/>
  <c r="B283" i="32"/>
  <c r="A284" i="32"/>
  <c r="B284" i="32"/>
  <c r="A285" i="32"/>
  <c r="B285" i="32"/>
  <c r="A286" i="32"/>
  <c r="B286" i="32"/>
  <c r="A287" i="32"/>
  <c r="B287" i="32"/>
  <c r="A288" i="32"/>
  <c r="B288" i="32"/>
  <c r="A289" i="32"/>
  <c r="B289" i="32"/>
  <c r="A290" i="32"/>
  <c r="B290" i="32"/>
  <c r="A291" i="32"/>
  <c r="B291" i="32"/>
  <c r="A292" i="32"/>
  <c r="B292" i="32"/>
  <c r="A293" i="32"/>
  <c r="B293" i="32"/>
  <c r="A294" i="32"/>
  <c r="B294" i="32"/>
  <c r="A295" i="32"/>
  <c r="B295" i="32"/>
  <c r="A296" i="32"/>
  <c r="B296" i="32"/>
  <c r="A297" i="32"/>
  <c r="B297" i="32"/>
  <c r="A298" i="32"/>
  <c r="B298" i="32"/>
  <c r="A299" i="32"/>
  <c r="B299" i="32"/>
  <c r="A300" i="32"/>
  <c r="B300" i="32"/>
  <c r="A301" i="32"/>
  <c r="B301" i="32"/>
  <c r="A302" i="32"/>
  <c r="B302" i="32"/>
  <c r="A303" i="32"/>
  <c r="B303" i="32"/>
  <c r="A304" i="32"/>
  <c r="B304" i="32"/>
  <c r="A305" i="32"/>
  <c r="B305" i="32"/>
  <c r="A306" i="32"/>
  <c r="B306" i="32"/>
  <c r="A307" i="32"/>
  <c r="B307" i="32"/>
  <c r="A308" i="32"/>
  <c r="B308" i="32"/>
  <c r="A309" i="32"/>
  <c r="B309" i="32"/>
  <c r="A310" i="32"/>
  <c r="B310" i="32"/>
  <c r="A311" i="32"/>
  <c r="B311" i="32"/>
  <c r="A312" i="32"/>
  <c r="B312" i="32"/>
  <c r="A313" i="32"/>
  <c r="B313" i="32"/>
  <c r="Z8" i="19"/>
  <c r="D6" i="32" s="1"/>
  <c r="AA8" i="19"/>
  <c r="Z9" i="19"/>
  <c r="D7" i="32" s="1"/>
  <c r="AA9" i="19"/>
  <c r="D8" i="25" s="1"/>
  <c r="Z10" i="19"/>
  <c r="D8" i="32" s="1"/>
  <c r="AA10" i="19"/>
  <c r="Z11" i="19"/>
  <c r="D9" i="32" s="1"/>
  <c r="AA11" i="19"/>
  <c r="D10" i="25" s="1"/>
  <c r="Z12" i="19"/>
  <c r="D10" i="32" s="1"/>
  <c r="AA12" i="19"/>
  <c r="D11" i="25" s="1"/>
  <c r="Z13" i="19"/>
  <c r="D11" i="32" s="1"/>
  <c r="AA13" i="19"/>
  <c r="Z14" i="19"/>
  <c r="D12" i="32" s="1"/>
  <c r="AA14" i="19"/>
  <c r="Z15" i="19"/>
  <c r="D13" i="32" s="1"/>
  <c r="AA15" i="19"/>
  <c r="Z16" i="19"/>
  <c r="D14" i="32" s="1"/>
  <c r="AA16" i="19"/>
  <c r="D15" i="25" s="1"/>
  <c r="Z17" i="19"/>
  <c r="D15" i="32" s="1"/>
  <c r="AA17" i="19"/>
  <c r="D16" i="25" s="1"/>
  <c r="Z18" i="19"/>
  <c r="D16" i="32" s="1"/>
  <c r="AA18" i="19"/>
  <c r="Z19" i="19"/>
  <c r="D17" i="32" s="1"/>
  <c r="AA19" i="19"/>
  <c r="Z20" i="19"/>
  <c r="D18" i="32" s="1"/>
  <c r="AA20" i="19"/>
  <c r="D19" i="25" s="1"/>
  <c r="Z21" i="19"/>
  <c r="D19" i="32" s="1"/>
  <c r="AA21" i="19"/>
  <c r="D20" i="25" s="1"/>
  <c r="Z22" i="19"/>
  <c r="D20" i="32" s="1"/>
  <c r="AA22" i="19"/>
  <c r="Z23" i="19"/>
  <c r="D21" i="32" s="1"/>
  <c r="AA23" i="19"/>
  <c r="Z24" i="19"/>
  <c r="D22" i="32" s="1"/>
  <c r="AA24" i="19"/>
  <c r="D23" i="25" s="1"/>
  <c r="Z25" i="19"/>
  <c r="D23" i="32" s="1"/>
  <c r="AA25" i="19"/>
  <c r="Z26" i="19"/>
  <c r="D24" i="32" s="1"/>
  <c r="AA26" i="19"/>
  <c r="Z27" i="19"/>
  <c r="D25" i="32" s="1"/>
  <c r="AA27" i="19"/>
  <c r="D26" i="25" s="1"/>
  <c r="Z28" i="19"/>
  <c r="D26" i="32" s="1"/>
  <c r="AA28" i="19"/>
  <c r="Z29" i="19"/>
  <c r="D27" i="32" s="1"/>
  <c r="AA29" i="19"/>
  <c r="D28" i="25" s="1"/>
  <c r="Z30" i="19"/>
  <c r="D28" i="32" s="1"/>
  <c r="AA30" i="19"/>
  <c r="Z31" i="19"/>
  <c r="D29" i="32" s="1"/>
  <c r="AA31" i="19"/>
  <c r="Z32" i="19"/>
  <c r="D30" i="32" s="1"/>
  <c r="AA32" i="19"/>
  <c r="D31" i="25" s="1"/>
  <c r="Z33" i="19"/>
  <c r="D31" i="32" s="1"/>
  <c r="AA33" i="19"/>
  <c r="D32" i="25" s="1"/>
  <c r="Z34" i="19"/>
  <c r="D32" i="32" s="1"/>
  <c r="AA34" i="19"/>
  <c r="Z35" i="19"/>
  <c r="D33" i="32" s="1"/>
  <c r="AA35" i="19"/>
  <c r="D34" i="25" s="1"/>
  <c r="Z36" i="19"/>
  <c r="D34" i="32" s="1"/>
  <c r="AA36" i="19"/>
  <c r="D35" i="25" s="1"/>
  <c r="Z37" i="19"/>
  <c r="D35" i="32" s="1"/>
  <c r="AA37" i="19"/>
  <c r="D36" i="25" s="1"/>
  <c r="Z38" i="19"/>
  <c r="D36" i="32" s="1"/>
  <c r="AA38" i="19"/>
  <c r="Z39" i="19"/>
  <c r="D37" i="32" s="1"/>
  <c r="AA39" i="19"/>
  <c r="Z40" i="19"/>
  <c r="D38" i="32" s="1"/>
  <c r="AA40" i="19"/>
  <c r="Z41" i="19"/>
  <c r="D39" i="32" s="1"/>
  <c r="AA41" i="19"/>
  <c r="Z42" i="19"/>
  <c r="D40" i="32" s="1"/>
  <c r="AA42" i="19"/>
  <c r="Z43" i="19"/>
  <c r="D41" i="32" s="1"/>
  <c r="AA43" i="19"/>
  <c r="D42" i="25" s="1"/>
  <c r="Z44" i="19"/>
  <c r="D42" i="32" s="1"/>
  <c r="AA44" i="19"/>
  <c r="D43" i="25" s="1"/>
  <c r="Z45" i="19"/>
  <c r="D43" i="32" s="1"/>
  <c r="AA45" i="19"/>
  <c r="Z46" i="19"/>
  <c r="D44" i="32" s="1"/>
  <c r="AA46" i="19"/>
  <c r="Z47" i="19"/>
  <c r="D45" i="32" s="1"/>
  <c r="AA47" i="19"/>
  <c r="Z48" i="19"/>
  <c r="D46" i="32" s="1"/>
  <c r="AA48" i="19"/>
  <c r="D47" i="25" s="1"/>
  <c r="Z49" i="19"/>
  <c r="D47" i="32" s="1"/>
  <c r="AA49" i="19"/>
  <c r="D48" i="25" s="1"/>
  <c r="Z50" i="19"/>
  <c r="D48" i="32" s="1"/>
  <c r="AA50" i="19"/>
  <c r="Z51" i="19"/>
  <c r="D49" i="32" s="1"/>
  <c r="AA51" i="19"/>
  <c r="Z52" i="19"/>
  <c r="D50" i="32" s="1"/>
  <c r="AA52" i="19"/>
  <c r="D51" i="25" s="1"/>
  <c r="Z53" i="19"/>
  <c r="D51" i="32" s="1"/>
  <c r="AA53" i="19"/>
  <c r="D52" i="25" s="1"/>
  <c r="Z54" i="19"/>
  <c r="D52" i="32" s="1"/>
  <c r="AA54" i="19"/>
  <c r="Z55" i="19"/>
  <c r="D53" i="32" s="1"/>
  <c r="AA55" i="19"/>
  <c r="Z56" i="19"/>
  <c r="D54" i="32" s="1"/>
  <c r="AA56" i="19"/>
  <c r="D55" i="25" s="1"/>
  <c r="Z57" i="19"/>
  <c r="D55" i="32" s="1"/>
  <c r="AA57" i="19"/>
  <c r="Z58" i="19"/>
  <c r="D56" i="32" s="1"/>
  <c r="AA58" i="19"/>
  <c r="Z59" i="19"/>
  <c r="D57" i="32" s="1"/>
  <c r="AA59" i="19"/>
  <c r="Z60" i="19"/>
  <c r="D58" i="32" s="1"/>
  <c r="AA60" i="19"/>
  <c r="D59" i="25" s="1"/>
  <c r="Z61" i="19"/>
  <c r="D59" i="32" s="1"/>
  <c r="AA61" i="19"/>
  <c r="D60" i="25" s="1"/>
  <c r="Z62" i="19"/>
  <c r="D60" i="32" s="1"/>
  <c r="AA62" i="19"/>
  <c r="Z63" i="19"/>
  <c r="D61" i="32" s="1"/>
  <c r="AA63" i="19"/>
  <c r="Z64" i="19"/>
  <c r="D62" i="32" s="1"/>
  <c r="AA64" i="19"/>
  <c r="D63" i="25" s="1"/>
  <c r="Z65" i="19"/>
  <c r="D63" i="32" s="1"/>
  <c r="AA65" i="19"/>
  <c r="D64" i="25" s="1"/>
  <c r="Z66" i="19"/>
  <c r="D64" i="32" s="1"/>
  <c r="AA66" i="19"/>
  <c r="Z67" i="19"/>
  <c r="D65" i="32" s="1"/>
  <c r="AA67" i="19"/>
  <c r="D66" i="25" s="1"/>
  <c r="Z68" i="19"/>
  <c r="D66" i="32" s="1"/>
  <c r="AA68" i="19"/>
  <c r="Z69" i="19"/>
  <c r="D67" i="32" s="1"/>
  <c r="AA69" i="19"/>
  <c r="D68" i="25" s="1"/>
  <c r="Z70" i="19"/>
  <c r="D68" i="32" s="1"/>
  <c r="AA70" i="19"/>
  <c r="Z71" i="19"/>
  <c r="D69" i="32" s="1"/>
  <c r="AA71" i="19"/>
  <c r="Z72" i="19"/>
  <c r="D70" i="32" s="1"/>
  <c r="AA72" i="19"/>
  <c r="D71" i="25" s="1"/>
  <c r="Z73" i="19"/>
  <c r="D71" i="32" s="1"/>
  <c r="AA73" i="19"/>
  <c r="D72" i="25" s="1"/>
  <c r="Z74" i="19"/>
  <c r="D72" i="32" s="1"/>
  <c r="AA74" i="19"/>
  <c r="Z75" i="19"/>
  <c r="D73" i="32" s="1"/>
  <c r="AA75" i="19"/>
  <c r="D74" i="25" s="1"/>
  <c r="Z76" i="19"/>
  <c r="D74" i="32" s="1"/>
  <c r="AA76" i="19"/>
  <c r="Z77" i="19"/>
  <c r="D75" i="32" s="1"/>
  <c r="AA77" i="19"/>
  <c r="Z78" i="19"/>
  <c r="D76" i="32" s="1"/>
  <c r="AA78" i="19"/>
  <c r="Z79" i="19"/>
  <c r="D77" i="32" s="1"/>
  <c r="AA79" i="19"/>
  <c r="Z80" i="19"/>
  <c r="D78" i="32" s="1"/>
  <c r="AA80" i="19"/>
  <c r="Z81" i="19"/>
  <c r="D79" i="32" s="1"/>
  <c r="AA81" i="19"/>
  <c r="D80" i="25" s="1"/>
  <c r="Z82" i="19"/>
  <c r="D80" i="32" s="1"/>
  <c r="AA82" i="19"/>
  <c r="Z83" i="19"/>
  <c r="D81" i="32" s="1"/>
  <c r="AA83" i="19"/>
  <c r="Z84" i="19"/>
  <c r="D82" i="32" s="1"/>
  <c r="AA84" i="19"/>
  <c r="Z85" i="19"/>
  <c r="D83" i="32" s="1"/>
  <c r="AA85" i="19"/>
  <c r="D84" i="25" s="1"/>
  <c r="Z86" i="19"/>
  <c r="D84" i="32" s="1"/>
  <c r="AA86" i="19"/>
  <c r="Z87" i="19"/>
  <c r="D85" i="32" s="1"/>
  <c r="AA87" i="19"/>
  <c r="Z88" i="19"/>
  <c r="D86" i="32" s="1"/>
  <c r="AA88" i="19"/>
  <c r="Z89" i="19"/>
  <c r="D87" i="32" s="1"/>
  <c r="AA89" i="19"/>
  <c r="Z90" i="19"/>
  <c r="D88" i="32" s="1"/>
  <c r="AA90" i="19"/>
  <c r="Z91" i="19"/>
  <c r="D89" i="32" s="1"/>
  <c r="AA91" i="19"/>
  <c r="D90" i="25" s="1"/>
  <c r="Z92" i="19"/>
  <c r="D90" i="32" s="1"/>
  <c r="AA92" i="19"/>
  <c r="Z93" i="19"/>
  <c r="D91" i="32" s="1"/>
  <c r="AA93" i="19"/>
  <c r="Z94" i="19"/>
  <c r="D92" i="32" s="1"/>
  <c r="AA94" i="19"/>
  <c r="Z95" i="19"/>
  <c r="D93" i="32" s="1"/>
  <c r="AA95" i="19"/>
  <c r="Z96" i="19"/>
  <c r="D94" i="32" s="1"/>
  <c r="AA96" i="19"/>
  <c r="Z97" i="19"/>
  <c r="D95" i="32" s="1"/>
  <c r="AA97" i="19"/>
  <c r="D96" i="25" s="1"/>
  <c r="Z98" i="19"/>
  <c r="D96" i="32" s="1"/>
  <c r="AA98" i="19"/>
  <c r="D97" i="25" s="1"/>
  <c r="Z99" i="19"/>
  <c r="D97" i="32" s="1"/>
  <c r="AA99" i="19"/>
  <c r="D98" i="25" s="1"/>
  <c r="Z100" i="19"/>
  <c r="D98" i="32" s="1"/>
  <c r="AA100" i="19"/>
  <c r="Z101" i="19"/>
  <c r="D99" i="32" s="1"/>
  <c r="AA101" i="19"/>
  <c r="D100" i="25" s="1"/>
  <c r="Z102" i="19"/>
  <c r="D100" i="32" s="1"/>
  <c r="AA102" i="19"/>
  <c r="Z103" i="19"/>
  <c r="D101" i="32" s="1"/>
  <c r="AA103" i="19"/>
  <c r="Z104" i="19"/>
  <c r="D102" i="32" s="1"/>
  <c r="AA104" i="19"/>
  <c r="D103" i="25" s="1"/>
  <c r="Z105" i="19"/>
  <c r="D103" i="32" s="1"/>
  <c r="AA105" i="19"/>
  <c r="D104" i="25" s="1"/>
  <c r="Z106" i="19"/>
  <c r="D104" i="32" s="1"/>
  <c r="AA106" i="19"/>
  <c r="Z107" i="19"/>
  <c r="D105" i="32" s="1"/>
  <c r="AA107" i="19"/>
  <c r="D106" i="25" s="1"/>
  <c r="Z108" i="19"/>
  <c r="D106" i="32" s="1"/>
  <c r="AA108" i="19"/>
  <c r="Z109" i="19"/>
  <c r="D107" i="32" s="1"/>
  <c r="AA109" i="19"/>
  <c r="Z110" i="19"/>
  <c r="D108" i="32" s="1"/>
  <c r="AA110" i="19"/>
  <c r="Z111" i="19"/>
  <c r="D109" i="32" s="1"/>
  <c r="AA111" i="19"/>
  <c r="Z112" i="19"/>
  <c r="D110" i="32" s="1"/>
  <c r="AA112" i="19"/>
  <c r="Z113" i="19"/>
  <c r="D111" i="32" s="1"/>
  <c r="AA113" i="19"/>
  <c r="D112" i="25" s="1"/>
  <c r="Z114" i="19"/>
  <c r="D112" i="32" s="1"/>
  <c r="AA114" i="19"/>
  <c r="Z115" i="19"/>
  <c r="D113" i="32" s="1"/>
  <c r="AA115" i="19"/>
  <c r="Z116" i="19"/>
  <c r="D114" i="32" s="1"/>
  <c r="AA116" i="19"/>
  <c r="Z117" i="19"/>
  <c r="D115" i="32" s="1"/>
  <c r="AA117" i="19"/>
  <c r="D116" i="25" s="1"/>
  <c r="Z118" i="19"/>
  <c r="D116" i="32" s="1"/>
  <c r="AA118" i="19"/>
  <c r="Z119" i="19"/>
  <c r="D117" i="32" s="1"/>
  <c r="AA119" i="19"/>
  <c r="Z120" i="19"/>
  <c r="D118" i="32" s="1"/>
  <c r="AA120" i="19"/>
  <c r="Z121" i="19"/>
  <c r="D119" i="32" s="1"/>
  <c r="AA121" i="19"/>
  <c r="Z122" i="19"/>
  <c r="D120" i="32" s="1"/>
  <c r="AA122" i="19"/>
  <c r="Z123" i="19"/>
  <c r="D121" i="32" s="1"/>
  <c r="AA123" i="19"/>
  <c r="Z124" i="19"/>
  <c r="D122" i="32" s="1"/>
  <c r="AA124" i="19"/>
  <c r="D123" i="25" s="1"/>
  <c r="Z125" i="19"/>
  <c r="D123" i="32" s="1"/>
  <c r="AA125" i="19"/>
  <c r="D124" i="25" s="1"/>
  <c r="Z126" i="19"/>
  <c r="D124" i="32" s="1"/>
  <c r="AA126" i="19"/>
  <c r="Z127" i="19"/>
  <c r="D125" i="32" s="1"/>
  <c r="AA127" i="19"/>
  <c r="D126" i="25" s="1"/>
  <c r="Z128" i="19"/>
  <c r="D126" i="32" s="1"/>
  <c r="AA128" i="19"/>
  <c r="Z129" i="19"/>
  <c r="D127" i="32" s="1"/>
  <c r="AA129" i="19"/>
  <c r="Z130" i="19"/>
  <c r="D128" i="32" s="1"/>
  <c r="AA130" i="19"/>
  <c r="Z131" i="19"/>
  <c r="D129" i="32" s="1"/>
  <c r="AA131" i="19"/>
  <c r="D130" i="25" s="1"/>
  <c r="Z132" i="19"/>
  <c r="D130" i="32" s="1"/>
  <c r="AA132" i="19"/>
  <c r="Z133" i="19"/>
  <c r="D131" i="32" s="1"/>
  <c r="AA133" i="19"/>
  <c r="D132" i="25" s="1"/>
  <c r="Z134" i="19"/>
  <c r="D132" i="32" s="1"/>
  <c r="AA134" i="19"/>
  <c r="Z135" i="19"/>
  <c r="D133" i="32" s="1"/>
  <c r="AA135" i="19"/>
  <c r="Z136" i="19"/>
  <c r="D134" i="32" s="1"/>
  <c r="AA136" i="19"/>
  <c r="Z137" i="19"/>
  <c r="D135" i="32" s="1"/>
  <c r="AA137" i="19"/>
  <c r="Z138" i="19"/>
  <c r="D136" i="32" s="1"/>
  <c r="AA138" i="19"/>
  <c r="Z139" i="19"/>
  <c r="D137" i="32" s="1"/>
  <c r="AA139" i="19"/>
  <c r="D138" i="25" s="1"/>
  <c r="Z140" i="19"/>
  <c r="D138" i="32" s="1"/>
  <c r="AA140" i="19"/>
  <c r="D139" i="25" s="1"/>
  <c r="Z141" i="19"/>
  <c r="D139" i="32" s="1"/>
  <c r="AA141" i="19"/>
  <c r="D140" i="25" s="1"/>
  <c r="Z142" i="19"/>
  <c r="D140" i="32" s="1"/>
  <c r="AA142" i="19"/>
  <c r="Z143" i="19"/>
  <c r="D141" i="32" s="1"/>
  <c r="AA143" i="19"/>
  <c r="D142" i="25" s="1"/>
  <c r="Z144" i="19"/>
  <c r="D142" i="32" s="1"/>
  <c r="AA144" i="19"/>
  <c r="Z145" i="19"/>
  <c r="D143" i="32" s="1"/>
  <c r="AA145" i="19"/>
  <c r="Z146" i="19"/>
  <c r="D144" i="32" s="1"/>
  <c r="AA146" i="19"/>
  <c r="Z147" i="19"/>
  <c r="D145" i="32" s="1"/>
  <c r="AA147" i="19"/>
  <c r="Z148" i="19"/>
  <c r="D146" i="32" s="1"/>
  <c r="AA148" i="19"/>
  <c r="Z149" i="19"/>
  <c r="D147" i="32" s="1"/>
  <c r="AA149" i="19"/>
  <c r="Z150" i="19"/>
  <c r="D148" i="32" s="1"/>
  <c r="AA150" i="19"/>
  <c r="Z151" i="19"/>
  <c r="D149" i="32" s="1"/>
  <c r="AA151" i="19"/>
  <c r="D150" i="25" s="1"/>
  <c r="Z152" i="19"/>
  <c r="D150" i="32" s="1"/>
  <c r="AA152" i="19"/>
  <c r="Z153" i="19"/>
  <c r="AA153" i="19"/>
  <c r="Z154" i="19"/>
  <c r="D152" i="32" s="1"/>
  <c r="AA154" i="19"/>
  <c r="Z155" i="19"/>
  <c r="D153" i="32" s="1"/>
  <c r="AA155" i="19"/>
  <c r="D154" i="25" s="1"/>
  <c r="Z156" i="19"/>
  <c r="D154" i="32" s="1"/>
  <c r="AA156" i="19"/>
  <c r="D155" i="25" s="1"/>
  <c r="Z157" i="19"/>
  <c r="D155" i="32" s="1"/>
  <c r="AA157" i="19"/>
  <c r="D156" i="25" s="1"/>
  <c r="Z158" i="19"/>
  <c r="D156" i="32" s="1"/>
  <c r="AA158" i="19"/>
  <c r="Z159" i="19"/>
  <c r="D157" i="32" s="1"/>
  <c r="AA159" i="19"/>
  <c r="D158" i="25" s="1"/>
  <c r="Z160" i="19"/>
  <c r="D158" i="32" s="1"/>
  <c r="AA160" i="19"/>
  <c r="Z161" i="19"/>
  <c r="D159" i="32" s="1"/>
  <c r="AA161" i="19"/>
  <c r="Z162" i="19"/>
  <c r="D160" i="32" s="1"/>
  <c r="AA162" i="19"/>
  <c r="Z163" i="19"/>
  <c r="D161" i="32" s="1"/>
  <c r="AA163" i="19"/>
  <c r="D162" i="25" s="1"/>
  <c r="Z164" i="19"/>
  <c r="D162" i="32" s="1"/>
  <c r="AA164" i="19"/>
  <c r="Z165" i="19"/>
  <c r="D163" i="32" s="1"/>
  <c r="AA165" i="19"/>
  <c r="D164" i="25" s="1"/>
  <c r="Z166" i="19"/>
  <c r="D164" i="32" s="1"/>
  <c r="AA166" i="19"/>
  <c r="Z167" i="19"/>
  <c r="D165" i="32" s="1"/>
  <c r="AA167" i="19"/>
  <c r="D166" i="25" s="1"/>
  <c r="Z168" i="19"/>
  <c r="D166" i="32" s="1"/>
  <c r="AA168" i="19"/>
  <c r="Z169" i="19"/>
  <c r="D167" i="32" s="1"/>
  <c r="AA169" i="19"/>
  <c r="Z170" i="19"/>
  <c r="D168" i="32" s="1"/>
  <c r="AA170" i="19"/>
  <c r="Z171" i="19"/>
  <c r="D169" i="32" s="1"/>
  <c r="AA171" i="19"/>
  <c r="D170" i="25" s="1"/>
  <c r="Z172" i="19"/>
  <c r="D170" i="32" s="1"/>
  <c r="AA172" i="19"/>
  <c r="D171" i="25" s="1"/>
  <c r="Z173" i="19"/>
  <c r="D171" i="32" s="1"/>
  <c r="AA173" i="19"/>
  <c r="D172" i="25" s="1"/>
  <c r="Z174" i="19"/>
  <c r="D172" i="32" s="1"/>
  <c r="AA174" i="19"/>
  <c r="Z175" i="19"/>
  <c r="D173" i="32" s="1"/>
  <c r="AA175" i="19"/>
  <c r="D174" i="25" s="1"/>
  <c r="Z176" i="19"/>
  <c r="D174" i="32" s="1"/>
  <c r="AA176" i="19"/>
  <c r="Z177" i="19"/>
  <c r="D175" i="32" s="1"/>
  <c r="AA177" i="19"/>
  <c r="Z178" i="19"/>
  <c r="D176" i="32" s="1"/>
  <c r="AA178" i="19"/>
  <c r="D176" i="33" s="1"/>
  <c r="Z179" i="19"/>
  <c r="D177" i="32" s="1"/>
  <c r="AA179" i="19"/>
  <c r="D178" i="25" s="1"/>
  <c r="Z180" i="19"/>
  <c r="D178" i="32" s="1"/>
  <c r="AA180" i="19"/>
  <c r="Z181" i="19"/>
  <c r="D179" i="32" s="1"/>
  <c r="AA181" i="19"/>
  <c r="D180" i="25" s="1"/>
  <c r="Z182" i="19"/>
  <c r="AA182" i="19"/>
  <c r="Z183" i="19"/>
  <c r="D181" i="32" s="1"/>
  <c r="AA183" i="19"/>
  <c r="D182" i="25" s="1"/>
  <c r="Z184" i="19"/>
  <c r="D182" i="32" s="1"/>
  <c r="AA184" i="19"/>
  <c r="Z185" i="19"/>
  <c r="D183" i="32" s="1"/>
  <c r="AA185" i="19"/>
  <c r="Z186" i="19"/>
  <c r="D184" i="32" s="1"/>
  <c r="AA186" i="19"/>
  <c r="Z187" i="19"/>
  <c r="D185" i="32" s="1"/>
  <c r="AA187" i="19"/>
  <c r="D186" i="25" s="1"/>
  <c r="Z188" i="19"/>
  <c r="D186" i="32" s="1"/>
  <c r="AA188" i="19"/>
  <c r="D187" i="25" s="1"/>
  <c r="Z189" i="19"/>
  <c r="D187" i="32" s="1"/>
  <c r="AA189" i="19"/>
  <c r="D188" i="25" s="1"/>
  <c r="Z190" i="19"/>
  <c r="D188" i="32" s="1"/>
  <c r="AA190" i="19"/>
  <c r="Z191" i="19"/>
  <c r="D189" i="32" s="1"/>
  <c r="AA191" i="19"/>
  <c r="D190" i="25" s="1"/>
  <c r="Z192" i="19"/>
  <c r="D190" i="32" s="1"/>
  <c r="AA192" i="19"/>
  <c r="Z193" i="19"/>
  <c r="D191" i="32" s="1"/>
  <c r="AA193" i="19"/>
  <c r="Z194" i="19"/>
  <c r="D192" i="32" s="1"/>
  <c r="AA194" i="19"/>
  <c r="Z195" i="19"/>
  <c r="D193" i="32" s="1"/>
  <c r="AA195" i="19"/>
  <c r="D194" i="25" s="1"/>
  <c r="Z196" i="19"/>
  <c r="D194" i="32" s="1"/>
  <c r="AA196" i="19"/>
  <c r="D195" i="25" s="1"/>
  <c r="Z197" i="19"/>
  <c r="AA197" i="19"/>
  <c r="D196" i="25" s="1"/>
  <c r="Z198" i="19"/>
  <c r="D196" i="32" s="1"/>
  <c r="AA198" i="19"/>
  <c r="Z199" i="19"/>
  <c r="D197" i="32" s="1"/>
  <c r="AA199" i="19"/>
  <c r="D198" i="25" s="1"/>
  <c r="Z200" i="19"/>
  <c r="D198" i="32" s="1"/>
  <c r="AA200" i="19"/>
  <c r="Z201" i="19"/>
  <c r="AA201" i="19"/>
  <c r="Z202" i="19"/>
  <c r="D200" i="32" s="1"/>
  <c r="AA202" i="19"/>
  <c r="Z203" i="19"/>
  <c r="D201" i="32" s="1"/>
  <c r="AA203" i="19"/>
  <c r="D202" i="25" s="1"/>
  <c r="Z204" i="19"/>
  <c r="D202" i="32" s="1"/>
  <c r="AA204" i="19"/>
  <c r="D203" i="25" s="1"/>
  <c r="Z205" i="19"/>
  <c r="D203" i="32" s="1"/>
  <c r="AA205" i="19"/>
  <c r="D204" i="25" s="1"/>
  <c r="Z206" i="19"/>
  <c r="D204" i="32" s="1"/>
  <c r="AA206" i="19"/>
  <c r="Z207" i="19"/>
  <c r="D205" i="32" s="1"/>
  <c r="AA207" i="19"/>
  <c r="D206" i="25" s="1"/>
  <c r="Z208" i="19"/>
  <c r="D206" i="32" s="1"/>
  <c r="AA208" i="19"/>
  <c r="Z209" i="19"/>
  <c r="D207" i="32" s="1"/>
  <c r="AA209" i="19"/>
  <c r="Z210" i="19"/>
  <c r="D208" i="32" s="1"/>
  <c r="AA210" i="19"/>
  <c r="Z211" i="19"/>
  <c r="D209" i="32" s="1"/>
  <c r="AA211" i="19"/>
  <c r="D210" i="25" s="1"/>
  <c r="Z212" i="19"/>
  <c r="D210" i="32" s="1"/>
  <c r="AA212" i="19"/>
  <c r="Z213" i="19"/>
  <c r="D211" i="32" s="1"/>
  <c r="AA213" i="19"/>
  <c r="D212" i="25" s="1"/>
  <c r="Z214" i="19"/>
  <c r="D212" i="32" s="1"/>
  <c r="AA214" i="19"/>
  <c r="Z215" i="19"/>
  <c r="D213" i="32" s="1"/>
  <c r="AA215" i="19"/>
  <c r="D214" i="25" s="1"/>
  <c r="Z216" i="19"/>
  <c r="D214" i="32" s="1"/>
  <c r="AA216" i="19"/>
  <c r="Z217" i="19"/>
  <c r="D215" i="32" s="1"/>
  <c r="AA217" i="19"/>
  <c r="Z218" i="19"/>
  <c r="D216" i="32" s="1"/>
  <c r="AA218" i="19"/>
  <c r="Z219" i="19"/>
  <c r="D217" i="32" s="1"/>
  <c r="AA219" i="19"/>
  <c r="D218" i="25" s="1"/>
  <c r="Z220" i="19"/>
  <c r="D218" i="32" s="1"/>
  <c r="AA220" i="19"/>
  <c r="D219" i="25" s="1"/>
  <c r="Z221" i="19"/>
  <c r="D219" i="32" s="1"/>
  <c r="AA221" i="19"/>
  <c r="D220" i="25" s="1"/>
  <c r="Z222" i="19"/>
  <c r="D220" i="32" s="1"/>
  <c r="AA222" i="19"/>
  <c r="Z223" i="19"/>
  <c r="D221" i="32" s="1"/>
  <c r="AA223" i="19"/>
  <c r="D222" i="25" s="1"/>
  <c r="Z224" i="19"/>
  <c r="D222" i="32" s="1"/>
  <c r="AA224" i="19"/>
  <c r="Z225" i="19"/>
  <c r="D223" i="32" s="1"/>
  <c r="AA225" i="19"/>
  <c r="Z226" i="19"/>
  <c r="D224" i="32" s="1"/>
  <c r="AA226" i="19"/>
  <c r="Z227" i="19"/>
  <c r="D225" i="32" s="1"/>
  <c r="AA227" i="19"/>
  <c r="D226" i="25" s="1"/>
  <c r="Z228" i="19"/>
  <c r="D226" i="32" s="1"/>
  <c r="AA228" i="19"/>
  <c r="Z229" i="19"/>
  <c r="D227" i="32" s="1"/>
  <c r="AA229" i="19"/>
  <c r="D228" i="25" s="1"/>
  <c r="Z230" i="19"/>
  <c r="D228" i="32" s="1"/>
  <c r="AA230" i="19"/>
  <c r="Z231" i="19"/>
  <c r="D229" i="32" s="1"/>
  <c r="AA231" i="19"/>
  <c r="D230" i="25" s="1"/>
  <c r="Z232" i="19"/>
  <c r="D230" i="32" s="1"/>
  <c r="AA232" i="19"/>
  <c r="Z233" i="19"/>
  <c r="D231" i="32" s="1"/>
  <c r="AA233" i="19"/>
  <c r="Z234" i="19"/>
  <c r="D232" i="32" s="1"/>
  <c r="AA234" i="19"/>
  <c r="Z235" i="19"/>
  <c r="D233" i="32" s="1"/>
  <c r="AA235" i="19"/>
  <c r="D234" i="25" s="1"/>
  <c r="Z236" i="19"/>
  <c r="D234" i="32" s="1"/>
  <c r="AA236" i="19"/>
  <c r="D235" i="25" s="1"/>
  <c r="Z237" i="19"/>
  <c r="D235" i="32" s="1"/>
  <c r="AA237" i="19"/>
  <c r="D236" i="25" s="1"/>
  <c r="Z238" i="19"/>
  <c r="D236" i="32" s="1"/>
  <c r="AA238" i="19"/>
  <c r="Z239" i="19"/>
  <c r="D237" i="32" s="1"/>
  <c r="AA239" i="19"/>
  <c r="D238" i="25" s="1"/>
  <c r="Z240" i="19"/>
  <c r="D238" i="32" s="1"/>
  <c r="AA240" i="19"/>
  <c r="Z241" i="19"/>
  <c r="D239" i="32" s="1"/>
  <c r="AA241" i="19"/>
  <c r="Z242" i="19"/>
  <c r="D240" i="32" s="1"/>
  <c r="AA242" i="19"/>
  <c r="Z243" i="19"/>
  <c r="D241" i="32" s="1"/>
  <c r="AA243" i="19"/>
  <c r="D242" i="25" s="1"/>
  <c r="Z244" i="19"/>
  <c r="D242" i="32" s="1"/>
  <c r="AA244" i="19"/>
  <c r="D243" i="25" s="1"/>
  <c r="Z245" i="19"/>
  <c r="D243" i="32" s="1"/>
  <c r="AA245" i="19"/>
  <c r="D244" i="25" s="1"/>
  <c r="Z246" i="19"/>
  <c r="D244" i="32" s="1"/>
  <c r="AA246" i="19"/>
  <c r="Z247" i="19"/>
  <c r="D245" i="32" s="1"/>
  <c r="AA247" i="19"/>
  <c r="D246" i="25" s="1"/>
  <c r="Z248" i="19"/>
  <c r="D246" i="32" s="1"/>
  <c r="AA248" i="19"/>
  <c r="Z249" i="19"/>
  <c r="D247" i="32" s="1"/>
  <c r="AA249" i="19"/>
  <c r="Z250" i="19"/>
  <c r="D248" i="32" s="1"/>
  <c r="AA250" i="19"/>
  <c r="Z251" i="19"/>
  <c r="D249" i="32" s="1"/>
  <c r="AA251" i="19"/>
  <c r="D250" i="25" s="1"/>
  <c r="Z252" i="19"/>
  <c r="D250" i="32" s="1"/>
  <c r="AA252" i="19"/>
  <c r="D251" i="25" s="1"/>
  <c r="Z253" i="19"/>
  <c r="D251" i="32" s="1"/>
  <c r="AA253" i="19"/>
  <c r="D252" i="25" s="1"/>
  <c r="Z254" i="19"/>
  <c r="D252" i="32" s="1"/>
  <c r="AA254" i="19"/>
  <c r="Z255" i="19"/>
  <c r="D253" i="32" s="1"/>
  <c r="AA255" i="19"/>
  <c r="D254" i="25" s="1"/>
  <c r="Z256" i="19"/>
  <c r="D254" i="32" s="1"/>
  <c r="AA256" i="19"/>
  <c r="Z257" i="19"/>
  <c r="D255" i="32" s="1"/>
  <c r="AA257" i="19"/>
  <c r="Z258" i="19"/>
  <c r="D256" i="32" s="1"/>
  <c r="AA258" i="19"/>
  <c r="Z259" i="19"/>
  <c r="D257" i="32" s="1"/>
  <c r="AA259" i="19"/>
  <c r="D258" i="25" s="1"/>
  <c r="Z260" i="19"/>
  <c r="D258" i="32" s="1"/>
  <c r="AA260" i="19"/>
  <c r="Z261" i="19"/>
  <c r="D259" i="32" s="1"/>
  <c r="AA261" i="19"/>
  <c r="D260" i="25" s="1"/>
  <c r="Z262" i="19"/>
  <c r="D260" i="32" s="1"/>
  <c r="AA262" i="19"/>
  <c r="Z263" i="19"/>
  <c r="D261" i="32" s="1"/>
  <c r="AA263" i="19"/>
  <c r="D262" i="25" s="1"/>
  <c r="Z264" i="19"/>
  <c r="D262" i="32" s="1"/>
  <c r="AA264" i="19"/>
  <c r="Z265" i="19"/>
  <c r="D263" i="32" s="1"/>
  <c r="AA265" i="19"/>
  <c r="Z266" i="19"/>
  <c r="D264" i="32" s="1"/>
  <c r="AA266" i="19"/>
  <c r="Z267" i="19"/>
  <c r="D265" i="32" s="1"/>
  <c r="AA267" i="19"/>
  <c r="D266" i="25" s="1"/>
  <c r="Z268" i="19"/>
  <c r="D266" i="32" s="1"/>
  <c r="AA268" i="19"/>
  <c r="D267" i="25" s="1"/>
  <c r="Z269" i="19"/>
  <c r="D267" i="32" s="1"/>
  <c r="AA269" i="19"/>
  <c r="D268" i="25" s="1"/>
  <c r="Z270" i="19"/>
  <c r="D268" i="32" s="1"/>
  <c r="AA270" i="19"/>
  <c r="Z271" i="19"/>
  <c r="D269" i="32" s="1"/>
  <c r="AA271" i="19"/>
  <c r="D270" i="25" s="1"/>
  <c r="Z272" i="19"/>
  <c r="D270" i="32" s="1"/>
  <c r="AA272" i="19"/>
  <c r="Z273" i="19"/>
  <c r="D271" i="32" s="1"/>
  <c r="AA273" i="19"/>
  <c r="Z274" i="19"/>
  <c r="D272" i="32" s="1"/>
  <c r="AA274" i="19"/>
  <c r="Z275" i="19"/>
  <c r="D273" i="32" s="1"/>
  <c r="AA275" i="19"/>
  <c r="D274" i="25" s="1"/>
  <c r="Z276" i="19"/>
  <c r="D274" i="32" s="1"/>
  <c r="AA276" i="19"/>
  <c r="Z277" i="19"/>
  <c r="D275" i="32" s="1"/>
  <c r="AA277" i="19"/>
  <c r="D276" i="25" s="1"/>
  <c r="Z278" i="19"/>
  <c r="D276" i="32" s="1"/>
  <c r="AA278" i="19"/>
  <c r="Z279" i="19"/>
  <c r="D277" i="32" s="1"/>
  <c r="AA279" i="19"/>
  <c r="D278" i="25" s="1"/>
  <c r="Z280" i="19"/>
  <c r="D278" i="32" s="1"/>
  <c r="AA280" i="19"/>
  <c r="Z281" i="19"/>
  <c r="D279" i="32" s="1"/>
  <c r="AA281" i="19"/>
  <c r="Z282" i="19"/>
  <c r="D280" i="32" s="1"/>
  <c r="AA282" i="19"/>
  <c r="Z283" i="19"/>
  <c r="D281" i="32" s="1"/>
  <c r="AA283" i="19"/>
  <c r="D282" i="25" s="1"/>
  <c r="Z284" i="19"/>
  <c r="D282" i="32" s="1"/>
  <c r="AA284" i="19"/>
  <c r="D283" i="25" s="1"/>
  <c r="Z285" i="19"/>
  <c r="D283" i="32" s="1"/>
  <c r="AA285" i="19"/>
  <c r="D284" i="25" s="1"/>
  <c r="Z286" i="19"/>
  <c r="D284" i="32" s="1"/>
  <c r="AA286" i="19"/>
  <c r="Z287" i="19"/>
  <c r="D285" i="32" s="1"/>
  <c r="AA287" i="19"/>
  <c r="D286" i="25" s="1"/>
  <c r="Z288" i="19"/>
  <c r="D286" i="32" s="1"/>
  <c r="AA288" i="19"/>
  <c r="Z289" i="19"/>
  <c r="D287" i="32" s="1"/>
  <c r="AA289" i="19"/>
  <c r="Z290" i="19"/>
  <c r="D288" i="32" s="1"/>
  <c r="AA290" i="19"/>
  <c r="Z291" i="19"/>
  <c r="D289" i="32" s="1"/>
  <c r="AA291" i="19"/>
  <c r="D290" i="25" s="1"/>
  <c r="Z292" i="19"/>
  <c r="D290" i="32" s="1"/>
  <c r="AA292" i="19"/>
  <c r="Z293" i="19"/>
  <c r="D291" i="32" s="1"/>
  <c r="AA293" i="19"/>
  <c r="D292" i="25" s="1"/>
  <c r="Z294" i="19"/>
  <c r="D292" i="32" s="1"/>
  <c r="AA294" i="19"/>
  <c r="Z295" i="19"/>
  <c r="D293" i="32" s="1"/>
  <c r="AA295" i="19"/>
  <c r="D294" i="25" s="1"/>
  <c r="Z296" i="19"/>
  <c r="D294" i="32" s="1"/>
  <c r="AA296" i="19"/>
  <c r="Z297" i="19"/>
  <c r="D295" i="32" s="1"/>
  <c r="AA297" i="19"/>
  <c r="Z298" i="19"/>
  <c r="D296" i="32" s="1"/>
  <c r="AA298" i="19"/>
  <c r="Z299" i="19"/>
  <c r="D297" i="32" s="1"/>
  <c r="AA299" i="19"/>
  <c r="D298" i="25" s="1"/>
  <c r="Z300" i="19"/>
  <c r="D298" i="32" s="1"/>
  <c r="AA300" i="19"/>
  <c r="D299" i="25" s="1"/>
  <c r="Z301" i="19"/>
  <c r="D299" i="32" s="1"/>
  <c r="AA301" i="19"/>
  <c r="D300" i="25" s="1"/>
  <c r="Z302" i="19"/>
  <c r="D300" i="32" s="1"/>
  <c r="AA302" i="19"/>
  <c r="Z303" i="19"/>
  <c r="D301" i="32" s="1"/>
  <c r="AA303" i="19"/>
  <c r="D302" i="25" s="1"/>
  <c r="Z304" i="19"/>
  <c r="D302" i="32" s="1"/>
  <c r="AA304" i="19"/>
  <c r="Z305" i="19"/>
  <c r="D303" i="32" s="1"/>
  <c r="AA305" i="19"/>
  <c r="Z306" i="19"/>
  <c r="D304" i="32" s="1"/>
  <c r="AA306" i="19"/>
  <c r="Z307" i="19"/>
  <c r="D305" i="32" s="1"/>
  <c r="AA307" i="19"/>
  <c r="D306" i="25" s="1"/>
  <c r="Z308" i="19"/>
  <c r="D306" i="32" s="1"/>
  <c r="AA308" i="19"/>
  <c r="Z309" i="19"/>
  <c r="D307" i="32" s="1"/>
  <c r="AA309" i="19"/>
  <c r="D308" i="25" s="1"/>
  <c r="Z310" i="19"/>
  <c r="D308" i="32" s="1"/>
  <c r="AA310" i="19"/>
  <c r="Z311" i="19"/>
  <c r="D309" i="32" s="1"/>
  <c r="AA311" i="19"/>
  <c r="D309" i="33" s="1"/>
  <c r="Z312" i="19"/>
  <c r="D310" i="32" s="1"/>
  <c r="AA312" i="19"/>
  <c r="Z313" i="19"/>
  <c r="D311" i="32" s="1"/>
  <c r="AA313" i="19"/>
  <c r="Z314" i="19"/>
  <c r="D312" i="32" s="1"/>
  <c r="AA314" i="19"/>
  <c r="Z315" i="19"/>
  <c r="D313" i="32" s="1"/>
  <c r="AA315" i="19"/>
  <c r="D314" i="25" s="1"/>
  <c r="V8" i="19"/>
  <c r="W8" i="19"/>
  <c r="X8" i="19"/>
  <c r="V9" i="19"/>
  <c r="W9" i="19"/>
  <c r="X9" i="19"/>
  <c r="V10" i="19"/>
  <c r="W10" i="19"/>
  <c r="X10" i="19"/>
  <c r="V11" i="19"/>
  <c r="W11" i="19"/>
  <c r="X11" i="19"/>
  <c r="V12" i="19"/>
  <c r="W12" i="19"/>
  <c r="X12" i="19"/>
  <c r="V13" i="19"/>
  <c r="W13" i="19"/>
  <c r="X13" i="19"/>
  <c r="V14" i="19"/>
  <c r="W14" i="19"/>
  <c r="X14" i="19"/>
  <c r="V15" i="19"/>
  <c r="W15" i="19"/>
  <c r="X15" i="19"/>
  <c r="V16" i="19"/>
  <c r="W16" i="19"/>
  <c r="X16" i="19"/>
  <c r="V17" i="19"/>
  <c r="W17" i="19"/>
  <c r="X17" i="19"/>
  <c r="V18" i="19"/>
  <c r="W18" i="19"/>
  <c r="X18" i="19"/>
  <c r="V19" i="19"/>
  <c r="W19" i="19"/>
  <c r="X19" i="19"/>
  <c r="V20" i="19"/>
  <c r="W20" i="19"/>
  <c r="X20" i="19"/>
  <c r="V21" i="19"/>
  <c r="W21" i="19"/>
  <c r="X21" i="19"/>
  <c r="V22" i="19"/>
  <c r="W22" i="19"/>
  <c r="X22" i="19"/>
  <c r="V23" i="19"/>
  <c r="W23" i="19"/>
  <c r="X23" i="19"/>
  <c r="V24" i="19"/>
  <c r="W24" i="19"/>
  <c r="X24" i="19"/>
  <c r="V25" i="19"/>
  <c r="W25" i="19"/>
  <c r="X25" i="19"/>
  <c r="V26" i="19"/>
  <c r="W26" i="19"/>
  <c r="X26" i="19"/>
  <c r="V27" i="19"/>
  <c r="W27" i="19"/>
  <c r="X27" i="19"/>
  <c r="V28" i="19"/>
  <c r="W28" i="19"/>
  <c r="X28" i="19"/>
  <c r="V29" i="19"/>
  <c r="W29" i="19"/>
  <c r="X29" i="19"/>
  <c r="V30" i="19"/>
  <c r="W30" i="19"/>
  <c r="X30" i="19"/>
  <c r="V31" i="19"/>
  <c r="W31" i="19"/>
  <c r="X31" i="19"/>
  <c r="V32" i="19"/>
  <c r="W32" i="19"/>
  <c r="X32" i="19"/>
  <c r="V33" i="19"/>
  <c r="W33" i="19"/>
  <c r="X33" i="19"/>
  <c r="V34" i="19"/>
  <c r="W34" i="19"/>
  <c r="X34" i="19"/>
  <c r="V35" i="19"/>
  <c r="W35" i="19"/>
  <c r="X35" i="19"/>
  <c r="V36" i="19"/>
  <c r="W36" i="19"/>
  <c r="X36" i="19"/>
  <c r="V37" i="19"/>
  <c r="W37" i="19"/>
  <c r="X37" i="19"/>
  <c r="V38" i="19"/>
  <c r="W38" i="19"/>
  <c r="X38" i="19"/>
  <c r="V39" i="19"/>
  <c r="W39" i="19"/>
  <c r="X39" i="19"/>
  <c r="V40" i="19"/>
  <c r="W40" i="19"/>
  <c r="X40" i="19"/>
  <c r="V41" i="19"/>
  <c r="W41" i="19"/>
  <c r="X41" i="19"/>
  <c r="V42" i="19"/>
  <c r="W42" i="19"/>
  <c r="X42" i="19"/>
  <c r="V43" i="19"/>
  <c r="W43" i="19"/>
  <c r="X43" i="19"/>
  <c r="V44" i="19"/>
  <c r="W44" i="19"/>
  <c r="X44" i="19"/>
  <c r="V45" i="19"/>
  <c r="W45" i="19"/>
  <c r="X45" i="19"/>
  <c r="V46" i="19"/>
  <c r="W46" i="19"/>
  <c r="X46" i="19"/>
  <c r="V47" i="19"/>
  <c r="W47" i="19"/>
  <c r="X47" i="19"/>
  <c r="V48" i="19"/>
  <c r="W48" i="19"/>
  <c r="X48" i="19"/>
  <c r="V49" i="19"/>
  <c r="W49" i="19"/>
  <c r="X49" i="19"/>
  <c r="V50" i="19"/>
  <c r="W50" i="19"/>
  <c r="X50" i="19"/>
  <c r="V51" i="19"/>
  <c r="W51" i="19"/>
  <c r="X51" i="19"/>
  <c r="V52" i="19"/>
  <c r="W52" i="19"/>
  <c r="X52" i="19"/>
  <c r="V53" i="19"/>
  <c r="W53" i="19"/>
  <c r="X53" i="19"/>
  <c r="V54" i="19"/>
  <c r="W54" i="19"/>
  <c r="X54" i="19"/>
  <c r="V55" i="19"/>
  <c r="W55" i="19"/>
  <c r="X55" i="19"/>
  <c r="V56" i="19"/>
  <c r="W56" i="19"/>
  <c r="X56" i="19"/>
  <c r="V57" i="19"/>
  <c r="W57" i="19"/>
  <c r="X57" i="19"/>
  <c r="V58" i="19"/>
  <c r="W58" i="19"/>
  <c r="X58" i="19"/>
  <c r="V59" i="19"/>
  <c r="W59" i="19"/>
  <c r="X59" i="19"/>
  <c r="V60" i="19"/>
  <c r="W60" i="19"/>
  <c r="X60" i="19"/>
  <c r="V61" i="19"/>
  <c r="W61" i="19"/>
  <c r="X61" i="19"/>
  <c r="V62" i="19"/>
  <c r="W62" i="19"/>
  <c r="X62" i="19"/>
  <c r="V63" i="19"/>
  <c r="W63" i="19"/>
  <c r="X63" i="19"/>
  <c r="V64" i="19"/>
  <c r="W64" i="19"/>
  <c r="X64" i="19"/>
  <c r="V65" i="19"/>
  <c r="W65" i="19"/>
  <c r="X65" i="19"/>
  <c r="V66" i="19"/>
  <c r="W66" i="19"/>
  <c r="X66" i="19"/>
  <c r="V67" i="19"/>
  <c r="W67" i="19"/>
  <c r="X67" i="19"/>
  <c r="V68" i="19"/>
  <c r="W68" i="19"/>
  <c r="X68" i="19"/>
  <c r="V69" i="19"/>
  <c r="W69" i="19"/>
  <c r="X69" i="19"/>
  <c r="V70" i="19"/>
  <c r="W70" i="19"/>
  <c r="X70" i="19"/>
  <c r="V71" i="19"/>
  <c r="W71" i="19"/>
  <c r="X71" i="19"/>
  <c r="V72" i="19"/>
  <c r="W72" i="19"/>
  <c r="X72" i="19"/>
  <c r="V73" i="19"/>
  <c r="W73" i="19"/>
  <c r="X73" i="19"/>
  <c r="V74" i="19"/>
  <c r="W74" i="19"/>
  <c r="X74" i="19"/>
  <c r="V75" i="19"/>
  <c r="W75" i="19"/>
  <c r="X75" i="19"/>
  <c r="V76" i="19"/>
  <c r="W76" i="19"/>
  <c r="X76" i="19"/>
  <c r="V77" i="19"/>
  <c r="W77" i="19"/>
  <c r="X77" i="19"/>
  <c r="V78" i="19"/>
  <c r="W78" i="19"/>
  <c r="X78" i="19"/>
  <c r="V79" i="19"/>
  <c r="W79" i="19"/>
  <c r="X79" i="19"/>
  <c r="V80" i="19"/>
  <c r="W80" i="19"/>
  <c r="X80" i="19"/>
  <c r="V81" i="19"/>
  <c r="W81" i="19"/>
  <c r="X81" i="19"/>
  <c r="V82" i="19"/>
  <c r="W82" i="19"/>
  <c r="X82" i="19"/>
  <c r="V83" i="19"/>
  <c r="W83" i="19"/>
  <c r="X83" i="19"/>
  <c r="V84" i="19"/>
  <c r="W84" i="19"/>
  <c r="X84" i="19"/>
  <c r="V85" i="19"/>
  <c r="W85" i="19"/>
  <c r="X85" i="19"/>
  <c r="V86" i="19"/>
  <c r="W86" i="19"/>
  <c r="X86" i="19"/>
  <c r="V87" i="19"/>
  <c r="W87" i="19"/>
  <c r="X87" i="19"/>
  <c r="V88" i="19"/>
  <c r="W88" i="19"/>
  <c r="X88" i="19"/>
  <c r="V89" i="19"/>
  <c r="W89" i="19"/>
  <c r="X89" i="19"/>
  <c r="V90" i="19"/>
  <c r="W90" i="19"/>
  <c r="X90" i="19"/>
  <c r="V91" i="19"/>
  <c r="W91" i="19"/>
  <c r="X91" i="19"/>
  <c r="V92" i="19"/>
  <c r="W92" i="19"/>
  <c r="X92" i="19"/>
  <c r="V93" i="19"/>
  <c r="W93" i="19"/>
  <c r="X93" i="19"/>
  <c r="V94" i="19"/>
  <c r="W94" i="19"/>
  <c r="X94" i="19"/>
  <c r="V95" i="19"/>
  <c r="W95" i="19"/>
  <c r="X95" i="19"/>
  <c r="V96" i="19"/>
  <c r="W96" i="19"/>
  <c r="X96" i="19"/>
  <c r="V97" i="19"/>
  <c r="W97" i="19"/>
  <c r="X97" i="19"/>
  <c r="V98" i="19"/>
  <c r="W98" i="19"/>
  <c r="X98" i="19"/>
  <c r="V99" i="19"/>
  <c r="W99" i="19"/>
  <c r="X99" i="19"/>
  <c r="V100" i="19"/>
  <c r="W100" i="19"/>
  <c r="X100" i="19"/>
  <c r="V101" i="19"/>
  <c r="W101" i="19"/>
  <c r="X101" i="19"/>
  <c r="V102" i="19"/>
  <c r="W102" i="19"/>
  <c r="X102" i="19"/>
  <c r="V103" i="19"/>
  <c r="W103" i="19"/>
  <c r="X103" i="19"/>
  <c r="V104" i="19"/>
  <c r="W104" i="19"/>
  <c r="X104" i="19"/>
  <c r="V105" i="19"/>
  <c r="W105" i="19"/>
  <c r="X105" i="19"/>
  <c r="V106" i="19"/>
  <c r="W106" i="19"/>
  <c r="X106" i="19"/>
  <c r="V107" i="19"/>
  <c r="W107" i="19"/>
  <c r="X107" i="19"/>
  <c r="V108" i="19"/>
  <c r="W108" i="19"/>
  <c r="X108" i="19"/>
  <c r="V109" i="19"/>
  <c r="W109" i="19"/>
  <c r="X109" i="19"/>
  <c r="V110" i="19"/>
  <c r="W110" i="19"/>
  <c r="X110" i="19"/>
  <c r="V111" i="19"/>
  <c r="W111" i="19"/>
  <c r="X111" i="19"/>
  <c r="V112" i="19"/>
  <c r="W112" i="19"/>
  <c r="X112" i="19"/>
  <c r="V113" i="19"/>
  <c r="W113" i="19"/>
  <c r="X113" i="19"/>
  <c r="V114" i="19"/>
  <c r="W114" i="19"/>
  <c r="X114" i="19"/>
  <c r="V115" i="19"/>
  <c r="W115" i="19"/>
  <c r="X115" i="19"/>
  <c r="V116" i="19"/>
  <c r="W116" i="19"/>
  <c r="X116" i="19"/>
  <c r="V117" i="19"/>
  <c r="W117" i="19"/>
  <c r="X117" i="19"/>
  <c r="V118" i="19"/>
  <c r="W118" i="19"/>
  <c r="X118" i="19"/>
  <c r="V119" i="19"/>
  <c r="W119" i="19"/>
  <c r="X119" i="19"/>
  <c r="V120" i="19"/>
  <c r="W120" i="19"/>
  <c r="X120" i="19"/>
  <c r="V121" i="19"/>
  <c r="W121" i="19"/>
  <c r="X121" i="19"/>
  <c r="V122" i="19"/>
  <c r="W122" i="19"/>
  <c r="X122" i="19"/>
  <c r="V123" i="19"/>
  <c r="W123" i="19"/>
  <c r="X123" i="19"/>
  <c r="V124" i="19"/>
  <c r="W124" i="19"/>
  <c r="X124" i="19"/>
  <c r="V125" i="19"/>
  <c r="W125" i="19"/>
  <c r="X125" i="19"/>
  <c r="V126" i="19"/>
  <c r="W126" i="19"/>
  <c r="X126" i="19"/>
  <c r="V127" i="19"/>
  <c r="W127" i="19"/>
  <c r="X127" i="19"/>
  <c r="V128" i="19"/>
  <c r="W128" i="19"/>
  <c r="X128" i="19"/>
  <c r="V129" i="19"/>
  <c r="W129" i="19"/>
  <c r="X129" i="19"/>
  <c r="V130" i="19"/>
  <c r="W130" i="19"/>
  <c r="X130" i="19"/>
  <c r="V131" i="19"/>
  <c r="W131" i="19"/>
  <c r="X131" i="19"/>
  <c r="V132" i="19"/>
  <c r="W132" i="19"/>
  <c r="X132" i="19"/>
  <c r="V133" i="19"/>
  <c r="W133" i="19"/>
  <c r="X133" i="19"/>
  <c r="V134" i="19"/>
  <c r="W134" i="19"/>
  <c r="X134" i="19"/>
  <c r="V135" i="19"/>
  <c r="W135" i="19"/>
  <c r="X135" i="19"/>
  <c r="V136" i="19"/>
  <c r="W136" i="19"/>
  <c r="X136" i="19"/>
  <c r="V137" i="19"/>
  <c r="W137" i="19"/>
  <c r="X137" i="19"/>
  <c r="V138" i="19"/>
  <c r="W138" i="19"/>
  <c r="X138" i="19"/>
  <c r="V139" i="19"/>
  <c r="W139" i="19"/>
  <c r="X139" i="19"/>
  <c r="V140" i="19"/>
  <c r="W140" i="19"/>
  <c r="X140" i="19"/>
  <c r="V141" i="19"/>
  <c r="W141" i="19"/>
  <c r="X141" i="19"/>
  <c r="V142" i="19"/>
  <c r="W142" i="19"/>
  <c r="X142" i="19"/>
  <c r="V143" i="19"/>
  <c r="W143" i="19"/>
  <c r="X143" i="19"/>
  <c r="V144" i="19"/>
  <c r="W144" i="19"/>
  <c r="X144" i="19"/>
  <c r="V145" i="19"/>
  <c r="W145" i="19"/>
  <c r="X145" i="19"/>
  <c r="V146" i="19"/>
  <c r="W146" i="19"/>
  <c r="X146" i="19"/>
  <c r="V147" i="19"/>
  <c r="W147" i="19"/>
  <c r="X147" i="19"/>
  <c r="V148" i="19"/>
  <c r="W148" i="19"/>
  <c r="X148" i="19"/>
  <c r="V149" i="19"/>
  <c r="W149" i="19"/>
  <c r="X149" i="19"/>
  <c r="V150" i="19"/>
  <c r="W150" i="19"/>
  <c r="X150" i="19"/>
  <c r="V151" i="19"/>
  <c r="W151" i="19"/>
  <c r="X151" i="19"/>
  <c r="V152" i="19"/>
  <c r="W152" i="19"/>
  <c r="X152" i="19"/>
  <c r="V153" i="19"/>
  <c r="W153" i="19"/>
  <c r="X153" i="19"/>
  <c r="V154" i="19"/>
  <c r="W154" i="19"/>
  <c r="X154" i="19"/>
  <c r="V155" i="19"/>
  <c r="W155" i="19"/>
  <c r="X155" i="19"/>
  <c r="V156" i="19"/>
  <c r="W156" i="19"/>
  <c r="X156" i="19"/>
  <c r="V157" i="19"/>
  <c r="W157" i="19"/>
  <c r="X157" i="19"/>
  <c r="V158" i="19"/>
  <c r="W158" i="19"/>
  <c r="X158" i="19"/>
  <c r="V159" i="19"/>
  <c r="W159" i="19"/>
  <c r="X159" i="19"/>
  <c r="V160" i="19"/>
  <c r="W160" i="19"/>
  <c r="X160" i="19"/>
  <c r="V161" i="19"/>
  <c r="W161" i="19"/>
  <c r="X161" i="19"/>
  <c r="V162" i="19"/>
  <c r="W162" i="19"/>
  <c r="X162" i="19"/>
  <c r="V163" i="19"/>
  <c r="W163" i="19"/>
  <c r="X163" i="19"/>
  <c r="V164" i="19"/>
  <c r="W164" i="19"/>
  <c r="X164" i="19"/>
  <c r="V165" i="19"/>
  <c r="W165" i="19"/>
  <c r="X165" i="19"/>
  <c r="V166" i="19"/>
  <c r="W166" i="19"/>
  <c r="X166" i="19"/>
  <c r="V167" i="19"/>
  <c r="W167" i="19"/>
  <c r="X167" i="19"/>
  <c r="V168" i="19"/>
  <c r="W168" i="19"/>
  <c r="X168" i="19"/>
  <c r="V169" i="19"/>
  <c r="W169" i="19"/>
  <c r="X169" i="19"/>
  <c r="V170" i="19"/>
  <c r="W170" i="19"/>
  <c r="X170" i="19"/>
  <c r="V171" i="19"/>
  <c r="W171" i="19"/>
  <c r="X171" i="19"/>
  <c r="V172" i="19"/>
  <c r="W172" i="19"/>
  <c r="X172" i="19"/>
  <c r="V173" i="19"/>
  <c r="W173" i="19"/>
  <c r="X173" i="19"/>
  <c r="V174" i="19"/>
  <c r="W174" i="19"/>
  <c r="X174" i="19"/>
  <c r="V175" i="19"/>
  <c r="W175" i="19"/>
  <c r="X175" i="19"/>
  <c r="V176" i="19"/>
  <c r="W176" i="19"/>
  <c r="X176" i="19"/>
  <c r="V177" i="19"/>
  <c r="W177" i="19"/>
  <c r="X177" i="19"/>
  <c r="V178" i="19"/>
  <c r="W178" i="19"/>
  <c r="X178" i="19"/>
  <c r="V179" i="19"/>
  <c r="W179" i="19"/>
  <c r="X179" i="19"/>
  <c r="V180" i="19"/>
  <c r="W180" i="19"/>
  <c r="X180" i="19"/>
  <c r="V181" i="19"/>
  <c r="W181" i="19"/>
  <c r="X181" i="19"/>
  <c r="V182" i="19"/>
  <c r="W182" i="19"/>
  <c r="X182" i="19"/>
  <c r="V183" i="19"/>
  <c r="W183" i="19"/>
  <c r="X183" i="19"/>
  <c r="V184" i="19"/>
  <c r="W184" i="19"/>
  <c r="X184" i="19"/>
  <c r="V185" i="19"/>
  <c r="W185" i="19"/>
  <c r="X185" i="19"/>
  <c r="V186" i="19"/>
  <c r="W186" i="19"/>
  <c r="X186" i="19"/>
  <c r="V187" i="19"/>
  <c r="W187" i="19"/>
  <c r="X187" i="19"/>
  <c r="V188" i="19"/>
  <c r="W188" i="19"/>
  <c r="X188" i="19"/>
  <c r="V189" i="19"/>
  <c r="W189" i="19"/>
  <c r="X189" i="19"/>
  <c r="V190" i="19"/>
  <c r="W190" i="19"/>
  <c r="X190" i="19"/>
  <c r="V191" i="19"/>
  <c r="W191" i="19"/>
  <c r="X191" i="19"/>
  <c r="V192" i="19"/>
  <c r="W192" i="19"/>
  <c r="X192" i="19"/>
  <c r="V193" i="19"/>
  <c r="W193" i="19"/>
  <c r="X193" i="19"/>
  <c r="V194" i="19"/>
  <c r="W194" i="19"/>
  <c r="X194" i="19"/>
  <c r="V195" i="19"/>
  <c r="W195" i="19"/>
  <c r="X195" i="19"/>
  <c r="V196" i="19"/>
  <c r="W196" i="19"/>
  <c r="X196" i="19"/>
  <c r="V197" i="19"/>
  <c r="W197" i="19"/>
  <c r="X197" i="19"/>
  <c r="V198" i="19"/>
  <c r="W198" i="19"/>
  <c r="X198" i="19"/>
  <c r="V199" i="19"/>
  <c r="W199" i="19"/>
  <c r="X199" i="19"/>
  <c r="V200" i="19"/>
  <c r="W200" i="19"/>
  <c r="X200" i="19"/>
  <c r="V201" i="19"/>
  <c r="W201" i="19"/>
  <c r="X201" i="19"/>
  <c r="V202" i="19"/>
  <c r="W202" i="19"/>
  <c r="X202" i="19"/>
  <c r="V203" i="19"/>
  <c r="W203" i="19"/>
  <c r="X203" i="19"/>
  <c r="V204" i="19"/>
  <c r="W204" i="19"/>
  <c r="X204" i="19"/>
  <c r="V205" i="19"/>
  <c r="W205" i="19"/>
  <c r="X205" i="19"/>
  <c r="V206" i="19"/>
  <c r="W206" i="19"/>
  <c r="X206" i="19"/>
  <c r="V207" i="19"/>
  <c r="W207" i="19"/>
  <c r="X207" i="19"/>
  <c r="V208" i="19"/>
  <c r="W208" i="19"/>
  <c r="X208" i="19"/>
  <c r="V209" i="19"/>
  <c r="W209" i="19"/>
  <c r="X209" i="19"/>
  <c r="V210" i="19"/>
  <c r="W210" i="19"/>
  <c r="X210" i="19"/>
  <c r="V211" i="19"/>
  <c r="W211" i="19"/>
  <c r="X211" i="19"/>
  <c r="V212" i="19"/>
  <c r="W212" i="19"/>
  <c r="X212" i="19"/>
  <c r="V213" i="19"/>
  <c r="W213" i="19"/>
  <c r="X213" i="19"/>
  <c r="V214" i="19"/>
  <c r="W214" i="19"/>
  <c r="X214" i="19"/>
  <c r="V215" i="19"/>
  <c r="W215" i="19"/>
  <c r="X215" i="19"/>
  <c r="V216" i="19"/>
  <c r="W216" i="19"/>
  <c r="X216" i="19"/>
  <c r="V217" i="19"/>
  <c r="W217" i="19"/>
  <c r="X217" i="19"/>
  <c r="V218" i="19"/>
  <c r="W218" i="19"/>
  <c r="X218" i="19"/>
  <c r="V219" i="19"/>
  <c r="W219" i="19"/>
  <c r="X219" i="19"/>
  <c r="V220" i="19"/>
  <c r="W220" i="19"/>
  <c r="X220" i="19"/>
  <c r="V221" i="19"/>
  <c r="W221" i="19"/>
  <c r="X221" i="19"/>
  <c r="V222" i="19"/>
  <c r="W222" i="19"/>
  <c r="X222" i="19"/>
  <c r="V223" i="19"/>
  <c r="W223" i="19"/>
  <c r="X223" i="19"/>
  <c r="V224" i="19"/>
  <c r="W224" i="19"/>
  <c r="X224" i="19"/>
  <c r="V225" i="19"/>
  <c r="W225" i="19"/>
  <c r="X225" i="19"/>
  <c r="V226" i="19"/>
  <c r="W226" i="19"/>
  <c r="X226" i="19"/>
  <c r="V227" i="19"/>
  <c r="W227" i="19"/>
  <c r="X227" i="19"/>
  <c r="V228" i="19"/>
  <c r="W228" i="19"/>
  <c r="X228" i="19"/>
  <c r="V229" i="19"/>
  <c r="W229" i="19"/>
  <c r="X229" i="19"/>
  <c r="V230" i="19"/>
  <c r="W230" i="19"/>
  <c r="X230" i="19"/>
  <c r="V231" i="19"/>
  <c r="W231" i="19"/>
  <c r="X231" i="19"/>
  <c r="V232" i="19"/>
  <c r="W232" i="19"/>
  <c r="X232" i="19"/>
  <c r="V233" i="19"/>
  <c r="W233" i="19"/>
  <c r="X233" i="19"/>
  <c r="V234" i="19"/>
  <c r="W234" i="19"/>
  <c r="X234" i="19"/>
  <c r="V235" i="19"/>
  <c r="W235" i="19"/>
  <c r="X235" i="19"/>
  <c r="V236" i="19"/>
  <c r="W236" i="19"/>
  <c r="X236" i="19"/>
  <c r="V237" i="19"/>
  <c r="W237" i="19"/>
  <c r="X237" i="19"/>
  <c r="V238" i="19"/>
  <c r="W238" i="19"/>
  <c r="X238" i="19"/>
  <c r="V239" i="19"/>
  <c r="W239" i="19"/>
  <c r="X239" i="19"/>
  <c r="V240" i="19"/>
  <c r="W240" i="19"/>
  <c r="X240" i="19"/>
  <c r="V241" i="19"/>
  <c r="W241" i="19"/>
  <c r="X241" i="19"/>
  <c r="V242" i="19"/>
  <c r="W242" i="19"/>
  <c r="X242" i="19"/>
  <c r="V243" i="19"/>
  <c r="W243" i="19"/>
  <c r="X243" i="19"/>
  <c r="V244" i="19"/>
  <c r="W244" i="19"/>
  <c r="X244" i="19"/>
  <c r="V245" i="19"/>
  <c r="W245" i="19"/>
  <c r="X245" i="19"/>
  <c r="V246" i="19"/>
  <c r="W246" i="19"/>
  <c r="X246" i="19"/>
  <c r="V247" i="19"/>
  <c r="W247" i="19"/>
  <c r="X247" i="19"/>
  <c r="V248" i="19"/>
  <c r="W248" i="19"/>
  <c r="X248" i="19"/>
  <c r="V249" i="19"/>
  <c r="W249" i="19"/>
  <c r="X249" i="19"/>
  <c r="V250" i="19"/>
  <c r="W250" i="19"/>
  <c r="X250" i="19"/>
  <c r="V251" i="19"/>
  <c r="W251" i="19"/>
  <c r="X251" i="19"/>
  <c r="V252" i="19"/>
  <c r="W252" i="19"/>
  <c r="X252" i="19"/>
  <c r="V253" i="19"/>
  <c r="W253" i="19"/>
  <c r="X253" i="19"/>
  <c r="V254" i="19"/>
  <c r="W254" i="19"/>
  <c r="X254" i="19"/>
  <c r="V255" i="19"/>
  <c r="W255" i="19"/>
  <c r="X255" i="19"/>
  <c r="V256" i="19"/>
  <c r="W256" i="19"/>
  <c r="X256" i="19"/>
  <c r="V257" i="19"/>
  <c r="W257" i="19"/>
  <c r="X257" i="19"/>
  <c r="V258" i="19"/>
  <c r="W258" i="19"/>
  <c r="X258" i="19"/>
  <c r="V259" i="19"/>
  <c r="W259" i="19"/>
  <c r="X259" i="19"/>
  <c r="V260" i="19"/>
  <c r="W260" i="19"/>
  <c r="X260" i="19"/>
  <c r="V261" i="19"/>
  <c r="W261" i="19"/>
  <c r="X261" i="19"/>
  <c r="V262" i="19"/>
  <c r="W262" i="19"/>
  <c r="X262" i="19"/>
  <c r="V263" i="19"/>
  <c r="W263" i="19"/>
  <c r="X263" i="19"/>
  <c r="V264" i="19"/>
  <c r="W264" i="19"/>
  <c r="X264" i="19"/>
  <c r="V265" i="19"/>
  <c r="W265" i="19"/>
  <c r="X265" i="19"/>
  <c r="V266" i="19"/>
  <c r="W266" i="19"/>
  <c r="X266" i="19"/>
  <c r="V267" i="19"/>
  <c r="W267" i="19"/>
  <c r="X267" i="19"/>
  <c r="V268" i="19"/>
  <c r="W268" i="19"/>
  <c r="X268" i="19"/>
  <c r="V269" i="19"/>
  <c r="W269" i="19"/>
  <c r="X269" i="19"/>
  <c r="V270" i="19"/>
  <c r="W270" i="19"/>
  <c r="X270" i="19"/>
  <c r="V271" i="19"/>
  <c r="W271" i="19"/>
  <c r="X271" i="19"/>
  <c r="V272" i="19"/>
  <c r="W272" i="19"/>
  <c r="X272" i="19"/>
  <c r="V273" i="19"/>
  <c r="W273" i="19"/>
  <c r="X273" i="19"/>
  <c r="V274" i="19"/>
  <c r="W274" i="19"/>
  <c r="X274" i="19"/>
  <c r="V275" i="19"/>
  <c r="W275" i="19"/>
  <c r="X275" i="19"/>
  <c r="V276" i="19"/>
  <c r="W276" i="19"/>
  <c r="X276" i="19"/>
  <c r="V277" i="19"/>
  <c r="W277" i="19"/>
  <c r="X277" i="19"/>
  <c r="V278" i="19"/>
  <c r="W278" i="19"/>
  <c r="X278" i="19"/>
  <c r="V279" i="19"/>
  <c r="W279" i="19"/>
  <c r="X279" i="19"/>
  <c r="V280" i="19"/>
  <c r="W280" i="19"/>
  <c r="X280" i="19"/>
  <c r="V281" i="19"/>
  <c r="W281" i="19"/>
  <c r="X281" i="19"/>
  <c r="V282" i="19"/>
  <c r="W282" i="19"/>
  <c r="X282" i="19"/>
  <c r="V283" i="19"/>
  <c r="W283" i="19"/>
  <c r="X283" i="19"/>
  <c r="V284" i="19"/>
  <c r="W284" i="19"/>
  <c r="X284" i="19"/>
  <c r="V285" i="19"/>
  <c r="W285" i="19"/>
  <c r="X285" i="19"/>
  <c r="V286" i="19"/>
  <c r="W286" i="19"/>
  <c r="X286" i="19"/>
  <c r="V287" i="19"/>
  <c r="W287" i="19"/>
  <c r="X287" i="19"/>
  <c r="V288" i="19"/>
  <c r="W288" i="19"/>
  <c r="X288" i="19"/>
  <c r="V289" i="19"/>
  <c r="W289" i="19"/>
  <c r="X289" i="19"/>
  <c r="V290" i="19"/>
  <c r="W290" i="19"/>
  <c r="X290" i="19"/>
  <c r="V291" i="19"/>
  <c r="W291" i="19"/>
  <c r="X291" i="19"/>
  <c r="V292" i="19"/>
  <c r="W292" i="19"/>
  <c r="X292" i="19"/>
  <c r="V293" i="19"/>
  <c r="W293" i="19"/>
  <c r="X293" i="19"/>
  <c r="V294" i="19"/>
  <c r="W294" i="19"/>
  <c r="X294" i="19"/>
  <c r="V295" i="19"/>
  <c r="W295" i="19"/>
  <c r="X295" i="19"/>
  <c r="V296" i="19"/>
  <c r="W296" i="19"/>
  <c r="X296" i="19"/>
  <c r="V297" i="19"/>
  <c r="W297" i="19"/>
  <c r="X297" i="19"/>
  <c r="V298" i="19"/>
  <c r="W298" i="19"/>
  <c r="X298" i="19"/>
  <c r="V299" i="19"/>
  <c r="W299" i="19"/>
  <c r="X299" i="19"/>
  <c r="V300" i="19"/>
  <c r="W300" i="19"/>
  <c r="X300" i="19"/>
  <c r="V301" i="19"/>
  <c r="W301" i="19"/>
  <c r="X301" i="19"/>
  <c r="V302" i="19"/>
  <c r="W302" i="19"/>
  <c r="X302" i="19"/>
  <c r="V303" i="19"/>
  <c r="W303" i="19"/>
  <c r="X303" i="19"/>
  <c r="V304" i="19"/>
  <c r="W304" i="19"/>
  <c r="X304" i="19"/>
  <c r="V305" i="19"/>
  <c r="W305" i="19"/>
  <c r="X305" i="19"/>
  <c r="V306" i="19"/>
  <c r="W306" i="19"/>
  <c r="X306" i="19"/>
  <c r="V307" i="19"/>
  <c r="W307" i="19"/>
  <c r="X307" i="19"/>
  <c r="V308" i="19"/>
  <c r="W308" i="19"/>
  <c r="X308" i="19"/>
  <c r="V309" i="19"/>
  <c r="W309" i="19"/>
  <c r="X309" i="19"/>
  <c r="V310" i="19"/>
  <c r="W310" i="19"/>
  <c r="X310" i="19"/>
  <c r="V311" i="19"/>
  <c r="W311" i="19"/>
  <c r="X311" i="19"/>
  <c r="V312" i="19"/>
  <c r="W312" i="19"/>
  <c r="X312" i="19"/>
  <c r="V313" i="19"/>
  <c r="W313" i="19"/>
  <c r="X313" i="19"/>
  <c r="V314" i="19"/>
  <c r="W314" i="19"/>
  <c r="X314" i="19"/>
  <c r="V315" i="19"/>
  <c r="W315" i="19"/>
  <c r="X315" i="19"/>
  <c r="S8" i="19"/>
  <c r="C7" i="25" s="1"/>
  <c r="S9" i="19"/>
  <c r="C8" i="25" s="1"/>
  <c r="S10" i="19"/>
  <c r="C9" i="25" s="1"/>
  <c r="S11" i="19"/>
  <c r="C10" i="25" s="1"/>
  <c r="S12" i="19"/>
  <c r="C11" i="25" s="1"/>
  <c r="S13" i="19"/>
  <c r="C12" i="25" s="1"/>
  <c r="S14" i="19"/>
  <c r="C13" i="25" s="1"/>
  <c r="S15" i="19"/>
  <c r="C14" i="25" s="1"/>
  <c r="S16" i="19"/>
  <c r="C15" i="25" s="1"/>
  <c r="S17" i="19"/>
  <c r="C16" i="25" s="1"/>
  <c r="S18" i="19"/>
  <c r="C17" i="25" s="1"/>
  <c r="S19" i="19"/>
  <c r="C18" i="25" s="1"/>
  <c r="S20" i="19"/>
  <c r="C19" i="25" s="1"/>
  <c r="S21" i="19"/>
  <c r="C20" i="25" s="1"/>
  <c r="S22" i="19"/>
  <c r="C21" i="25" s="1"/>
  <c r="S23" i="19"/>
  <c r="C22" i="25" s="1"/>
  <c r="S24" i="19"/>
  <c r="C23" i="25" s="1"/>
  <c r="S25" i="19"/>
  <c r="C24" i="25" s="1"/>
  <c r="S26" i="19"/>
  <c r="C25" i="25" s="1"/>
  <c r="S27" i="19"/>
  <c r="C26" i="25" s="1"/>
  <c r="S28" i="19"/>
  <c r="C27" i="25" s="1"/>
  <c r="S29" i="19"/>
  <c r="C28" i="25" s="1"/>
  <c r="S30" i="19"/>
  <c r="C29" i="25" s="1"/>
  <c r="S31" i="19"/>
  <c r="C30" i="25" s="1"/>
  <c r="S32" i="19"/>
  <c r="C31" i="25" s="1"/>
  <c r="S33" i="19"/>
  <c r="C32" i="25" s="1"/>
  <c r="S34" i="19"/>
  <c r="C33" i="25" s="1"/>
  <c r="S35" i="19"/>
  <c r="C34" i="25" s="1"/>
  <c r="S36" i="19"/>
  <c r="C35" i="25" s="1"/>
  <c r="S37" i="19"/>
  <c r="C36" i="25" s="1"/>
  <c r="S38" i="19"/>
  <c r="C37" i="25" s="1"/>
  <c r="S39" i="19"/>
  <c r="C38" i="25" s="1"/>
  <c r="S40" i="19"/>
  <c r="C39" i="25" s="1"/>
  <c r="S41" i="19"/>
  <c r="C40" i="25" s="1"/>
  <c r="S42" i="19"/>
  <c r="C41" i="25" s="1"/>
  <c r="S43" i="19"/>
  <c r="C42" i="25" s="1"/>
  <c r="S44" i="19"/>
  <c r="C43" i="25" s="1"/>
  <c r="S45" i="19"/>
  <c r="C44" i="25" s="1"/>
  <c r="S46" i="19"/>
  <c r="C45" i="25" s="1"/>
  <c r="S47" i="19"/>
  <c r="C46" i="25" s="1"/>
  <c r="S48" i="19"/>
  <c r="C47" i="25" s="1"/>
  <c r="S49" i="19"/>
  <c r="C48" i="25" s="1"/>
  <c r="S50" i="19"/>
  <c r="C49" i="25" s="1"/>
  <c r="S51" i="19"/>
  <c r="C50" i="25" s="1"/>
  <c r="S52" i="19"/>
  <c r="C51" i="25" s="1"/>
  <c r="S53" i="19"/>
  <c r="C52" i="25" s="1"/>
  <c r="S54" i="19"/>
  <c r="C53" i="25" s="1"/>
  <c r="S55" i="19"/>
  <c r="C54" i="25" s="1"/>
  <c r="S56" i="19"/>
  <c r="C55" i="25" s="1"/>
  <c r="S57" i="19"/>
  <c r="C56" i="25" s="1"/>
  <c r="S58" i="19"/>
  <c r="C57" i="25" s="1"/>
  <c r="S59" i="19"/>
  <c r="C58" i="25" s="1"/>
  <c r="S60" i="19"/>
  <c r="C59" i="25" s="1"/>
  <c r="S61" i="19"/>
  <c r="C60" i="25" s="1"/>
  <c r="S62" i="19"/>
  <c r="C61" i="25" s="1"/>
  <c r="S63" i="19"/>
  <c r="C62" i="25" s="1"/>
  <c r="S64" i="19"/>
  <c r="C63" i="25" s="1"/>
  <c r="S65" i="19"/>
  <c r="C64" i="25" s="1"/>
  <c r="S66" i="19"/>
  <c r="C65" i="25" s="1"/>
  <c r="S67" i="19"/>
  <c r="C66" i="25" s="1"/>
  <c r="S68" i="19"/>
  <c r="C67" i="25" s="1"/>
  <c r="S69" i="19"/>
  <c r="C68" i="25" s="1"/>
  <c r="S70" i="19"/>
  <c r="C69" i="25" s="1"/>
  <c r="S71" i="19"/>
  <c r="C70" i="25" s="1"/>
  <c r="S72" i="19"/>
  <c r="C71" i="25" s="1"/>
  <c r="S73" i="19"/>
  <c r="C72" i="25" s="1"/>
  <c r="S74" i="19"/>
  <c r="C73" i="25" s="1"/>
  <c r="S75" i="19"/>
  <c r="C74" i="25" s="1"/>
  <c r="S76" i="19"/>
  <c r="C75" i="25" s="1"/>
  <c r="S77" i="19"/>
  <c r="C76" i="25" s="1"/>
  <c r="S78" i="19"/>
  <c r="C77" i="25" s="1"/>
  <c r="S79" i="19"/>
  <c r="C78" i="25" s="1"/>
  <c r="S80" i="19"/>
  <c r="C79" i="25" s="1"/>
  <c r="S81" i="19"/>
  <c r="C80" i="25" s="1"/>
  <c r="S82" i="19"/>
  <c r="C81" i="25" s="1"/>
  <c r="S83" i="19"/>
  <c r="C82" i="25" s="1"/>
  <c r="S84" i="19"/>
  <c r="C83" i="25" s="1"/>
  <c r="S85" i="19"/>
  <c r="C84" i="25" s="1"/>
  <c r="S86" i="19"/>
  <c r="C85" i="25" s="1"/>
  <c r="S87" i="19"/>
  <c r="C86" i="25" s="1"/>
  <c r="S88" i="19"/>
  <c r="C87" i="25" s="1"/>
  <c r="S89" i="19"/>
  <c r="C88" i="25" s="1"/>
  <c r="S90" i="19"/>
  <c r="C89" i="25" s="1"/>
  <c r="S91" i="19"/>
  <c r="C90" i="25" s="1"/>
  <c r="S92" i="19"/>
  <c r="C91" i="25" s="1"/>
  <c r="S93" i="19"/>
  <c r="C92" i="25" s="1"/>
  <c r="S94" i="19"/>
  <c r="C93" i="25" s="1"/>
  <c r="S95" i="19"/>
  <c r="C94" i="25" s="1"/>
  <c r="S96" i="19"/>
  <c r="C95" i="25" s="1"/>
  <c r="S97" i="19"/>
  <c r="C96" i="25" s="1"/>
  <c r="S98" i="19"/>
  <c r="C97" i="25" s="1"/>
  <c r="S99" i="19"/>
  <c r="C98" i="25" s="1"/>
  <c r="S100" i="19"/>
  <c r="C99" i="25" s="1"/>
  <c r="S101" i="19"/>
  <c r="C100" i="25" s="1"/>
  <c r="S102" i="19"/>
  <c r="C101" i="25" s="1"/>
  <c r="S103" i="19"/>
  <c r="C102" i="25" s="1"/>
  <c r="S104" i="19"/>
  <c r="C103" i="25" s="1"/>
  <c r="S105" i="19"/>
  <c r="C104" i="25" s="1"/>
  <c r="S106" i="19"/>
  <c r="C105" i="25" s="1"/>
  <c r="S107" i="19"/>
  <c r="C106" i="25" s="1"/>
  <c r="S108" i="19"/>
  <c r="C107" i="25" s="1"/>
  <c r="S109" i="19"/>
  <c r="C108" i="25" s="1"/>
  <c r="S110" i="19"/>
  <c r="C109" i="25" s="1"/>
  <c r="S111" i="19"/>
  <c r="C110" i="25" s="1"/>
  <c r="S112" i="19"/>
  <c r="C111" i="25" s="1"/>
  <c r="S113" i="19"/>
  <c r="C112" i="25" s="1"/>
  <c r="S114" i="19"/>
  <c r="C113" i="25" s="1"/>
  <c r="S115" i="19"/>
  <c r="C114" i="25" s="1"/>
  <c r="S116" i="19"/>
  <c r="C115" i="25" s="1"/>
  <c r="S117" i="19"/>
  <c r="C116" i="25" s="1"/>
  <c r="S118" i="19"/>
  <c r="C117" i="25" s="1"/>
  <c r="S119" i="19"/>
  <c r="C118" i="25" s="1"/>
  <c r="S120" i="19"/>
  <c r="C119" i="25" s="1"/>
  <c r="S121" i="19"/>
  <c r="C120" i="25" s="1"/>
  <c r="S122" i="19"/>
  <c r="C121" i="25" s="1"/>
  <c r="S123" i="19"/>
  <c r="C122" i="25" s="1"/>
  <c r="S124" i="19"/>
  <c r="C123" i="25" s="1"/>
  <c r="S125" i="19"/>
  <c r="C124" i="25" s="1"/>
  <c r="S126" i="19"/>
  <c r="C125" i="25" s="1"/>
  <c r="S127" i="19"/>
  <c r="C126" i="25" s="1"/>
  <c r="S128" i="19"/>
  <c r="C127" i="25" s="1"/>
  <c r="S129" i="19"/>
  <c r="C128" i="25" s="1"/>
  <c r="S130" i="19"/>
  <c r="C129" i="25" s="1"/>
  <c r="S131" i="19"/>
  <c r="C130" i="25" s="1"/>
  <c r="S132" i="19"/>
  <c r="C131" i="25" s="1"/>
  <c r="S133" i="19"/>
  <c r="C132" i="25" s="1"/>
  <c r="S134" i="19"/>
  <c r="C133" i="25" s="1"/>
  <c r="S135" i="19"/>
  <c r="C134" i="25" s="1"/>
  <c r="S136" i="19"/>
  <c r="C135" i="25" s="1"/>
  <c r="S137" i="19"/>
  <c r="C136" i="25" s="1"/>
  <c r="S138" i="19"/>
  <c r="C137" i="25" s="1"/>
  <c r="S139" i="19"/>
  <c r="C138" i="25" s="1"/>
  <c r="S140" i="19"/>
  <c r="C139" i="25" s="1"/>
  <c r="S141" i="19"/>
  <c r="C140" i="25" s="1"/>
  <c r="S142" i="19"/>
  <c r="C141" i="25" s="1"/>
  <c r="S143" i="19"/>
  <c r="C142" i="25" s="1"/>
  <c r="S144" i="19"/>
  <c r="C143" i="25" s="1"/>
  <c r="S145" i="19"/>
  <c r="C144" i="25" s="1"/>
  <c r="S146" i="19"/>
  <c r="C145" i="25" s="1"/>
  <c r="S147" i="19"/>
  <c r="C146" i="25" s="1"/>
  <c r="S148" i="19"/>
  <c r="C147" i="25" s="1"/>
  <c r="S149" i="19"/>
  <c r="C148" i="25" s="1"/>
  <c r="S150" i="19"/>
  <c r="C149" i="25" s="1"/>
  <c r="S151" i="19"/>
  <c r="C150" i="25" s="1"/>
  <c r="S152" i="19"/>
  <c r="C151" i="25" s="1"/>
  <c r="S153" i="19"/>
  <c r="C152" i="25" s="1"/>
  <c r="S154" i="19"/>
  <c r="C153" i="25" s="1"/>
  <c r="S155" i="19"/>
  <c r="C154" i="25" s="1"/>
  <c r="S156" i="19"/>
  <c r="C155" i="25" s="1"/>
  <c r="S157" i="19"/>
  <c r="C156" i="25" s="1"/>
  <c r="S158" i="19"/>
  <c r="C157" i="25" s="1"/>
  <c r="S159" i="19"/>
  <c r="C158" i="25" s="1"/>
  <c r="S160" i="19"/>
  <c r="C159" i="25" s="1"/>
  <c r="S161" i="19"/>
  <c r="C160" i="25" s="1"/>
  <c r="S162" i="19"/>
  <c r="C161" i="25" s="1"/>
  <c r="S163" i="19"/>
  <c r="C162" i="25" s="1"/>
  <c r="S164" i="19"/>
  <c r="C163" i="25" s="1"/>
  <c r="S165" i="19"/>
  <c r="C164" i="25" s="1"/>
  <c r="S166" i="19"/>
  <c r="C165" i="25" s="1"/>
  <c r="S167" i="19"/>
  <c r="C166" i="25" s="1"/>
  <c r="S168" i="19"/>
  <c r="C167" i="25" s="1"/>
  <c r="S169" i="19"/>
  <c r="C168" i="25" s="1"/>
  <c r="S170" i="19"/>
  <c r="C169" i="25" s="1"/>
  <c r="S171" i="19"/>
  <c r="C170" i="25" s="1"/>
  <c r="S172" i="19"/>
  <c r="C171" i="25" s="1"/>
  <c r="S173" i="19"/>
  <c r="C172" i="25" s="1"/>
  <c r="S174" i="19"/>
  <c r="C173" i="25" s="1"/>
  <c r="S175" i="19"/>
  <c r="C174" i="25" s="1"/>
  <c r="S176" i="19"/>
  <c r="C175" i="25" s="1"/>
  <c r="S177" i="19"/>
  <c r="C176" i="25" s="1"/>
  <c r="S178" i="19"/>
  <c r="C177" i="25" s="1"/>
  <c r="S179" i="19"/>
  <c r="C178" i="25" s="1"/>
  <c r="S180" i="19"/>
  <c r="C179" i="25" s="1"/>
  <c r="S181" i="19"/>
  <c r="C180" i="25" s="1"/>
  <c r="S182" i="19"/>
  <c r="C181" i="25" s="1"/>
  <c r="S183" i="19"/>
  <c r="C182" i="25" s="1"/>
  <c r="S184" i="19"/>
  <c r="C183" i="25" s="1"/>
  <c r="S185" i="19"/>
  <c r="C184" i="25" s="1"/>
  <c r="S186" i="19"/>
  <c r="C185" i="25" s="1"/>
  <c r="S187" i="19"/>
  <c r="C186" i="25" s="1"/>
  <c r="S188" i="19"/>
  <c r="C187" i="25" s="1"/>
  <c r="S189" i="19"/>
  <c r="C188" i="25" s="1"/>
  <c r="S190" i="19"/>
  <c r="C189" i="25" s="1"/>
  <c r="S191" i="19"/>
  <c r="C190" i="25" s="1"/>
  <c r="S192" i="19"/>
  <c r="C191" i="25" s="1"/>
  <c r="S193" i="19"/>
  <c r="C192" i="25" s="1"/>
  <c r="S194" i="19"/>
  <c r="C193" i="25" s="1"/>
  <c r="S195" i="19"/>
  <c r="C194" i="25" s="1"/>
  <c r="S196" i="19"/>
  <c r="C195" i="25" s="1"/>
  <c r="S197" i="19"/>
  <c r="C196" i="25" s="1"/>
  <c r="S198" i="19"/>
  <c r="C197" i="25" s="1"/>
  <c r="S199" i="19"/>
  <c r="C198" i="25" s="1"/>
  <c r="S200" i="19"/>
  <c r="C199" i="25" s="1"/>
  <c r="S201" i="19"/>
  <c r="C200" i="25" s="1"/>
  <c r="S202" i="19"/>
  <c r="C201" i="25" s="1"/>
  <c r="S203" i="19"/>
  <c r="C202" i="25" s="1"/>
  <c r="S204" i="19"/>
  <c r="C203" i="25" s="1"/>
  <c r="S205" i="19"/>
  <c r="C204" i="25" s="1"/>
  <c r="S206" i="19"/>
  <c r="C205" i="25" s="1"/>
  <c r="S207" i="19"/>
  <c r="C206" i="25" s="1"/>
  <c r="S208" i="19"/>
  <c r="C207" i="25" s="1"/>
  <c r="S209" i="19"/>
  <c r="C208" i="25" s="1"/>
  <c r="S210" i="19"/>
  <c r="C209" i="25" s="1"/>
  <c r="S211" i="19"/>
  <c r="C210" i="25" s="1"/>
  <c r="S212" i="19"/>
  <c r="C211" i="25" s="1"/>
  <c r="S213" i="19"/>
  <c r="C212" i="25" s="1"/>
  <c r="S214" i="19"/>
  <c r="C213" i="25" s="1"/>
  <c r="S215" i="19"/>
  <c r="C214" i="25" s="1"/>
  <c r="S216" i="19"/>
  <c r="C215" i="25" s="1"/>
  <c r="S217" i="19"/>
  <c r="C216" i="25" s="1"/>
  <c r="S218" i="19"/>
  <c r="C217" i="25" s="1"/>
  <c r="S219" i="19"/>
  <c r="C218" i="25" s="1"/>
  <c r="S220" i="19"/>
  <c r="C219" i="25" s="1"/>
  <c r="S221" i="19"/>
  <c r="C220" i="25" s="1"/>
  <c r="S222" i="19"/>
  <c r="C221" i="25" s="1"/>
  <c r="S223" i="19"/>
  <c r="C222" i="25" s="1"/>
  <c r="S224" i="19"/>
  <c r="C223" i="25" s="1"/>
  <c r="S225" i="19"/>
  <c r="C224" i="25" s="1"/>
  <c r="S226" i="19"/>
  <c r="C225" i="25" s="1"/>
  <c r="S227" i="19"/>
  <c r="C226" i="25" s="1"/>
  <c r="S228" i="19"/>
  <c r="C227" i="25" s="1"/>
  <c r="S229" i="19"/>
  <c r="C228" i="25" s="1"/>
  <c r="S230" i="19"/>
  <c r="C229" i="25" s="1"/>
  <c r="S231" i="19"/>
  <c r="C230" i="25" s="1"/>
  <c r="S232" i="19"/>
  <c r="C231" i="25" s="1"/>
  <c r="S233" i="19"/>
  <c r="C232" i="25" s="1"/>
  <c r="S234" i="19"/>
  <c r="C233" i="25" s="1"/>
  <c r="S235" i="19"/>
  <c r="C234" i="25" s="1"/>
  <c r="S236" i="19"/>
  <c r="C235" i="25" s="1"/>
  <c r="S237" i="19"/>
  <c r="C236" i="25" s="1"/>
  <c r="S238" i="19"/>
  <c r="C237" i="25" s="1"/>
  <c r="S239" i="19"/>
  <c r="C238" i="25" s="1"/>
  <c r="S240" i="19"/>
  <c r="C239" i="25" s="1"/>
  <c r="S241" i="19"/>
  <c r="C240" i="25" s="1"/>
  <c r="S242" i="19"/>
  <c r="C241" i="25" s="1"/>
  <c r="S243" i="19"/>
  <c r="C242" i="25" s="1"/>
  <c r="S244" i="19"/>
  <c r="C243" i="25" s="1"/>
  <c r="S245" i="19"/>
  <c r="C244" i="25" s="1"/>
  <c r="S246" i="19"/>
  <c r="C245" i="25" s="1"/>
  <c r="S247" i="19"/>
  <c r="C246" i="25" s="1"/>
  <c r="S248" i="19"/>
  <c r="C247" i="25" s="1"/>
  <c r="S249" i="19"/>
  <c r="C248" i="25" s="1"/>
  <c r="S250" i="19"/>
  <c r="C249" i="25" s="1"/>
  <c r="S251" i="19"/>
  <c r="C250" i="25" s="1"/>
  <c r="S252" i="19"/>
  <c r="C251" i="25" s="1"/>
  <c r="S253" i="19"/>
  <c r="C252" i="25" s="1"/>
  <c r="S254" i="19"/>
  <c r="C253" i="25" s="1"/>
  <c r="S255" i="19"/>
  <c r="C254" i="25" s="1"/>
  <c r="S256" i="19"/>
  <c r="C255" i="25" s="1"/>
  <c r="S257" i="19"/>
  <c r="C256" i="25" s="1"/>
  <c r="S258" i="19"/>
  <c r="C257" i="25" s="1"/>
  <c r="S259" i="19"/>
  <c r="C258" i="25" s="1"/>
  <c r="S260" i="19"/>
  <c r="C259" i="25" s="1"/>
  <c r="S261" i="19"/>
  <c r="C260" i="25" s="1"/>
  <c r="S262" i="19"/>
  <c r="C261" i="25" s="1"/>
  <c r="S263" i="19"/>
  <c r="C262" i="25" s="1"/>
  <c r="S264" i="19"/>
  <c r="C263" i="25" s="1"/>
  <c r="S265" i="19"/>
  <c r="C264" i="25" s="1"/>
  <c r="S266" i="19"/>
  <c r="C265" i="25" s="1"/>
  <c r="S267" i="19"/>
  <c r="C266" i="25" s="1"/>
  <c r="S268" i="19"/>
  <c r="C267" i="25" s="1"/>
  <c r="S269" i="19"/>
  <c r="C268" i="25" s="1"/>
  <c r="S270" i="19"/>
  <c r="C269" i="25" s="1"/>
  <c r="S271" i="19"/>
  <c r="C270" i="25" s="1"/>
  <c r="S272" i="19"/>
  <c r="C271" i="25" s="1"/>
  <c r="S273" i="19"/>
  <c r="C272" i="25" s="1"/>
  <c r="S274" i="19"/>
  <c r="C273" i="25" s="1"/>
  <c r="S275" i="19"/>
  <c r="C274" i="25" s="1"/>
  <c r="S276" i="19"/>
  <c r="C275" i="25" s="1"/>
  <c r="S277" i="19"/>
  <c r="C276" i="25" s="1"/>
  <c r="S278" i="19"/>
  <c r="C277" i="25" s="1"/>
  <c r="S279" i="19"/>
  <c r="C278" i="25" s="1"/>
  <c r="S280" i="19"/>
  <c r="C279" i="25" s="1"/>
  <c r="S281" i="19"/>
  <c r="C280" i="25" s="1"/>
  <c r="S282" i="19"/>
  <c r="C281" i="25" s="1"/>
  <c r="S283" i="19"/>
  <c r="C282" i="25" s="1"/>
  <c r="S284" i="19"/>
  <c r="C283" i="25" s="1"/>
  <c r="S285" i="19"/>
  <c r="C284" i="25" s="1"/>
  <c r="S286" i="19"/>
  <c r="C285" i="25" s="1"/>
  <c r="S287" i="19"/>
  <c r="C286" i="25" s="1"/>
  <c r="S288" i="19"/>
  <c r="C287" i="25" s="1"/>
  <c r="S289" i="19"/>
  <c r="C288" i="25" s="1"/>
  <c r="S290" i="19"/>
  <c r="C289" i="25" s="1"/>
  <c r="S291" i="19"/>
  <c r="C290" i="25" s="1"/>
  <c r="S292" i="19"/>
  <c r="C291" i="25" s="1"/>
  <c r="S293" i="19"/>
  <c r="C292" i="25" s="1"/>
  <c r="S294" i="19"/>
  <c r="C293" i="25" s="1"/>
  <c r="S295" i="19"/>
  <c r="C294" i="25" s="1"/>
  <c r="S296" i="19"/>
  <c r="C295" i="25" s="1"/>
  <c r="S297" i="19"/>
  <c r="C296" i="25" s="1"/>
  <c r="S298" i="19"/>
  <c r="C297" i="25" s="1"/>
  <c r="S299" i="19"/>
  <c r="C298" i="25" s="1"/>
  <c r="S300" i="19"/>
  <c r="C299" i="25" s="1"/>
  <c r="S301" i="19"/>
  <c r="C300" i="25" s="1"/>
  <c r="S302" i="19"/>
  <c r="C301" i="25" s="1"/>
  <c r="S303" i="19"/>
  <c r="C302" i="25" s="1"/>
  <c r="S304" i="19"/>
  <c r="C303" i="25" s="1"/>
  <c r="S305" i="19"/>
  <c r="C304" i="25" s="1"/>
  <c r="S306" i="19"/>
  <c r="C305" i="25" s="1"/>
  <c r="S307" i="19"/>
  <c r="C306" i="25" s="1"/>
  <c r="S308" i="19"/>
  <c r="C307" i="25" s="1"/>
  <c r="S309" i="19"/>
  <c r="C308" i="25" s="1"/>
  <c r="S310" i="19"/>
  <c r="C309" i="25" s="1"/>
  <c r="S311" i="19"/>
  <c r="C310" i="25" s="1"/>
  <c r="S312" i="19"/>
  <c r="C311" i="25" s="1"/>
  <c r="S313" i="19"/>
  <c r="C312" i="25" s="1"/>
  <c r="S314" i="19"/>
  <c r="C313" i="25" s="1"/>
  <c r="S315" i="19"/>
  <c r="C314" i="25" s="1"/>
  <c r="H8" i="19"/>
  <c r="I8" i="19"/>
  <c r="K8" i="19"/>
  <c r="L8" i="19"/>
  <c r="M8" i="19"/>
  <c r="N8" i="19"/>
  <c r="P8" i="19"/>
  <c r="O8" i="19" s="1"/>
  <c r="Q8" i="19"/>
  <c r="H9" i="19"/>
  <c r="I9" i="19"/>
  <c r="K9" i="19"/>
  <c r="L9" i="19"/>
  <c r="M9" i="19"/>
  <c r="N9" i="19"/>
  <c r="P9" i="19"/>
  <c r="Q9" i="19"/>
  <c r="H10" i="19"/>
  <c r="I10" i="19"/>
  <c r="K10" i="19"/>
  <c r="L10" i="19"/>
  <c r="M10" i="19"/>
  <c r="N10" i="19"/>
  <c r="P10" i="19"/>
  <c r="Q10" i="19"/>
  <c r="H11" i="19"/>
  <c r="I11" i="19"/>
  <c r="K11" i="19"/>
  <c r="L11" i="19"/>
  <c r="M11" i="19"/>
  <c r="N11" i="19"/>
  <c r="P11" i="19"/>
  <c r="Q11" i="19"/>
  <c r="H12" i="19"/>
  <c r="I12" i="19"/>
  <c r="K12" i="19"/>
  <c r="L12" i="19"/>
  <c r="M12" i="19"/>
  <c r="N12" i="19"/>
  <c r="P12" i="19"/>
  <c r="Q12" i="19"/>
  <c r="H13" i="19"/>
  <c r="I13" i="19"/>
  <c r="K13" i="19"/>
  <c r="L13" i="19"/>
  <c r="M13" i="19"/>
  <c r="N13" i="19"/>
  <c r="P13" i="19"/>
  <c r="Q13" i="19"/>
  <c r="H14" i="19"/>
  <c r="I14" i="19"/>
  <c r="K14" i="19"/>
  <c r="L14" i="19"/>
  <c r="M14" i="19"/>
  <c r="N14" i="19"/>
  <c r="P14" i="19"/>
  <c r="O14" i="19" s="1"/>
  <c r="Q14" i="19"/>
  <c r="H15" i="19"/>
  <c r="I15" i="19"/>
  <c r="K15" i="19"/>
  <c r="L15" i="19"/>
  <c r="M15" i="19"/>
  <c r="N15" i="19"/>
  <c r="P15" i="19"/>
  <c r="O15" i="19" s="1"/>
  <c r="Q15" i="19"/>
  <c r="H16" i="19"/>
  <c r="I16" i="19"/>
  <c r="K16" i="19"/>
  <c r="L16" i="19"/>
  <c r="M16" i="19"/>
  <c r="N16" i="19"/>
  <c r="O16" i="19"/>
  <c r="P16" i="19"/>
  <c r="Q16" i="19"/>
  <c r="H17" i="19"/>
  <c r="I17" i="19"/>
  <c r="K17" i="19"/>
  <c r="L17" i="19"/>
  <c r="M17" i="19"/>
  <c r="N17" i="19"/>
  <c r="P17" i="19"/>
  <c r="Q17" i="19"/>
  <c r="H18" i="19"/>
  <c r="I18" i="19"/>
  <c r="K18" i="19"/>
  <c r="L18" i="19"/>
  <c r="M18" i="19"/>
  <c r="N18" i="19"/>
  <c r="P18" i="19"/>
  <c r="Q18" i="19"/>
  <c r="H19" i="19"/>
  <c r="I19" i="19"/>
  <c r="K19" i="19"/>
  <c r="L19" i="19"/>
  <c r="M19" i="19"/>
  <c r="N19" i="19"/>
  <c r="P19" i="19"/>
  <c r="Q19" i="19"/>
  <c r="H20" i="19"/>
  <c r="I20" i="19"/>
  <c r="K20" i="19"/>
  <c r="L20" i="19"/>
  <c r="M20" i="19"/>
  <c r="N20" i="19"/>
  <c r="P20" i="19"/>
  <c r="Q20" i="19"/>
  <c r="H21" i="19"/>
  <c r="I21" i="19"/>
  <c r="K21" i="19"/>
  <c r="L21" i="19"/>
  <c r="M21" i="19"/>
  <c r="N21" i="19"/>
  <c r="P21" i="19"/>
  <c r="Q21" i="19"/>
  <c r="H22" i="19"/>
  <c r="I22" i="19"/>
  <c r="K22" i="19"/>
  <c r="L22" i="19"/>
  <c r="M22" i="19"/>
  <c r="N22" i="19"/>
  <c r="P22" i="19"/>
  <c r="Q22" i="19"/>
  <c r="H23" i="19"/>
  <c r="I23" i="19"/>
  <c r="K23" i="19"/>
  <c r="L23" i="19"/>
  <c r="M23" i="19"/>
  <c r="N23" i="19"/>
  <c r="P23" i="19"/>
  <c r="Q23" i="19"/>
  <c r="H24" i="19"/>
  <c r="I24" i="19"/>
  <c r="K24" i="19"/>
  <c r="L24" i="19"/>
  <c r="M24" i="19"/>
  <c r="N24" i="19"/>
  <c r="P24" i="19"/>
  <c r="Q24" i="19"/>
  <c r="H25" i="19"/>
  <c r="I25" i="19"/>
  <c r="K25" i="19"/>
  <c r="L25" i="19"/>
  <c r="M25" i="19"/>
  <c r="N25" i="19"/>
  <c r="P25" i="19"/>
  <c r="Q25" i="19"/>
  <c r="H26" i="19"/>
  <c r="I26" i="19"/>
  <c r="K26" i="19"/>
  <c r="L26" i="19"/>
  <c r="M26" i="19"/>
  <c r="N26" i="19"/>
  <c r="P26" i="19"/>
  <c r="Q26" i="19"/>
  <c r="H27" i="19"/>
  <c r="I27" i="19"/>
  <c r="K27" i="19"/>
  <c r="L27" i="19"/>
  <c r="M27" i="19"/>
  <c r="N27" i="19"/>
  <c r="P27" i="19"/>
  <c r="Q27" i="19"/>
  <c r="H28" i="19"/>
  <c r="I28" i="19"/>
  <c r="K28" i="19"/>
  <c r="L28" i="19"/>
  <c r="M28" i="19"/>
  <c r="N28" i="19"/>
  <c r="P28" i="19"/>
  <c r="Q28" i="19"/>
  <c r="H29" i="19"/>
  <c r="I29" i="19"/>
  <c r="K29" i="19"/>
  <c r="L29" i="19"/>
  <c r="M29" i="19"/>
  <c r="N29" i="19"/>
  <c r="P29" i="19"/>
  <c r="Q29" i="19"/>
  <c r="H30" i="19"/>
  <c r="I30" i="19"/>
  <c r="K30" i="19"/>
  <c r="L30" i="19"/>
  <c r="M30" i="19"/>
  <c r="N30" i="19"/>
  <c r="P30" i="19"/>
  <c r="Q30" i="19"/>
  <c r="H31" i="19"/>
  <c r="I31" i="19"/>
  <c r="K31" i="19"/>
  <c r="L31" i="19"/>
  <c r="M31" i="19"/>
  <c r="N31" i="19"/>
  <c r="P31" i="19"/>
  <c r="Q31" i="19"/>
  <c r="H32" i="19"/>
  <c r="I32" i="19"/>
  <c r="K32" i="19"/>
  <c r="L32" i="19"/>
  <c r="M32" i="19"/>
  <c r="N32" i="19"/>
  <c r="P32" i="19"/>
  <c r="Q32" i="19"/>
  <c r="O32" i="19" s="1"/>
  <c r="H33" i="19"/>
  <c r="I33" i="19"/>
  <c r="K33" i="19"/>
  <c r="L33" i="19"/>
  <c r="M33" i="19"/>
  <c r="N33" i="19"/>
  <c r="P33" i="19"/>
  <c r="Q33" i="19"/>
  <c r="H34" i="19"/>
  <c r="I34" i="19"/>
  <c r="K34" i="19"/>
  <c r="L34" i="19"/>
  <c r="M34" i="19"/>
  <c r="N34" i="19"/>
  <c r="P34" i="19"/>
  <c r="Q34" i="19"/>
  <c r="H35" i="19"/>
  <c r="I35" i="19"/>
  <c r="K35" i="19"/>
  <c r="L35" i="19"/>
  <c r="M35" i="19"/>
  <c r="N35" i="19"/>
  <c r="P35" i="19"/>
  <c r="Q35" i="19"/>
  <c r="H36" i="19"/>
  <c r="I36" i="19"/>
  <c r="K36" i="19"/>
  <c r="L36" i="19"/>
  <c r="M36" i="19"/>
  <c r="N36" i="19"/>
  <c r="P36" i="19"/>
  <c r="Q36" i="19"/>
  <c r="H37" i="19"/>
  <c r="I37" i="19"/>
  <c r="K37" i="19"/>
  <c r="L37" i="19"/>
  <c r="M37" i="19"/>
  <c r="N37" i="19"/>
  <c r="P37" i="19"/>
  <c r="Q37" i="19"/>
  <c r="H38" i="19"/>
  <c r="I38" i="19"/>
  <c r="K38" i="19"/>
  <c r="L38" i="19"/>
  <c r="M38" i="19"/>
  <c r="N38" i="19"/>
  <c r="P38" i="19"/>
  <c r="Q38" i="19"/>
  <c r="H39" i="19"/>
  <c r="I39" i="19"/>
  <c r="K39" i="19"/>
  <c r="L39" i="19"/>
  <c r="M39" i="19"/>
  <c r="N39" i="19"/>
  <c r="P39" i="19"/>
  <c r="Q39" i="19"/>
  <c r="H40" i="19"/>
  <c r="I40" i="19"/>
  <c r="K40" i="19"/>
  <c r="L40" i="19"/>
  <c r="M40" i="19"/>
  <c r="N40" i="19"/>
  <c r="P40" i="19"/>
  <c r="Q40" i="19"/>
  <c r="H41" i="19"/>
  <c r="I41" i="19"/>
  <c r="K41" i="19"/>
  <c r="L41" i="19"/>
  <c r="M41" i="19"/>
  <c r="N41" i="19"/>
  <c r="P41" i="19"/>
  <c r="Q41" i="19"/>
  <c r="H42" i="19"/>
  <c r="I42" i="19"/>
  <c r="K42" i="19"/>
  <c r="L42" i="19"/>
  <c r="M42" i="19"/>
  <c r="N42" i="19"/>
  <c r="P42" i="19"/>
  <c r="Q42" i="19"/>
  <c r="H43" i="19"/>
  <c r="I43" i="19"/>
  <c r="K43" i="19"/>
  <c r="L43" i="19"/>
  <c r="M43" i="19"/>
  <c r="N43" i="19"/>
  <c r="P43" i="19"/>
  <c r="Q43" i="19"/>
  <c r="H44" i="19"/>
  <c r="I44" i="19"/>
  <c r="K44" i="19"/>
  <c r="L44" i="19"/>
  <c r="M44" i="19"/>
  <c r="N44" i="19"/>
  <c r="P44" i="19"/>
  <c r="Q44" i="19"/>
  <c r="H45" i="19"/>
  <c r="I45" i="19"/>
  <c r="K45" i="19"/>
  <c r="L45" i="19"/>
  <c r="M45" i="19"/>
  <c r="N45" i="19"/>
  <c r="P45" i="19"/>
  <c r="Q45" i="19"/>
  <c r="H46" i="19"/>
  <c r="I46" i="19"/>
  <c r="K46" i="19"/>
  <c r="L46" i="19"/>
  <c r="M46" i="19"/>
  <c r="N46" i="19"/>
  <c r="P46" i="19"/>
  <c r="Q46" i="19"/>
  <c r="H47" i="19"/>
  <c r="I47" i="19"/>
  <c r="K47" i="19"/>
  <c r="L47" i="19"/>
  <c r="M47" i="19"/>
  <c r="N47" i="19"/>
  <c r="P47" i="19"/>
  <c r="Q47" i="19"/>
  <c r="H48" i="19"/>
  <c r="I48" i="19"/>
  <c r="K48" i="19"/>
  <c r="L48" i="19"/>
  <c r="M48" i="19"/>
  <c r="N48" i="19"/>
  <c r="P48" i="19"/>
  <c r="Q48" i="19"/>
  <c r="H49" i="19"/>
  <c r="I49" i="19"/>
  <c r="K49" i="19"/>
  <c r="L49" i="19"/>
  <c r="M49" i="19"/>
  <c r="N49" i="19"/>
  <c r="P49" i="19"/>
  <c r="Q49" i="19"/>
  <c r="H50" i="19"/>
  <c r="I50" i="19"/>
  <c r="K50" i="19"/>
  <c r="L50" i="19"/>
  <c r="M50" i="19"/>
  <c r="N50" i="19"/>
  <c r="P50" i="19"/>
  <c r="Q50" i="19"/>
  <c r="H51" i="19"/>
  <c r="I51" i="19"/>
  <c r="K51" i="19"/>
  <c r="L51" i="19"/>
  <c r="M51" i="19"/>
  <c r="N51" i="19"/>
  <c r="P51" i="19"/>
  <c r="Q51" i="19"/>
  <c r="H52" i="19"/>
  <c r="I52" i="19"/>
  <c r="K52" i="19"/>
  <c r="L52" i="19"/>
  <c r="M52" i="19"/>
  <c r="N52" i="19"/>
  <c r="P52" i="19"/>
  <c r="Q52" i="19"/>
  <c r="H53" i="19"/>
  <c r="I53" i="19"/>
  <c r="K53" i="19"/>
  <c r="L53" i="19"/>
  <c r="M53" i="19"/>
  <c r="N53" i="19"/>
  <c r="P53" i="19"/>
  <c r="Q53" i="19"/>
  <c r="H54" i="19"/>
  <c r="I54" i="19"/>
  <c r="K54" i="19"/>
  <c r="L54" i="19"/>
  <c r="M54" i="19"/>
  <c r="N54" i="19"/>
  <c r="P54" i="19"/>
  <c r="Q54" i="19"/>
  <c r="H55" i="19"/>
  <c r="I55" i="19"/>
  <c r="K55" i="19"/>
  <c r="L55" i="19"/>
  <c r="M55" i="19"/>
  <c r="N55" i="19"/>
  <c r="P55" i="19"/>
  <c r="Q55" i="19"/>
  <c r="H56" i="19"/>
  <c r="I56" i="19"/>
  <c r="K56" i="19"/>
  <c r="L56" i="19"/>
  <c r="M56" i="19"/>
  <c r="N56" i="19"/>
  <c r="P56" i="19"/>
  <c r="Q56" i="19"/>
  <c r="H57" i="19"/>
  <c r="I57" i="19"/>
  <c r="K57" i="19"/>
  <c r="L57" i="19"/>
  <c r="M57" i="19"/>
  <c r="N57" i="19"/>
  <c r="P57" i="19"/>
  <c r="Q57" i="19"/>
  <c r="H58" i="19"/>
  <c r="I58" i="19"/>
  <c r="K58" i="19"/>
  <c r="L58" i="19"/>
  <c r="M58" i="19"/>
  <c r="N58" i="19"/>
  <c r="P58" i="19"/>
  <c r="Q58" i="19"/>
  <c r="H59" i="19"/>
  <c r="I59" i="19"/>
  <c r="K59" i="19"/>
  <c r="L59" i="19"/>
  <c r="M59" i="19"/>
  <c r="N59" i="19"/>
  <c r="P59" i="19"/>
  <c r="Q59" i="19"/>
  <c r="H60" i="19"/>
  <c r="I60" i="19"/>
  <c r="K60" i="19"/>
  <c r="L60" i="19"/>
  <c r="M60" i="19"/>
  <c r="N60" i="19"/>
  <c r="P60" i="19"/>
  <c r="Q60" i="19"/>
  <c r="H61" i="19"/>
  <c r="I61" i="19"/>
  <c r="K61" i="19"/>
  <c r="L61" i="19"/>
  <c r="M61" i="19"/>
  <c r="N61" i="19"/>
  <c r="P61" i="19"/>
  <c r="Q61" i="19"/>
  <c r="H62" i="19"/>
  <c r="I62" i="19"/>
  <c r="K62" i="19"/>
  <c r="L62" i="19"/>
  <c r="M62" i="19"/>
  <c r="N62" i="19"/>
  <c r="P62" i="19"/>
  <c r="Q62" i="19"/>
  <c r="H63" i="19"/>
  <c r="I63" i="19"/>
  <c r="K63" i="19"/>
  <c r="L63" i="19"/>
  <c r="M63" i="19"/>
  <c r="N63" i="19"/>
  <c r="P63" i="19"/>
  <c r="Q63" i="19"/>
  <c r="H64" i="19"/>
  <c r="I64" i="19"/>
  <c r="K64" i="19"/>
  <c r="L64" i="19"/>
  <c r="M64" i="19"/>
  <c r="N64" i="19"/>
  <c r="P64" i="19"/>
  <c r="Q64" i="19"/>
  <c r="O64" i="19" s="1"/>
  <c r="H65" i="19"/>
  <c r="I65" i="19"/>
  <c r="K65" i="19"/>
  <c r="L65" i="19"/>
  <c r="M65" i="19"/>
  <c r="N65" i="19"/>
  <c r="P65" i="19"/>
  <c r="Q65" i="19"/>
  <c r="H66" i="19"/>
  <c r="I66" i="19"/>
  <c r="K66" i="19"/>
  <c r="L66" i="19"/>
  <c r="M66" i="19"/>
  <c r="N66" i="19"/>
  <c r="P66" i="19"/>
  <c r="Q66" i="19"/>
  <c r="H67" i="19"/>
  <c r="I67" i="19"/>
  <c r="K67" i="19"/>
  <c r="L67" i="19"/>
  <c r="M67" i="19"/>
  <c r="N67" i="19"/>
  <c r="P67" i="19"/>
  <c r="Q67" i="19"/>
  <c r="H68" i="19"/>
  <c r="I68" i="19"/>
  <c r="K68" i="19"/>
  <c r="L68" i="19"/>
  <c r="M68" i="19"/>
  <c r="N68" i="19"/>
  <c r="P68" i="19"/>
  <c r="Q68" i="19"/>
  <c r="H69" i="19"/>
  <c r="I69" i="19"/>
  <c r="K69" i="19"/>
  <c r="L69" i="19"/>
  <c r="M69" i="19"/>
  <c r="N69" i="19"/>
  <c r="P69" i="19"/>
  <c r="Q69" i="19"/>
  <c r="H70" i="19"/>
  <c r="I70" i="19"/>
  <c r="K70" i="19"/>
  <c r="L70" i="19"/>
  <c r="M70" i="19"/>
  <c r="N70" i="19"/>
  <c r="P70" i="19"/>
  <c r="Q70" i="19"/>
  <c r="H71" i="19"/>
  <c r="I71" i="19"/>
  <c r="K71" i="19"/>
  <c r="L71" i="19"/>
  <c r="M71" i="19"/>
  <c r="N71" i="19"/>
  <c r="P71" i="19"/>
  <c r="Q71" i="19"/>
  <c r="H72" i="19"/>
  <c r="I72" i="19"/>
  <c r="K72" i="19"/>
  <c r="L72" i="19"/>
  <c r="M72" i="19"/>
  <c r="N72" i="19"/>
  <c r="P72" i="19"/>
  <c r="Q72" i="19"/>
  <c r="H73" i="19"/>
  <c r="I73" i="19"/>
  <c r="K73" i="19"/>
  <c r="L73" i="19"/>
  <c r="M73" i="19"/>
  <c r="N73" i="19"/>
  <c r="P73" i="19"/>
  <c r="Q73" i="19"/>
  <c r="H74" i="19"/>
  <c r="I74" i="19"/>
  <c r="K74" i="19"/>
  <c r="L74" i="19"/>
  <c r="M74" i="19"/>
  <c r="N74" i="19"/>
  <c r="P74" i="19"/>
  <c r="Q74" i="19"/>
  <c r="H75" i="19"/>
  <c r="I75" i="19"/>
  <c r="K75" i="19"/>
  <c r="L75" i="19"/>
  <c r="M75" i="19"/>
  <c r="N75" i="19"/>
  <c r="P75" i="19"/>
  <c r="Q75" i="19"/>
  <c r="H76" i="19"/>
  <c r="I76" i="19"/>
  <c r="K76" i="19"/>
  <c r="L76" i="19"/>
  <c r="M76" i="19"/>
  <c r="N76" i="19"/>
  <c r="P76" i="19"/>
  <c r="Q76" i="19"/>
  <c r="H77" i="19"/>
  <c r="I77" i="19"/>
  <c r="K77" i="19"/>
  <c r="L77" i="19"/>
  <c r="M77" i="19"/>
  <c r="N77" i="19"/>
  <c r="P77" i="19"/>
  <c r="Q77" i="19"/>
  <c r="H78" i="19"/>
  <c r="I78" i="19"/>
  <c r="K78" i="19"/>
  <c r="L78" i="19"/>
  <c r="M78" i="19"/>
  <c r="N78" i="19"/>
  <c r="P78" i="19"/>
  <c r="Q78" i="19"/>
  <c r="H79" i="19"/>
  <c r="I79" i="19"/>
  <c r="K79" i="19"/>
  <c r="L79" i="19"/>
  <c r="M79" i="19"/>
  <c r="N79" i="19"/>
  <c r="P79" i="19"/>
  <c r="Q79" i="19"/>
  <c r="H80" i="19"/>
  <c r="I80" i="19"/>
  <c r="K80" i="19"/>
  <c r="L80" i="19"/>
  <c r="M80" i="19"/>
  <c r="N80" i="19"/>
  <c r="P80" i="19"/>
  <c r="Q80" i="19"/>
  <c r="O80" i="19" s="1"/>
  <c r="H81" i="19"/>
  <c r="I81" i="19"/>
  <c r="K81" i="19"/>
  <c r="L81" i="19"/>
  <c r="M81" i="19"/>
  <c r="N81" i="19"/>
  <c r="P81" i="19"/>
  <c r="Q81" i="19"/>
  <c r="H82" i="19"/>
  <c r="I82" i="19"/>
  <c r="K82" i="19"/>
  <c r="L82" i="19"/>
  <c r="M82" i="19"/>
  <c r="N82" i="19"/>
  <c r="P82" i="19"/>
  <c r="Q82" i="19"/>
  <c r="H83" i="19"/>
  <c r="I83" i="19"/>
  <c r="K83" i="19"/>
  <c r="L83" i="19"/>
  <c r="M83" i="19"/>
  <c r="N83" i="19"/>
  <c r="P83" i="19"/>
  <c r="Q83" i="19"/>
  <c r="H84" i="19"/>
  <c r="I84" i="19"/>
  <c r="K84" i="19"/>
  <c r="L84" i="19"/>
  <c r="M84" i="19"/>
  <c r="N84" i="19"/>
  <c r="P84" i="19"/>
  <c r="Q84" i="19"/>
  <c r="H85" i="19"/>
  <c r="I85" i="19"/>
  <c r="K85" i="19"/>
  <c r="L85" i="19"/>
  <c r="M85" i="19"/>
  <c r="N85" i="19"/>
  <c r="P85" i="19"/>
  <c r="Q85" i="19"/>
  <c r="H86" i="19"/>
  <c r="I86" i="19"/>
  <c r="K86" i="19"/>
  <c r="L86" i="19"/>
  <c r="M86" i="19"/>
  <c r="N86" i="19"/>
  <c r="P86" i="19"/>
  <c r="Q86" i="19"/>
  <c r="H87" i="19"/>
  <c r="I87" i="19"/>
  <c r="K87" i="19"/>
  <c r="L87" i="19"/>
  <c r="M87" i="19"/>
  <c r="N87" i="19"/>
  <c r="P87" i="19"/>
  <c r="Q87" i="19"/>
  <c r="H88" i="19"/>
  <c r="I88" i="19"/>
  <c r="K88" i="19"/>
  <c r="L88" i="19"/>
  <c r="M88" i="19"/>
  <c r="N88" i="19"/>
  <c r="P88" i="19"/>
  <c r="Q88" i="19"/>
  <c r="H89" i="19"/>
  <c r="I89" i="19"/>
  <c r="K89" i="19"/>
  <c r="L89" i="19"/>
  <c r="M89" i="19"/>
  <c r="N89" i="19"/>
  <c r="P89" i="19"/>
  <c r="Q89" i="19"/>
  <c r="H90" i="19"/>
  <c r="I90" i="19"/>
  <c r="K90" i="19"/>
  <c r="L90" i="19"/>
  <c r="M90" i="19"/>
  <c r="N90" i="19"/>
  <c r="P90" i="19"/>
  <c r="Q90" i="19"/>
  <c r="H91" i="19"/>
  <c r="I91" i="19"/>
  <c r="K91" i="19"/>
  <c r="L91" i="19"/>
  <c r="M91" i="19"/>
  <c r="N91" i="19"/>
  <c r="P91" i="19"/>
  <c r="Q91" i="19"/>
  <c r="H92" i="19"/>
  <c r="I92" i="19"/>
  <c r="K92" i="19"/>
  <c r="L92" i="19"/>
  <c r="M92" i="19"/>
  <c r="N92" i="19"/>
  <c r="P92" i="19"/>
  <c r="Q92" i="19"/>
  <c r="H93" i="19"/>
  <c r="I93" i="19"/>
  <c r="K93" i="19"/>
  <c r="L93" i="19"/>
  <c r="M93" i="19"/>
  <c r="N93" i="19"/>
  <c r="P93" i="19"/>
  <c r="Q93" i="19"/>
  <c r="H94" i="19"/>
  <c r="I94" i="19"/>
  <c r="K94" i="19"/>
  <c r="L94" i="19"/>
  <c r="M94" i="19"/>
  <c r="N94" i="19"/>
  <c r="P94" i="19"/>
  <c r="Q94" i="19"/>
  <c r="H95" i="19"/>
  <c r="I95" i="19"/>
  <c r="K95" i="19"/>
  <c r="L95" i="19"/>
  <c r="M95" i="19"/>
  <c r="N95" i="19"/>
  <c r="P95" i="19"/>
  <c r="Q95" i="19"/>
  <c r="H96" i="19"/>
  <c r="I96" i="19"/>
  <c r="K96" i="19"/>
  <c r="L96" i="19"/>
  <c r="M96" i="19"/>
  <c r="N96" i="19"/>
  <c r="P96" i="19"/>
  <c r="Q96" i="19"/>
  <c r="O96" i="19" s="1"/>
  <c r="H97" i="19"/>
  <c r="I97" i="19"/>
  <c r="K97" i="19"/>
  <c r="L97" i="19"/>
  <c r="M97" i="19"/>
  <c r="N97" i="19"/>
  <c r="P97" i="19"/>
  <c r="Q97" i="19"/>
  <c r="H98" i="19"/>
  <c r="I98" i="19"/>
  <c r="K98" i="19"/>
  <c r="L98" i="19"/>
  <c r="M98" i="19"/>
  <c r="N98" i="19"/>
  <c r="P98" i="19"/>
  <c r="Q98" i="19"/>
  <c r="H99" i="19"/>
  <c r="I99" i="19"/>
  <c r="K99" i="19"/>
  <c r="L99" i="19"/>
  <c r="M99" i="19"/>
  <c r="N99" i="19"/>
  <c r="P99" i="19"/>
  <c r="Q99" i="19"/>
  <c r="H100" i="19"/>
  <c r="I100" i="19"/>
  <c r="K100" i="19"/>
  <c r="L100" i="19"/>
  <c r="M100" i="19"/>
  <c r="N100" i="19"/>
  <c r="P100" i="19"/>
  <c r="Q100" i="19"/>
  <c r="H101" i="19"/>
  <c r="I101" i="19"/>
  <c r="K101" i="19"/>
  <c r="L101" i="19"/>
  <c r="M101" i="19"/>
  <c r="N101" i="19"/>
  <c r="P101" i="19"/>
  <c r="Q101" i="19"/>
  <c r="H102" i="19"/>
  <c r="I102" i="19"/>
  <c r="K102" i="19"/>
  <c r="L102" i="19"/>
  <c r="M102" i="19"/>
  <c r="N102" i="19"/>
  <c r="P102" i="19"/>
  <c r="Q102" i="19"/>
  <c r="H103" i="19"/>
  <c r="I103" i="19"/>
  <c r="K103" i="19"/>
  <c r="L103" i="19"/>
  <c r="M103" i="19"/>
  <c r="N103" i="19"/>
  <c r="P103" i="19"/>
  <c r="Q103" i="19"/>
  <c r="H104" i="19"/>
  <c r="I104" i="19"/>
  <c r="K104" i="19"/>
  <c r="L104" i="19"/>
  <c r="M104" i="19"/>
  <c r="N104" i="19"/>
  <c r="P104" i="19"/>
  <c r="Q104" i="19"/>
  <c r="H105" i="19"/>
  <c r="I105" i="19"/>
  <c r="K105" i="19"/>
  <c r="L105" i="19"/>
  <c r="M105" i="19"/>
  <c r="N105" i="19"/>
  <c r="P105" i="19"/>
  <c r="Q105" i="19"/>
  <c r="H106" i="19"/>
  <c r="I106" i="19"/>
  <c r="K106" i="19"/>
  <c r="L106" i="19"/>
  <c r="M106" i="19"/>
  <c r="N106" i="19"/>
  <c r="P106" i="19"/>
  <c r="Q106" i="19"/>
  <c r="H107" i="19"/>
  <c r="I107" i="19"/>
  <c r="K107" i="19"/>
  <c r="L107" i="19"/>
  <c r="M107" i="19"/>
  <c r="N107" i="19"/>
  <c r="P107" i="19"/>
  <c r="Q107" i="19"/>
  <c r="H108" i="19"/>
  <c r="I108" i="19"/>
  <c r="K108" i="19"/>
  <c r="L108" i="19"/>
  <c r="M108" i="19"/>
  <c r="N108" i="19"/>
  <c r="P108" i="19"/>
  <c r="Q108" i="19"/>
  <c r="H109" i="19"/>
  <c r="I109" i="19"/>
  <c r="K109" i="19"/>
  <c r="L109" i="19"/>
  <c r="M109" i="19"/>
  <c r="N109" i="19"/>
  <c r="P109" i="19"/>
  <c r="Q109" i="19"/>
  <c r="H110" i="19"/>
  <c r="I110" i="19"/>
  <c r="K110" i="19"/>
  <c r="L110" i="19"/>
  <c r="M110" i="19"/>
  <c r="N110" i="19"/>
  <c r="P110" i="19"/>
  <c r="Q110" i="19"/>
  <c r="H111" i="19"/>
  <c r="I111" i="19"/>
  <c r="K111" i="19"/>
  <c r="L111" i="19"/>
  <c r="M111" i="19"/>
  <c r="N111" i="19"/>
  <c r="P111" i="19"/>
  <c r="Q111" i="19"/>
  <c r="H112" i="19"/>
  <c r="I112" i="19"/>
  <c r="K112" i="19"/>
  <c r="L112" i="19"/>
  <c r="M112" i="19"/>
  <c r="N112" i="19"/>
  <c r="P112" i="19"/>
  <c r="O112" i="19" s="1"/>
  <c r="Q112" i="19"/>
  <c r="H113" i="19"/>
  <c r="I113" i="19"/>
  <c r="K113" i="19"/>
  <c r="L113" i="19"/>
  <c r="M113" i="19"/>
  <c r="N113" i="19"/>
  <c r="P113" i="19"/>
  <c r="Q113" i="19"/>
  <c r="H114" i="19"/>
  <c r="I114" i="19"/>
  <c r="K114" i="19"/>
  <c r="L114" i="19"/>
  <c r="M114" i="19"/>
  <c r="N114" i="19"/>
  <c r="P114" i="19"/>
  <c r="Q114" i="19"/>
  <c r="H115" i="19"/>
  <c r="I115" i="19"/>
  <c r="K115" i="19"/>
  <c r="L115" i="19"/>
  <c r="M115" i="19"/>
  <c r="N115" i="19"/>
  <c r="P115" i="19"/>
  <c r="Q115" i="19"/>
  <c r="H116" i="19"/>
  <c r="I116" i="19"/>
  <c r="K116" i="19"/>
  <c r="L116" i="19"/>
  <c r="M116" i="19"/>
  <c r="N116" i="19"/>
  <c r="P116" i="19"/>
  <c r="Q116" i="19"/>
  <c r="H117" i="19"/>
  <c r="I117" i="19"/>
  <c r="K117" i="19"/>
  <c r="L117" i="19"/>
  <c r="M117" i="19"/>
  <c r="N117" i="19"/>
  <c r="P117" i="19"/>
  <c r="Q117" i="19"/>
  <c r="H118" i="19"/>
  <c r="I118" i="19"/>
  <c r="K118" i="19"/>
  <c r="L118" i="19"/>
  <c r="M118" i="19"/>
  <c r="N118" i="19"/>
  <c r="P118" i="19"/>
  <c r="Q118" i="19"/>
  <c r="H119" i="19"/>
  <c r="I119" i="19"/>
  <c r="K119" i="19"/>
  <c r="L119" i="19"/>
  <c r="M119" i="19"/>
  <c r="N119" i="19"/>
  <c r="P119" i="19"/>
  <c r="Q119" i="19"/>
  <c r="H120" i="19"/>
  <c r="I120" i="19"/>
  <c r="K120" i="19"/>
  <c r="L120" i="19"/>
  <c r="M120" i="19"/>
  <c r="N120" i="19"/>
  <c r="P120" i="19"/>
  <c r="Q120" i="19"/>
  <c r="H121" i="19"/>
  <c r="I121" i="19"/>
  <c r="K121" i="19"/>
  <c r="L121" i="19"/>
  <c r="M121" i="19"/>
  <c r="N121" i="19"/>
  <c r="P121" i="19"/>
  <c r="Q121" i="19"/>
  <c r="H122" i="19"/>
  <c r="I122" i="19"/>
  <c r="K122" i="19"/>
  <c r="L122" i="19"/>
  <c r="M122" i="19"/>
  <c r="N122" i="19"/>
  <c r="P122" i="19"/>
  <c r="Q122" i="19"/>
  <c r="H123" i="19"/>
  <c r="I123" i="19"/>
  <c r="K123" i="19"/>
  <c r="L123" i="19"/>
  <c r="M123" i="19"/>
  <c r="N123" i="19"/>
  <c r="P123" i="19"/>
  <c r="Q123" i="19"/>
  <c r="H124" i="19"/>
  <c r="I124" i="19"/>
  <c r="K124" i="19"/>
  <c r="L124" i="19"/>
  <c r="M124" i="19"/>
  <c r="N124" i="19"/>
  <c r="P124" i="19"/>
  <c r="Q124" i="19"/>
  <c r="H125" i="19"/>
  <c r="I125" i="19"/>
  <c r="K125" i="19"/>
  <c r="L125" i="19"/>
  <c r="M125" i="19"/>
  <c r="N125" i="19"/>
  <c r="P125" i="19"/>
  <c r="Q125" i="19"/>
  <c r="H126" i="19"/>
  <c r="I126" i="19"/>
  <c r="K126" i="19"/>
  <c r="L126" i="19"/>
  <c r="M126" i="19"/>
  <c r="N126" i="19"/>
  <c r="P126" i="19"/>
  <c r="Q126" i="19"/>
  <c r="H127" i="19"/>
  <c r="I127" i="19"/>
  <c r="K127" i="19"/>
  <c r="L127" i="19"/>
  <c r="M127" i="19"/>
  <c r="N127" i="19"/>
  <c r="P127" i="19"/>
  <c r="Q127" i="19"/>
  <c r="H128" i="19"/>
  <c r="I128" i="19"/>
  <c r="K128" i="19"/>
  <c r="L128" i="19"/>
  <c r="M128" i="19"/>
  <c r="N128" i="19"/>
  <c r="P128" i="19"/>
  <c r="Q128" i="19"/>
  <c r="H129" i="19"/>
  <c r="I129" i="19"/>
  <c r="K129" i="19"/>
  <c r="L129" i="19"/>
  <c r="M129" i="19"/>
  <c r="N129" i="19"/>
  <c r="P129" i="19"/>
  <c r="Q129" i="19"/>
  <c r="H130" i="19"/>
  <c r="I130" i="19"/>
  <c r="K130" i="19"/>
  <c r="L130" i="19"/>
  <c r="M130" i="19"/>
  <c r="N130" i="19"/>
  <c r="P130" i="19"/>
  <c r="Q130" i="19"/>
  <c r="H131" i="19"/>
  <c r="I131" i="19"/>
  <c r="K131" i="19"/>
  <c r="L131" i="19"/>
  <c r="M131" i="19"/>
  <c r="N131" i="19"/>
  <c r="P131" i="19"/>
  <c r="Q131" i="19"/>
  <c r="H132" i="19"/>
  <c r="I132" i="19"/>
  <c r="K132" i="19"/>
  <c r="L132" i="19"/>
  <c r="M132" i="19"/>
  <c r="N132" i="19"/>
  <c r="P132" i="19"/>
  <c r="Q132" i="19"/>
  <c r="H133" i="19"/>
  <c r="I133" i="19"/>
  <c r="K133" i="19"/>
  <c r="L133" i="19"/>
  <c r="M133" i="19"/>
  <c r="N133" i="19"/>
  <c r="P133" i="19"/>
  <c r="Q133" i="19"/>
  <c r="H134" i="19"/>
  <c r="I134" i="19"/>
  <c r="K134" i="19"/>
  <c r="L134" i="19"/>
  <c r="M134" i="19"/>
  <c r="N134" i="19"/>
  <c r="P134" i="19"/>
  <c r="Q134" i="19"/>
  <c r="H135" i="19"/>
  <c r="I135" i="19"/>
  <c r="K135" i="19"/>
  <c r="L135" i="19"/>
  <c r="M135" i="19"/>
  <c r="N135" i="19"/>
  <c r="P135" i="19"/>
  <c r="Q135" i="19"/>
  <c r="H136" i="19"/>
  <c r="I136" i="19"/>
  <c r="K136" i="19"/>
  <c r="L136" i="19"/>
  <c r="M136" i="19"/>
  <c r="N136" i="19"/>
  <c r="P136" i="19"/>
  <c r="O136" i="19" s="1"/>
  <c r="Q136" i="19"/>
  <c r="H137" i="19"/>
  <c r="I137" i="19"/>
  <c r="K137" i="19"/>
  <c r="L137" i="19"/>
  <c r="M137" i="19"/>
  <c r="N137" i="19"/>
  <c r="P137" i="19"/>
  <c r="Q137" i="19"/>
  <c r="H138" i="19"/>
  <c r="I138" i="19"/>
  <c r="K138" i="19"/>
  <c r="L138" i="19"/>
  <c r="M138" i="19"/>
  <c r="N138" i="19"/>
  <c r="P138" i="19"/>
  <c r="Q138" i="19"/>
  <c r="H139" i="19"/>
  <c r="I139" i="19"/>
  <c r="K139" i="19"/>
  <c r="L139" i="19"/>
  <c r="M139" i="19"/>
  <c r="N139" i="19"/>
  <c r="P139" i="19"/>
  <c r="Q139" i="19"/>
  <c r="H140" i="19"/>
  <c r="I140" i="19"/>
  <c r="K140" i="19"/>
  <c r="L140" i="19"/>
  <c r="M140" i="19"/>
  <c r="N140" i="19"/>
  <c r="P140" i="19"/>
  <c r="O140" i="19" s="1"/>
  <c r="Q140" i="19"/>
  <c r="H141" i="19"/>
  <c r="I141" i="19"/>
  <c r="K141" i="19"/>
  <c r="L141" i="19"/>
  <c r="M141" i="19"/>
  <c r="N141" i="19"/>
  <c r="P141" i="19"/>
  <c r="O141" i="19" s="1"/>
  <c r="Q141" i="19"/>
  <c r="H142" i="19"/>
  <c r="I142" i="19"/>
  <c r="K142" i="19"/>
  <c r="L142" i="19"/>
  <c r="M142" i="19"/>
  <c r="N142" i="19"/>
  <c r="P142" i="19"/>
  <c r="O142" i="19" s="1"/>
  <c r="Q142" i="19"/>
  <c r="H143" i="19"/>
  <c r="I143" i="19"/>
  <c r="K143" i="19"/>
  <c r="L143" i="19"/>
  <c r="M143" i="19"/>
  <c r="N143" i="19"/>
  <c r="P143" i="19"/>
  <c r="O143" i="19" s="1"/>
  <c r="Q143" i="19"/>
  <c r="H144" i="19"/>
  <c r="I144" i="19"/>
  <c r="K144" i="19"/>
  <c r="L144" i="19"/>
  <c r="M144" i="19"/>
  <c r="N144" i="19"/>
  <c r="O144" i="19"/>
  <c r="P144" i="19"/>
  <c r="Q144" i="19"/>
  <c r="H145" i="19"/>
  <c r="I145" i="19"/>
  <c r="K145" i="19"/>
  <c r="L145" i="19"/>
  <c r="M145" i="19"/>
  <c r="N145" i="19"/>
  <c r="P145" i="19"/>
  <c r="Q145" i="19"/>
  <c r="H146" i="19"/>
  <c r="I146" i="19"/>
  <c r="K146" i="19"/>
  <c r="L146" i="19"/>
  <c r="M146" i="19"/>
  <c r="N146" i="19"/>
  <c r="P146" i="19"/>
  <c r="Q146" i="19"/>
  <c r="H147" i="19"/>
  <c r="I147" i="19"/>
  <c r="K147" i="19"/>
  <c r="L147" i="19"/>
  <c r="M147" i="19"/>
  <c r="N147" i="19"/>
  <c r="P147" i="19"/>
  <c r="Q147" i="19"/>
  <c r="H148" i="19"/>
  <c r="I148" i="19"/>
  <c r="K148" i="19"/>
  <c r="L148" i="19"/>
  <c r="M148" i="19"/>
  <c r="N148" i="19"/>
  <c r="P148" i="19"/>
  <c r="Q148" i="19"/>
  <c r="H149" i="19"/>
  <c r="I149" i="19"/>
  <c r="K149" i="19"/>
  <c r="L149" i="19"/>
  <c r="M149" i="19"/>
  <c r="N149" i="19"/>
  <c r="P149" i="19"/>
  <c r="Q149" i="19"/>
  <c r="H150" i="19"/>
  <c r="I150" i="19"/>
  <c r="K150" i="19"/>
  <c r="L150" i="19"/>
  <c r="M150" i="19"/>
  <c r="N150" i="19"/>
  <c r="P150" i="19"/>
  <c r="Q150" i="19"/>
  <c r="H151" i="19"/>
  <c r="I151" i="19"/>
  <c r="K151" i="19"/>
  <c r="L151" i="19"/>
  <c r="M151" i="19"/>
  <c r="N151" i="19"/>
  <c r="P151" i="19"/>
  <c r="Q151" i="19"/>
  <c r="H152" i="19"/>
  <c r="I152" i="19"/>
  <c r="K152" i="19"/>
  <c r="L152" i="19"/>
  <c r="M152" i="19"/>
  <c r="N152" i="19"/>
  <c r="P152" i="19"/>
  <c r="Q152" i="19"/>
  <c r="H153" i="19"/>
  <c r="I153" i="19"/>
  <c r="K153" i="19"/>
  <c r="L153" i="19"/>
  <c r="M153" i="19"/>
  <c r="N153" i="19"/>
  <c r="P153" i="19"/>
  <c r="Q153" i="19"/>
  <c r="H154" i="19"/>
  <c r="I154" i="19"/>
  <c r="K154" i="19"/>
  <c r="L154" i="19"/>
  <c r="M154" i="19"/>
  <c r="N154" i="19"/>
  <c r="P154" i="19"/>
  <c r="Q154" i="19"/>
  <c r="H155" i="19"/>
  <c r="I155" i="19"/>
  <c r="K155" i="19"/>
  <c r="L155" i="19"/>
  <c r="M155" i="19"/>
  <c r="N155" i="19"/>
  <c r="P155" i="19"/>
  <c r="Q155" i="19"/>
  <c r="H156" i="19"/>
  <c r="I156" i="19"/>
  <c r="K156" i="19"/>
  <c r="L156" i="19"/>
  <c r="M156" i="19"/>
  <c r="N156" i="19"/>
  <c r="P156" i="19"/>
  <c r="Q156" i="19"/>
  <c r="H157" i="19"/>
  <c r="I157" i="19"/>
  <c r="K157" i="19"/>
  <c r="L157" i="19"/>
  <c r="M157" i="19"/>
  <c r="N157" i="19"/>
  <c r="P157" i="19"/>
  <c r="Q157" i="19"/>
  <c r="H158" i="19"/>
  <c r="I158" i="19"/>
  <c r="K158" i="19"/>
  <c r="L158" i="19"/>
  <c r="M158" i="19"/>
  <c r="N158" i="19"/>
  <c r="P158" i="19"/>
  <c r="Q158" i="19"/>
  <c r="H159" i="19"/>
  <c r="I159" i="19"/>
  <c r="K159" i="19"/>
  <c r="L159" i="19"/>
  <c r="M159" i="19"/>
  <c r="N159" i="19"/>
  <c r="P159" i="19"/>
  <c r="Q159" i="19"/>
  <c r="H160" i="19"/>
  <c r="I160" i="19"/>
  <c r="K160" i="19"/>
  <c r="L160" i="19"/>
  <c r="M160" i="19"/>
  <c r="N160" i="19"/>
  <c r="P160" i="19"/>
  <c r="Q160" i="19"/>
  <c r="O160" i="19" s="1"/>
  <c r="H161" i="19"/>
  <c r="I161" i="19"/>
  <c r="K161" i="19"/>
  <c r="L161" i="19"/>
  <c r="M161" i="19"/>
  <c r="N161" i="19"/>
  <c r="P161" i="19"/>
  <c r="Q161" i="19"/>
  <c r="H162" i="19"/>
  <c r="I162" i="19"/>
  <c r="K162" i="19"/>
  <c r="L162" i="19"/>
  <c r="M162" i="19"/>
  <c r="N162" i="19"/>
  <c r="P162" i="19"/>
  <c r="Q162" i="19"/>
  <c r="H163" i="19"/>
  <c r="I163" i="19"/>
  <c r="K163" i="19"/>
  <c r="L163" i="19"/>
  <c r="M163" i="19"/>
  <c r="N163" i="19"/>
  <c r="P163" i="19"/>
  <c r="Q163" i="19"/>
  <c r="H164" i="19"/>
  <c r="I164" i="19"/>
  <c r="K164" i="19"/>
  <c r="L164" i="19"/>
  <c r="M164" i="19"/>
  <c r="N164" i="19"/>
  <c r="P164" i="19"/>
  <c r="Q164" i="19"/>
  <c r="H165" i="19"/>
  <c r="I165" i="19"/>
  <c r="K165" i="19"/>
  <c r="L165" i="19"/>
  <c r="M165" i="19"/>
  <c r="N165" i="19"/>
  <c r="P165" i="19"/>
  <c r="Q165" i="19"/>
  <c r="H166" i="19"/>
  <c r="I166" i="19"/>
  <c r="K166" i="19"/>
  <c r="L166" i="19"/>
  <c r="M166" i="19"/>
  <c r="N166" i="19"/>
  <c r="P166" i="19"/>
  <c r="Q166" i="19"/>
  <c r="H167" i="19"/>
  <c r="I167" i="19"/>
  <c r="K167" i="19"/>
  <c r="L167" i="19"/>
  <c r="M167" i="19"/>
  <c r="N167" i="19"/>
  <c r="P167" i="19"/>
  <c r="Q167" i="19"/>
  <c r="H168" i="19"/>
  <c r="I168" i="19"/>
  <c r="K168" i="19"/>
  <c r="L168" i="19"/>
  <c r="M168" i="19"/>
  <c r="N168" i="19"/>
  <c r="P168" i="19"/>
  <c r="O168" i="19" s="1"/>
  <c r="Q168" i="19"/>
  <c r="H169" i="19"/>
  <c r="I169" i="19"/>
  <c r="K169" i="19"/>
  <c r="L169" i="19"/>
  <c r="M169" i="19"/>
  <c r="N169" i="19"/>
  <c r="P169" i="19"/>
  <c r="Q169" i="19"/>
  <c r="H170" i="19"/>
  <c r="I170" i="19"/>
  <c r="K170" i="19"/>
  <c r="L170" i="19"/>
  <c r="M170" i="19"/>
  <c r="N170" i="19"/>
  <c r="P170" i="19"/>
  <c r="Q170" i="19"/>
  <c r="H171" i="19"/>
  <c r="I171" i="19"/>
  <c r="K171" i="19"/>
  <c r="L171" i="19"/>
  <c r="M171" i="19"/>
  <c r="N171" i="19"/>
  <c r="P171" i="19"/>
  <c r="Q171" i="19"/>
  <c r="H172" i="19"/>
  <c r="I172" i="19"/>
  <c r="K172" i="19"/>
  <c r="L172" i="19"/>
  <c r="M172" i="19"/>
  <c r="N172" i="19"/>
  <c r="P172" i="19"/>
  <c r="Q172" i="19"/>
  <c r="H173" i="19"/>
  <c r="I173" i="19"/>
  <c r="K173" i="19"/>
  <c r="L173" i="19"/>
  <c r="M173" i="19"/>
  <c r="N173" i="19"/>
  <c r="P173" i="19"/>
  <c r="O173" i="19" s="1"/>
  <c r="Q173" i="19"/>
  <c r="H174" i="19"/>
  <c r="I174" i="19"/>
  <c r="K174" i="19"/>
  <c r="L174" i="19"/>
  <c r="M174" i="19"/>
  <c r="N174" i="19"/>
  <c r="P174" i="19"/>
  <c r="O174" i="19" s="1"/>
  <c r="Q174" i="19"/>
  <c r="H175" i="19"/>
  <c r="I175" i="19"/>
  <c r="K175" i="19"/>
  <c r="L175" i="19"/>
  <c r="M175" i="19"/>
  <c r="N175" i="19"/>
  <c r="P175" i="19"/>
  <c r="Q175" i="19"/>
  <c r="H176" i="19"/>
  <c r="I176" i="19"/>
  <c r="K176" i="19"/>
  <c r="L176" i="19"/>
  <c r="M176" i="19"/>
  <c r="N176" i="19"/>
  <c r="P176" i="19"/>
  <c r="Q176" i="19"/>
  <c r="H177" i="19"/>
  <c r="I177" i="19"/>
  <c r="K177" i="19"/>
  <c r="L177" i="19"/>
  <c r="M177" i="19"/>
  <c r="N177" i="19"/>
  <c r="P177" i="19"/>
  <c r="Q177" i="19"/>
  <c r="H178" i="19"/>
  <c r="I178" i="19"/>
  <c r="K178" i="19"/>
  <c r="L178" i="19"/>
  <c r="M178" i="19"/>
  <c r="N178" i="19"/>
  <c r="P178" i="19"/>
  <c r="Q178" i="19"/>
  <c r="H179" i="19"/>
  <c r="I179" i="19"/>
  <c r="K179" i="19"/>
  <c r="L179" i="19"/>
  <c r="M179" i="19"/>
  <c r="N179" i="19"/>
  <c r="P179" i="19"/>
  <c r="Q179" i="19"/>
  <c r="H180" i="19"/>
  <c r="I180" i="19"/>
  <c r="K180" i="19"/>
  <c r="L180" i="19"/>
  <c r="M180" i="19"/>
  <c r="N180" i="19"/>
  <c r="P180" i="19"/>
  <c r="Q180" i="19"/>
  <c r="H181" i="19"/>
  <c r="I181" i="19"/>
  <c r="K181" i="19"/>
  <c r="L181" i="19"/>
  <c r="M181" i="19"/>
  <c r="N181" i="19"/>
  <c r="P181" i="19"/>
  <c r="Q181" i="19"/>
  <c r="H182" i="19"/>
  <c r="I182" i="19"/>
  <c r="K182" i="19"/>
  <c r="L182" i="19"/>
  <c r="M182" i="19"/>
  <c r="N182" i="19"/>
  <c r="P182" i="19"/>
  <c r="Q182" i="19"/>
  <c r="H183" i="19"/>
  <c r="I183" i="19"/>
  <c r="K183" i="19"/>
  <c r="L183" i="19"/>
  <c r="M183" i="19"/>
  <c r="N183" i="19"/>
  <c r="P183" i="19"/>
  <c r="Q183" i="19"/>
  <c r="H184" i="19"/>
  <c r="I184" i="19"/>
  <c r="K184" i="19"/>
  <c r="L184" i="19"/>
  <c r="M184" i="19"/>
  <c r="N184" i="19"/>
  <c r="P184" i="19"/>
  <c r="Q184" i="19"/>
  <c r="H185" i="19"/>
  <c r="I185" i="19"/>
  <c r="K185" i="19"/>
  <c r="L185" i="19"/>
  <c r="M185" i="19"/>
  <c r="N185" i="19"/>
  <c r="P185" i="19"/>
  <c r="Q185" i="19"/>
  <c r="H186" i="19"/>
  <c r="I186" i="19"/>
  <c r="K186" i="19"/>
  <c r="L186" i="19"/>
  <c r="M186" i="19"/>
  <c r="N186" i="19"/>
  <c r="P186" i="19"/>
  <c r="Q186" i="19"/>
  <c r="H187" i="19"/>
  <c r="I187" i="19"/>
  <c r="K187" i="19"/>
  <c r="L187" i="19"/>
  <c r="M187" i="19"/>
  <c r="N187" i="19"/>
  <c r="P187" i="19"/>
  <c r="Q187" i="19"/>
  <c r="H188" i="19"/>
  <c r="I188" i="19"/>
  <c r="K188" i="19"/>
  <c r="L188" i="19"/>
  <c r="M188" i="19"/>
  <c r="N188" i="19"/>
  <c r="P188" i="19"/>
  <c r="Q188" i="19"/>
  <c r="H189" i="19"/>
  <c r="I189" i="19"/>
  <c r="K189" i="19"/>
  <c r="L189" i="19"/>
  <c r="M189" i="19"/>
  <c r="N189" i="19"/>
  <c r="P189" i="19"/>
  <c r="Q189" i="19"/>
  <c r="H190" i="19"/>
  <c r="I190" i="19"/>
  <c r="K190" i="19"/>
  <c r="L190" i="19"/>
  <c r="M190" i="19"/>
  <c r="N190" i="19"/>
  <c r="P190" i="19"/>
  <c r="Q190" i="19"/>
  <c r="H191" i="19"/>
  <c r="I191" i="19"/>
  <c r="K191" i="19"/>
  <c r="L191" i="19"/>
  <c r="M191" i="19"/>
  <c r="N191" i="19"/>
  <c r="P191" i="19"/>
  <c r="Q191" i="19"/>
  <c r="H192" i="19"/>
  <c r="I192" i="19"/>
  <c r="K192" i="19"/>
  <c r="L192" i="19"/>
  <c r="M192" i="19"/>
  <c r="N192" i="19"/>
  <c r="P192" i="19"/>
  <c r="Q192" i="19"/>
  <c r="O192" i="19" s="1"/>
  <c r="H193" i="19"/>
  <c r="I193" i="19"/>
  <c r="K193" i="19"/>
  <c r="L193" i="19"/>
  <c r="M193" i="19"/>
  <c r="N193" i="19"/>
  <c r="P193" i="19"/>
  <c r="Q193" i="19"/>
  <c r="H194" i="19"/>
  <c r="I194" i="19"/>
  <c r="K194" i="19"/>
  <c r="L194" i="19"/>
  <c r="M194" i="19"/>
  <c r="N194" i="19"/>
  <c r="P194" i="19"/>
  <c r="Q194" i="19"/>
  <c r="H195" i="19"/>
  <c r="I195" i="19"/>
  <c r="K195" i="19"/>
  <c r="L195" i="19"/>
  <c r="M195" i="19"/>
  <c r="N195" i="19"/>
  <c r="P195" i="19"/>
  <c r="Q195" i="19"/>
  <c r="H196" i="19"/>
  <c r="I196" i="19"/>
  <c r="K196" i="19"/>
  <c r="L196" i="19"/>
  <c r="M196" i="19"/>
  <c r="N196" i="19"/>
  <c r="P196" i="19"/>
  <c r="Q196" i="19"/>
  <c r="H197" i="19"/>
  <c r="I197" i="19"/>
  <c r="K197" i="19"/>
  <c r="L197" i="19"/>
  <c r="M197" i="19"/>
  <c r="N197" i="19"/>
  <c r="P197" i="19"/>
  <c r="Q197" i="19"/>
  <c r="H198" i="19"/>
  <c r="I198" i="19"/>
  <c r="K198" i="19"/>
  <c r="L198" i="19"/>
  <c r="M198" i="19"/>
  <c r="N198" i="19"/>
  <c r="P198" i="19"/>
  <c r="Q198" i="19"/>
  <c r="H199" i="19"/>
  <c r="I199" i="19"/>
  <c r="K199" i="19"/>
  <c r="L199" i="19"/>
  <c r="M199" i="19"/>
  <c r="N199" i="19"/>
  <c r="P199" i="19"/>
  <c r="Q199" i="19"/>
  <c r="H200" i="19"/>
  <c r="I200" i="19"/>
  <c r="K200" i="19"/>
  <c r="L200" i="19"/>
  <c r="M200" i="19"/>
  <c r="N200" i="19"/>
  <c r="P200" i="19"/>
  <c r="Q200" i="19"/>
  <c r="H201" i="19"/>
  <c r="I201" i="19"/>
  <c r="K201" i="19"/>
  <c r="L201" i="19"/>
  <c r="M201" i="19"/>
  <c r="N201" i="19"/>
  <c r="P201" i="19"/>
  <c r="Q201" i="19"/>
  <c r="H202" i="19"/>
  <c r="I202" i="19"/>
  <c r="K202" i="19"/>
  <c r="L202" i="19"/>
  <c r="M202" i="19"/>
  <c r="N202" i="19"/>
  <c r="P202" i="19"/>
  <c r="Q202" i="19"/>
  <c r="H203" i="19"/>
  <c r="I203" i="19"/>
  <c r="K203" i="19"/>
  <c r="L203" i="19"/>
  <c r="M203" i="19"/>
  <c r="N203" i="19"/>
  <c r="P203" i="19"/>
  <c r="Q203" i="19"/>
  <c r="H204" i="19"/>
  <c r="I204" i="19"/>
  <c r="K204" i="19"/>
  <c r="L204" i="19"/>
  <c r="M204" i="19"/>
  <c r="N204" i="19"/>
  <c r="P204" i="19"/>
  <c r="Q204" i="19"/>
  <c r="H205" i="19"/>
  <c r="I205" i="19"/>
  <c r="K205" i="19"/>
  <c r="L205" i="19"/>
  <c r="M205" i="19"/>
  <c r="N205" i="19"/>
  <c r="P205" i="19"/>
  <c r="Q205" i="19"/>
  <c r="H206" i="19"/>
  <c r="I206" i="19"/>
  <c r="K206" i="19"/>
  <c r="L206" i="19"/>
  <c r="M206" i="19"/>
  <c r="N206" i="19"/>
  <c r="P206" i="19"/>
  <c r="Q206" i="19"/>
  <c r="H207" i="19"/>
  <c r="I207" i="19"/>
  <c r="K207" i="19"/>
  <c r="L207" i="19"/>
  <c r="M207" i="19"/>
  <c r="N207" i="19"/>
  <c r="P207" i="19"/>
  <c r="Q207" i="19"/>
  <c r="H208" i="19"/>
  <c r="I208" i="19"/>
  <c r="K208" i="19"/>
  <c r="L208" i="19"/>
  <c r="M208" i="19"/>
  <c r="N208" i="19"/>
  <c r="P208" i="19"/>
  <c r="Q208" i="19"/>
  <c r="O208" i="19" s="1"/>
  <c r="H209" i="19"/>
  <c r="I209" i="19"/>
  <c r="K209" i="19"/>
  <c r="L209" i="19"/>
  <c r="M209" i="19"/>
  <c r="N209" i="19"/>
  <c r="P209" i="19"/>
  <c r="Q209" i="19"/>
  <c r="H210" i="19"/>
  <c r="I210" i="19"/>
  <c r="K210" i="19"/>
  <c r="L210" i="19"/>
  <c r="M210" i="19"/>
  <c r="N210" i="19"/>
  <c r="P210" i="19"/>
  <c r="Q210" i="19"/>
  <c r="H211" i="19"/>
  <c r="I211" i="19"/>
  <c r="K211" i="19"/>
  <c r="L211" i="19"/>
  <c r="M211" i="19"/>
  <c r="N211" i="19"/>
  <c r="P211" i="19"/>
  <c r="Q211" i="19"/>
  <c r="H212" i="19"/>
  <c r="I212" i="19"/>
  <c r="K212" i="19"/>
  <c r="L212" i="19"/>
  <c r="M212" i="19"/>
  <c r="N212" i="19"/>
  <c r="P212" i="19"/>
  <c r="Q212" i="19"/>
  <c r="H213" i="19"/>
  <c r="I213" i="19"/>
  <c r="K213" i="19"/>
  <c r="L213" i="19"/>
  <c r="M213" i="19"/>
  <c r="N213" i="19"/>
  <c r="P213" i="19"/>
  <c r="Q213" i="19"/>
  <c r="H214" i="19"/>
  <c r="I214" i="19"/>
  <c r="K214" i="19"/>
  <c r="L214" i="19"/>
  <c r="M214" i="19"/>
  <c r="N214" i="19"/>
  <c r="P214" i="19"/>
  <c r="Q214" i="19"/>
  <c r="H215" i="19"/>
  <c r="I215" i="19"/>
  <c r="K215" i="19"/>
  <c r="L215" i="19"/>
  <c r="M215" i="19"/>
  <c r="N215" i="19"/>
  <c r="P215" i="19"/>
  <c r="Q215" i="19"/>
  <c r="H216" i="19"/>
  <c r="I216" i="19"/>
  <c r="K216" i="19"/>
  <c r="L216" i="19"/>
  <c r="M216" i="19"/>
  <c r="N216" i="19"/>
  <c r="P216" i="19"/>
  <c r="Q216" i="19"/>
  <c r="H217" i="19"/>
  <c r="I217" i="19"/>
  <c r="K217" i="19"/>
  <c r="L217" i="19"/>
  <c r="M217" i="19"/>
  <c r="N217" i="19"/>
  <c r="P217" i="19"/>
  <c r="Q217" i="19"/>
  <c r="H218" i="19"/>
  <c r="I218" i="19"/>
  <c r="K218" i="19"/>
  <c r="L218" i="19"/>
  <c r="M218" i="19"/>
  <c r="N218" i="19"/>
  <c r="P218" i="19"/>
  <c r="Q218" i="19"/>
  <c r="H219" i="19"/>
  <c r="I219" i="19"/>
  <c r="K219" i="19"/>
  <c r="L219" i="19"/>
  <c r="M219" i="19"/>
  <c r="N219" i="19"/>
  <c r="P219" i="19"/>
  <c r="Q219" i="19"/>
  <c r="H220" i="19"/>
  <c r="I220" i="19"/>
  <c r="K220" i="19"/>
  <c r="L220" i="19"/>
  <c r="M220" i="19"/>
  <c r="N220" i="19"/>
  <c r="P220" i="19"/>
  <c r="Q220" i="19"/>
  <c r="H221" i="19"/>
  <c r="I221" i="19"/>
  <c r="K221" i="19"/>
  <c r="L221" i="19"/>
  <c r="M221" i="19"/>
  <c r="N221" i="19"/>
  <c r="P221" i="19"/>
  <c r="Q221" i="19"/>
  <c r="H222" i="19"/>
  <c r="I222" i="19"/>
  <c r="K222" i="19"/>
  <c r="L222" i="19"/>
  <c r="M222" i="19"/>
  <c r="N222" i="19"/>
  <c r="P222" i="19"/>
  <c r="Q222" i="19"/>
  <c r="H223" i="19"/>
  <c r="I223" i="19"/>
  <c r="K223" i="19"/>
  <c r="L223" i="19"/>
  <c r="M223" i="19"/>
  <c r="N223" i="19"/>
  <c r="P223" i="19"/>
  <c r="Q223" i="19"/>
  <c r="H224" i="19"/>
  <c r="I224" i="19"/>
  <c r="K224" i="19"/>
  <c r="L224" i="19"/>
  <c r="M224" i="19"/>
  <c r="N224" i="19"/>
  <c r="P224" i="19"/>
  <c r="Q224" i="19"/>
  <c r="H225" i="19"/>
  <c r="I225" i="19"/>
  <c r="K225" i="19"/>
  <c r="L225" i="19"/>
  <c r="M225" i="19"/>
  <c r="N225" i="19"/>
  <c r="P225" i="19"/>
  <c r="Q225" i="19"/>
  <c r="H226" i="19"/>
  <c r="I226" i="19"/>
  <c r="K226" i="19"/>
  <c r="L226" i="19"/>
  <c r="M226" i="19"/>
  <c r="N226" i="19"/>
  <c r="P226" i="19"/>
  <c r="Q226" i="19"/>
  <c r="H227" i="19"/>
  <c r="I227" i="19"/>
  <c r="K227" i="19"/>
  <c r="L227" i="19"/>
  <c r="M227" i="19"/>
  <c r="N227" i="19"/>
  <c r="P227" i="19"/>
  <c r="Q227" i="19"/>
  <c r="H228" i="19"/>
  <c r="I228" i="19"/>
  <c r="K228" i="19"/>
  <c r="L228" i="19"/>
  <c r="M228" i="19"/>
  <c r="N228" i="19"/>
  <c r="P228" i="19"/>
  <c r="Q228" i="19"/>
  <c r="H229" i="19"/>
  <c r="I229" i="19"/>
  <c r="K229" i="19"/>
  <c r="L229" i="19"/>
  <c r="M229" i="19"/>
  <c r="N229" i="19"/>
  <c r="P229" i="19"/>
  <c r="Q229" i="19"/>
  <c r="H230" i="19"/>
  <c r="I230" i="19"/>
  <c r="K230" i="19"/>
  <c r="L230" i="19"/>
  <c r="M230" i="19"/>
  <c r="N230" i="19"/>
  <c r="P230" i="19"/>
  <c r="Q230" i="19"/>
  <c r="H231" i="19"/>
  <c r="I231" i="19"/>
  <c r="K231" i="19"/>
  <c r="L231" i="19"/>
  <c r="M231" i="19"/>
  <c r="N231" i="19"/>
  <c r="P231" i="19"/>
  <c r="Q231" i="19"/>
  <c r="H232" i="19"/>
  <c r="I232" i="19"/>
  <c r="K232" i="19"/>
  <c r="L232" i="19"/>
  <c r="M232" i="19"/>
  <c r="N232" i="19"/>
  <c r="P232" i="19"/>
  <c r="Q232" i="19"/>
  <c r="H233" i="19"/>
  <c r="I233" i="19"/>
  <c r="K233" i="19"/>
  <c r="L233" i="19"/>
  <c r="M233" i="19"/>
  <c r="N233" i="19"/>
  <c r="P233" i="19"/>
  <c r="Q233" i="19"/>
  <c r="H234" i="19"/>
  <c r="I234" i="19"/>
  <c r="K234" i="19"/>
  <c r="L234" i="19"/>
  <c r="M234" i="19"/>
  <c r="N234" i="19"/>
  <c r="P234" i="19"/>
  <c r="Q234" i="19"/>
  <c r="H235" i="19"/>
  <c r="I235" i="19"/>
  <c r="K235" i="19"/>
  <c r="L235" i="19"/>
  <c r="M235" i="19"/>
  <c r="N235" i="19"/>
  <c r="P235" i="19"/>
  <c r="Q235" i="19"/>
  <c r="H236" i="19"/>
  <c r="I236" i="19"/>
  <c r="K236" i="19"/>
  <c r="L236" i="19"/>
  <c r="M236" i="19"/>
  <c r="N236" i="19"/>
  <c r="P236" i="19"/>
  <c r="Q236" i="19"/>
  <c r="H237" i="19"/>
  <c r="I237" i="19"/>
  <c r="K237" i="19"/>
  <c r="L237" i="19"/>
  <c r="M237" i="19"/>
  <c r="N237" i="19"/>
  <c r="P237" i="19"/>
  <c r="Q237" i="19"/>
  <c r="H238" i="19"/>
  <c r="I238" i="19"/>
  <c r="K238" i="19"/>
  <c r="L238" i="19"/>
  <c r="M238" i="19"/>
  <c r="N238" i="19"/>
  <c r="P238" i="19"/>
  <c r="Q238" i="19"/>
  <c r="H239" i="19"/>
  <c r="I239" i="19"/>
  <c r="K239" i="19"/>
  <c r="L239" i="19"/>
  <c r="M239" i="19"/>
  <c r="N239" i="19"/>
  <c r="P239" i="19"/>
  <c r="Q239" i="19"/>
  <c r="H240" i="19"/>
  <c r="I240" i="19"/>
  <c r="K240" i="19"/>
  <c r="L240" i="19"/>
  <c r="M240" i="19"/>
  <c r="N240" i="19"/>
  <c r="P240" i="19"/>
  <c r="O240" i="19" s="1"/>
  <c r="Q240" i="19"/>
  <c r="H241" i="19"/>
  <c r="I241" i="19"/>
  <c r="K241" i="19"/>
  <c r="L241" i="19"/>
  <c r="M241" i="19"/>
  <c r="N241" i="19"/>
  <c r="P241" i="19"/>
  <c r="Q241" i="19"/>
  <c r="H242" i="19"/>
  <c r="I242" i="19"/>
  <c r="K242" i="19"/>
  <c r="L242" i="19"/>
  <c r="M242" i="19"/>
  <c r="N242" i="19"/>
  <c r="P242" i="19"/>
  <c r="Q242" i="19"/>
  <c r="H243" i="19"/>
  <c r="I243" i="19"/>
  <c r="K243" i="19"/>
  <c r="L243" i="19"/>
  <c r="M243" i="19"/>
  <c r="N243" i="19"/>
  <c r="P243" i="19"/>
  <c r="Q243" i="19"/>
  <c r="H244" i="19"/>
  <c r="I244" i="19"/>
  <c r="K244" i="19"/>
  <c r="L244" i="19"/>
  <c r="M244" i="19"/>
  <c r="N244" i="19"/>
  <c r="P244" i="19"/>
  <c r="Q244" i="19"/>
  <c r="H245" i="19"/>
  <c r="I245" i="19"/>
  <c r="K245" i="19"/>
  <c r="L245" i="19"/>
  <c r="M245" i="19"/>
  <c r="N245" i="19"/>
  <c r="P245" i="19"/>
  <c r="Q245" i="19"/>
  <c r="H246" i="19"/>
  <c r="I246" i="19"/>
  <c r="K246" i="19"/>
  <c r="L246" i="19"/>
  <c r="M246" i="19"/>
  <c r="N246" i="19"/>
  <c r="P246" i="19"/>
  <c r="Q246" i="19"/>
  <c r="H247" i="19"/>
  <c r="I247" i="19"/>
  <c r="K247" i="19"/>
  <c r="L247" i="19"/>
  <c r="M247" i="19"/>
  <c r="N247" i="19"/>
  <c r="P247" i="19"/>
  <c r="Q247" i="19"/>
  <c r="H248" i="19"/>
  <c r="I248" i="19"/>
  <c r="K248" i="19"/>
  <c r="L248" i="19"/>
  <c r="M248" i="19"/>
  <c r="N248" i="19"/>
  <c r="P248" i="19"/>
  <c r="Q248" i="19"/>
  <c r="H249" i="19"/>
  <c r="I249" i="19"/>
  <c r="K249" i="19"/>
  <c r="L249" i="19"/>
  <c r="M249" i="19"/>
  <c r="N249" i="19"/>
  <c r="P249" i="19"/>
  <c r="Q249" i="19"/>
  <c r="H250" i="19"/>
  <c r="I250" i="19"/>
  <c r="K250" i="19"/>
  <c r="L250" i="19"/>
  <c r="M250" i="19"/>
  <c r="N250" i="19"/>
  <c r="P250" i="19"/>
  <c r="Q250" i="19"/>
  <c r="H251" i="19"/>
  <c r="I251" i="19"/>
  <c r="K251" i="19"/>
  <c r="L251" i="19"/>
  <c r="M251" i="19"/>
  <c r="N251" i="19"/>
  <c r="P251" i="19"/>
  <c r="Q251" i="19"/>
  <c r="H252" i="19"/>
  <c r="I252" i="19"/>
  <c r="K252" i="19"/>
  <c r="L252" i="19"/>
  <c r="M252" i="19"/>
  <c r="N252" i="19"/>
  <c r="P252" i="19"/>
  <c r="Q252" i="19"/>
  <c r="H253" i="19"/>
  <c r="I253" i="19"/>
  <c r="K253" i="19"/>
  <c r="L253" i="19"/>
  <c r="M253" i="19"/>
  <c r="N253" i="19"/>
  <c r="P253" i="19"/>
  <c r="Q253" i="19"/>
  <c r="H254" i="19"/>
  <c r="I254" i="19"/>
  <c r="K254" i="19"/>
  <c r="L254" i="19"/>
  <c r="M254" i="19"/>
  <c r="N254" i="19"/>
  <c r="P254" i="19"/>
  <c r="Q254" i="19"/>
  <c r="H255" i="19"/>
  <c r="I255" i="19"/>
  <c r="K255" i="19"/>
  <c r="L255" i="19"/>
  <c r="M255" i="19"/>
  <c r="N255" i="19"/>
  <c r="P255" i="19"/>
  <c r="Q255" i="19"/>
  <c r="H256" i="19"/>
  <c r="I256" i="19"/>
  <c r="K256" i="19"/>
  <c r="L256" i="19"/>
  <c r="M256" i="19"/>
  <c r="N256" i="19"/>
  <c r="P256" i="19"/>
  <c r="Q256" i="19"/>
  <c r="H257" i="19"/>
  <c r="I257" i="19"/>
  <c r="K257" i="19"/>
  <c r="L257" i="19"/>
  <c r="M257" i="19"/>
  <c r="N257" i="19"/>
  <c r="P257" i="19"/>
  <c r="Q257" i="19"/>
  <c r="H258" i="19"/>
  <c r="I258" i="19"/>
  <c r="K258" i="19"/>
  <c r="L258" i="19"/>
  <c r="M258" i="19"/>
  <c r="N258" i="19"/>
  <c r="P258" i="19"/>
  <c r="Q258" i="19"/>
  <c r="H259" i="19"/>
  <c r="I259" i="19"/>
  <c r="K259" i="19"/>
  <c r="L259" i="19"/>
  <c r="M259" i="19"/>
  <c r="N259" i="19"/>
  <c r="P259" i="19"/>
  <c r="Q259" i="19"/>
  <c r="H260" i="19"/>
  <c r="I260" i="19"/>
  <c r="K260" i="19"/>
  <c r="L260" i="19"/>
  <c r="M260" i="19"/>
  <c r="N260" i="19"/>
  <c r="P260" i="19"/>
  <c r="Q260" i="19"/>
  <c r="H261" i="19"/>
  <c r="I261" i="19"/>
  <c r="K261" i="19"/>
  <c r="L261" i="19"/>
  <c r="M261" i="19"/>
  <c r="N261" i="19"/>
  <c r="P261" i="19"/>
  <c r="Q261" i="19"/>
  <c r="H262" i="19"/>
  <c r="I262" i="19"/>
  <c r="K262" i="19"/>
  <c r="L262" i="19"/>
  <c r="M262" i="19"/>
  <c r="N262" i="19"/>
  <c r="P262" i="19"/>
  <c r="Q262" i="19"/>
  <c r="H263" i="19"/>
  <c r="I263" i="19"/>
  <c r="K263" i="19"/>
  <c r="L263" i="19"/>
  <c r="M263" i="19"/>
  <c r="N263" i="19"/>
  <c r="P263" i="19"/>
  <c r="Q263" i="19"/>
  <c r="H264" i="19"/>
  <c r="I264" i="19"/>
  <c r="K264" i="19"/>
  <c r="L264" i="19"/>
  <c r="M264" i="19"/>
  <c r="N264" i="19"/>
  <c r="P264" i="19"/>
  <c r="O264" i="19" s="1"/>
  <c r="Q264" i="19"/>
  <c r="H265" i="19"/>
  <c r="I265" i="19"/>
  <c r="K265" i="19"/>
  <c r="L265" i="19"/>
  <c r="M265" i="19"/>
  <c r="N265" i="19"/>
  <c r="P265" i="19"/>
  <c r="Q265" i="19"/>
  <c r="H266" i="19"/>
  <c r="I266" i="19"/>
  <c r="K266" i="19"/>
  <c r="L266" i="19"/>
  <c r="M266" i="19"/>
  <c r="N266" i="19"/>
  <c r="P266" i="19"/>
  <c r="Q266" i="19"/>
  <c r="H267" i="19"/>
  <c r="I267" i="19"/>
  <c r="K267" i="19"/>
  <c r="L267" i="19"/>
  <c r="M267" i="19"/>
  <c r="N267" i="19"/>
  <c r="P267" i="19"/>
  <c r="Q267" i="19"/>
  <c r="H268" i="19"/>
  <c r="I268" i="19"/>
  <c r="K268" i="19"/>
  <c r="L268" i="19"/>
  <c r="M268" i="19"/>
  <c r="N268" i="19"/>
  <c r="P268" i="19"/>
  <c r="O268" i="19" s="1"/>
  <c r="Q268" i="19"/>
  <c r="H269" i="19"/>
  <c r="I269" i="19"/>
  <c r="K269" i="19"/>
  <c r="L269" i="19"/>
  <c r="M269" i="19"/>
  <c r="N269" i="19"/>
  <c r="P269" i="19"/>
  <c r="O269" i="19" s="1"/>
  <c r="Q269" i="19"/>
  <c r="H270" i="19"/>
  <c r="I270" i="19"/>
  <c r="K270" i="19"/>
  <c r="L270" i="19"/>
  <c r="M270" i="19"/>
  <c r="N270" i="19"/>
  <c r="P270" i="19"/>
  <c r="O270" i="19" s="1"/>
  <c r="Q270" i="19"/>
  <c r="H271" i="19"/>
  <c r="I271" i="19"/>
  <c r="K271" i="19"/>
  <c r="L271" i="19"/>
  <c r="M271" i="19"/>
  <c r="N271" i="19"/>
  <c r="P271" i="19"/>
  <c r="O271" i="19" s="1"/>
  <c r="Q271" i="19"/>
  <c r="H272" i="19"/>
  <c r="I272" i="19"/>
  <c r="K272" i="19"/>
  <c r="L272" i="19"/>
  <c r="M272" i="19"/>
  <c r="N272" i="19"/>
  <c r="P272" i="19"/>
  <c r="Q272" i="19"/>
  <c r="H273" i="19"/>
  <c r="I273" i="19"/>
  <c r="K273" i="19"/>
  <c r="L273" i="19"/>
  <c r="M273" i="19"/>
  <c r="N273" i="19"/>
  <c r="P273" i="19"/>
  <c r="Q273" i="19"/>
  <c r="H274" i="19"/>
  <c r="I274" i="19"/>
  <c r="K274" i="19"/>
  <c r="L274" i="19"/>
  <c r="M274" i="19"/>
  <c r="N274" i="19"/>
  <c r="P274" i="19"/>
  <c r="Q274" i="19"/>
  <c r="H275" i="19"/>
  <c r="I275" i="19"/>
  <c r="K275" i="19"/>
  <c r="L275" i="19"/>
  <c r="M275" i="19"/>
  <c r="N275" i="19"/>
  <c r="P275" i="19"/>
  <c r="Q275" i="19"/>
  <c r="H276" i="19"/>
  <c r="I276" i="19"/>
  <c r="K276" i="19"/>
  <c r="L276" i="19"/>
  <c r="M276" i="19"/>
  <c r="N276" i="19"/>
  <c r="P276" i="19"/>
  <c r="Q276" i="19"/>
  <c r="H277" i="19"/>
  <c r="I277" i="19"/>
  <c r="K277" i="19"/>
  <c r="L277" i="19"/>
  <c r="M277" i="19"/>
  <c r="N277" i="19"/>
  <c r="P277" i="19"/>
  <c r="Q277" i="19"/>
  <c r="H278" i="19"/>
  <c r="I278" i="19"/>
  <c r="K278" i="19"/>
  <c r="L278" i="19"/>
  <c r="M278" i="19"/>
  <c r="N278" i="19"/>
  <c r="P278" i="19"/>
  <c r="Q278" i="19"/>
  <c r="H279" i="19"/>
  <c r="I279" i="19"/>
  <c r="K279" i="19"/>
  <c r="L279" i="19"/>
  <c r="M279" i="19"/>
  <c r="N279" i="19"/>
  <c r="P279" i="19"/>
  <c r="Q279" i="19"/>
  <c r="H280" i="19"/>
  <c r="I280" i="19"/>
  <c r="K280" i="19"/>
  <c r="L280" i="19"/>
  <c r="M280" i="19"/>
  <c r="N280" i="19"/>
  <c r="P280" i="19"/>
  <c r="Q280" i="19"/>
  <c r="H281" i="19"/>
  <c r="I281" i="19"/>
  <c r="K281" i="19"/>
  <c r="L281" i="19"/>
  <c r="M281" i="19"/>
  <c r="N281" i="19"/>
  <c r="P281" i="19"/>
  <c r="Q281" i="19"/>
  <c r="H282" i="19"/>
  <c r="I282" i="19"/>
  <c r="K282" i="19"/>
  <c r="L282" i="19"/>
  <c r="M282" i="19"/>
  <c r="N282" i="19"/>
  <c r="P282" i="19"/>
  <c r="Q282" i="19"/>
  <c r="H283" i="19"/>
  <c r="I283" i="19"/>
  <c r="K283" i="19"/>
  <c r="L283" i="19"/>
  <c r="M283" i="19"/>
  <c r="N283" i="19"/>
  <c r="P283" i="19"/>
  <c r="Q283" i="19"/>
  <c r="H284" i="19"/>
  <c r="I284" i="19"/>
  <c r="K284" i="19"/>
  <c r="L284" i="19"/>
  <c r="M284" i="19"/>
  <c r="N284" i="19"/>
  <c r="P284" i="19"/>
  <c r="Q284" i="19"/>
  <c r="H285" i="19"/>
  <c r="I285" i="19"/>
  <c r="K285" i="19"/>
  <c r="L285" i="19"/>
  <c r="M285" i="19"/>
  <c r="N285" i="19"/>
  <c r="P285" i="19"/>
  <c r="Q285" i="19"/>
  <c r="H286" i="19"/>
  <c r="I286" i="19"/>
  <c r="K286" i="19"/>
  <c r="L286" i="19"/>
  <c r="M286" i="19"/>
  <c r="N286" i="19"/>
  <c r="P286" i="19"/>
  <c r="Q286" i="19"/>
  <c r="H287" i="19"/>
  <c r="I287" i="19"/>
  <c r="K287" i="19"/>
  <c r="L287" i="19"/>
  <c r="M287" i="19"/>
  <c r="N287" i="19"/>
  <c r="P287" i="19"/>
  <c r="Q287" i="19"/>
  <c r="H288" i="19"/>
  <c r="I288" i="19"/>
  <c r="K288" i="19"/>
  <c r="L288" i="19"/>
  <c r="M288" i="19"/>
  <c r="N288" i="19"/>
  <c r="P288" i="19"/>
  <c r="Q288" i="19"/>
  <c r="O288" i="19" s="1"/>
  <c r="H289" i="19"/>
  <c r="I289" i="19"/>
  <c r="K289" i="19"/>
  <c r="L289" i="19"/>
  <c r="M289" i="19"/>
  <c r="N289" i="19"/>
  <c r="P289" i="19"/>
  <c r="Q289" i="19"/>
  <c r="H290" i="19"/>
  <c r="I290" i="19"/>
  <c r="K290" i="19"/>
  <c r="L290" i="19"/>
  <c r="M290" i="19"/>
  <c r="N290" i="19"/>
  <c r="P290" i="19"/>
  <c r="Q290" i="19"/>
  <c r="H291" i="19"/>
  <c r="I291" i="19"/>
  <c r="K291" i="19"/>
  <c r="L291" i="19"/>
  <c r="M291" i="19"/>
  <c r="N291" i="19"/>
  <c r="P291" i="19"/>
  <c r="Q291" i="19"/>
  <c r="H292" i="19"/>
  <c r="I292" i="19"/>
  <c r="K292" i="19"/>
  <c r="L292" i="19"/>
  <c r="M292" i="19"/>
  <c r="N292" i="19"/>
  <c r="P292" i="19"/>
  <c r="Q292" i="19"/>
  <c r="H293" i="19"/>
  <c r="I293" i="19"/>
  <c r="K293" i="19"/>
  <c r="L293" i="19"/>
  <c r="M293" i="19"/>
  <c r="N293" i="19"/>
  <c r="P293" i="19"/>
  <c r="Q293" i="19"/>
  <c r="H294" i="19"/>
  <c r="I294" i="19"/>
  <c r="K294" i="19"/>
  <c r="L294" i="19"/>
  <c r="M294" i="19"/>
  <c r="N294" i="19"/>
  <c r="P294" i="19"/>
  <c r="Q294" i="19"/>
  <c r="H295" i="19"/>
  <c r="I295" i="19"/>
  <c r="K295" i="19"/>
  <c r="L295" i="19"/>
  <c r="M295" i="19"/>
  <c r="N295" i="19"/>
  <c r="P295" i="19"/>
  <c r="Q295" i="19"/>
  <c r="H296" i="19"/>
  <c r="I296" i="19"/>
  <c r="K296" i="19"/>
  <c r="L296" i="19"/>
  <c r="M296" i="19"/>
  <c r="N296" i="19"/>
  <c r="P296" i="19"/>
  <c r="Q296" i="19"/>
  <c r="H297" i="19"/>
  <c r="I297" i="19"/>
  <c r="K297" i="19"/>
  <c r="L297" i="19"/>
  <c r="M297" i="19"/>
  <c r="N297" i="19"/>
  <c r="P297" i="19"/>
  <c r="Q297" i="19"/>
  <c r="H298" i="19"/>
  <c r="I298" i="19"/>
  <c r="K298" i="19"/>
  <c r="L298" i="19"/>
  <c r="M298" i="19"/>
  <c r="N298" i="19"/>
  <c r="P298" i="19"/>
  <c r="Q298" i="19"/>
  <c r="H299" i="19"/>
  <c r="I299" i="19"/>
  <c r="K299" i="19"/>
  <c r="L299" i="19"/>
  <c r="M299" i="19"/>
  <c r="N299" i="19"/>
  <c r="P299" i="19"/>
  <c r="Q299" i="19"/>
  <c r="H300" i="19"/>
  <c r="I300" i="19"/>
  <c r="K300" i="19"/>
  <c r="L300" i="19"/>
  <c r="M300" i="19"/>
  <c r="N300" i="19"/>
  <c r="P300" i="19"/>
  <c r="Q300" i="19"/>
  <c r="H301" i="19"/>
  <c r="I301" i="19"/>
  <c r="K301" i="19"/>
  <c r="L301" i="19"/>
  <c r="M301" i="19"/>
  <c r="N301" i="19"/>
  <c r="P301" i="19"/>
  <c r="Q301" i="19"/>
  <c r="H302" i="19"/>
  <c r="I302" i="19"/>
  <c r="K302" i="19"/>
  <c r="L302" i="19"/>
  <c r="M302" i="19"/>
  <c r="N302" i="19"/>
  <c r="P302" i="19"/>
  <c r="Q302" i="19"/>
  <c r="H303" i="19"/>
  <c r="I303" i="19"/>
  <c r="K303" i="19"/>
  <c r="L303" i="19"/>
  <c r="M303" i="19"/>
  <c r="N303" i="19"/>
  <c r="P303" i="19"/>
  <c r="Q303" i="19"/>
  <c r="H304" i="19"/>
  <c r="I304" i="19"/>
  <c r="K304" i="19"/>
  <c r="L304" i="19"/>
  <c r="M304" i="19"/>
  <c r="N304" i="19"/>
  <c r="P304" i="19"/>
  <c r="O304" i="19" s="1"/>
  <c r="Q304" i="19"/>
  <c r="H305" i="19"/>
  <c r="I305" i="19"/>
  <c r="K305" i="19"/>
  <c r="L305" i="19"/>
  <c r="M305" i="19"/>
  <c r="N305" i="19"/>
  <c r="P305" i="19"/>
  <c r="Q305" i="19"/>
  <c r="H306" i="19"/>
  <c r="I306" i="19"/>
  <c r="K306" i="19"/>
  <c r="L306" i="19"/>
  <c r="M306" i="19"/>
  <c r="N306" i="19"/>
  <c r="P306" i="19"/>
  <c r="Q306" i="19"/>
  <c r="H307" i="19"/>
  <c r="I307" i="19"/>
  <c r="K307" i="19"/>
  <c r="L307" i="19"/>
  <c r="M307" i="19"/>
  <c r="N307" i="19"/>
  <c r="P307" i="19"/>
  <c r="Q307" i="19"/>
  <c r="H308" i="19"/>
  <c r="I308" i="19"/>
  <c r="K308" i="19"/>
  <c r="L308" i="19"/>
  <c r="M308" i="19"/>
  <c r="N308" i="19"/>
  <c r="P308" i="19"/>
  <c r="Q308" i="19"/>
  <c r="H309" i="19"/>
  <c r="I309" i="19"/>
  <c r="K309" i="19"/>
  <c r="L309" i="19"/>
  <c r="M309" i="19"/>
  <c r="N309" i="19"/>
  <c r="P309" i="19"/>
  <c r="Q309" i="19"/>
  <c r="H310" i="19"/>
  <c r="I310" i="19"/>
  <c r="K310" i="19"/>
  <c r="L310" i="19"/>
  <c r="M310" i="19"/>
  <c r="N310" i="19"/>
  <c r="P310" i="19"/>
  <c r="Q310" i="19"/>
  <c r="H311" i="19"/>
  <c r="I311" i="19"/>
  <c r="K311" i="19"/>
  <c r="L311" i="19"/>
  <c r="M311" i="19"/>
  <c r="N311" i="19"/>
  <c r="P311" i="19"/>
  <c r="Q311" i="19"/>
  <c r="H312" i="19"/>
  <c r="I312" i="19"/>
  <c r="K312" i="19"/>
  <c r="L312" i="19"/>
  <c r="M312" i="19"/>
  <c r="N312" i="19"/>
  <c r="P312" i="19"/>
  <c r="Q312" i="19"/>
  <c r="H313" i="19"/>
  <c r="I313" i="19"/>
  <c r="K313" i="19"/>
  <c r="L313" i="19"/>
  <c r="M313" i="19"/>
  <c r="N313" i="19"/>
  <c r="P313" i="19"/>
  <c r="Q313" i="19"/>
  <c r="H314" i="19"/>
  <c r="I314" i="19"/>
  <c r="K314" i="19"/>
  <c r="L314" i="19"/>
  <c r="M314" i="19"/>
  <c r="N314" i="19"/>
  <c r="P314" i="19"/>
  <c r="Q314" i="19"/>
  <c r="H315" i="19"/>
  <c r="I315" i="19"/>
  <c r="K315" i="19"/>
  <c r="L315" i="19"/>
  <c r="M315" i="19"/>
  <c r="N315" i="19"/>
  <c r="P315" i="19"/>
  <c r="Q315" i="19"/>
  <c r="C8" i="19"/>
  <c r="D8" i="19"/>
  <c r="E8" i="19"/>
  <c r="F8" i="19"/>
  <c r="C9" i="19"/>
  <c r="D9" i="19"/>
  <c r="E9" i="19"/>
  <c r="F9" i="19"/>
  <c r="C10" i="19"/>
  <c r="D10" i="19"/>
  <c r="E10" i="19"/>
  <c r="F10" i="19"/>
  <c r="C11" i="19"/>
  <c r="D11" i="19"/>
  <c r="E11" i="19"/>
  <c r="F11" i="19"/>
  <c r="C12" i="19"/>
  <c r="D12" i="19"/>
  <c r="E12" i="19"/>
  <c r="F12" i="19"/>
  <c r="C13" i="19"/>
  <c r="D13" i="19"/>
  <c r="E13" i="19"/>
  <c r="F13" i="19"/>
  <c r="C14" i="19"/>
  <c r="D14" i="19"/>
  <c r="E14" i="19"/>
  <c r="F14" i="19"/>
  <c r="C15" i="19"/>
  <c r="D15" i="19"/>
  <c r="E15" i="19"/>
  <c r="F15" i="19"/>
  <c r="C16" i="19"/>
  <c r="D16" i="19"/>
  <c r="E16" i="19"/>
  <c r="F16" i="19"/>
  <c r="C17" i="19"/>
  <c r="D17" i="19"/>
  <c r="E17" i="19"/>
  <c r="F17" i="19"/>
  <c r="C18" i="19"/>
  <c r="D18" i="19"/>
  <c r="E18" i="19"/>
  <c r="F18" i="19"/>
  <c r="C19" i="19"/>
  <c r="D19" i="19"/>
  <c r="E19" i="19"/>
  <c r="F19" i="19"/>
  <c r="C20" i="19"/>
  <c r="D20" i="19"/>
  <c r="E20" i="19"/>
  <c r="F20" i="19"/>
  <c r="C21" i="19"/>
  <c r="D21" i="19"/>
  <c r="E21" i="19"/>
  <c r="F21" i="19"/>
  <c r="C22" i="19"/>
  <c r="D22" i="19"/>
  <c r="E22" i="19"/>
  <c r="F22" i="19"/>
  <c r="C23" i="19"/>
  <c r="D23" i="19"/>
  <c r="E23" i="19"/>
  <c r="F23" i="19"/>
  <c r="C24" i="19"/>
  <c r="D24" i="19"/>
  <c r="E24" i="19"/>
  <c r="F24" i="19"/>
  <c r="C25" i="19"/>
  <c r="D25" i="19"/>
  <c r="E25" i="19"/>
  <c r="F25" i="19"/>
  <c r="C26" i="19"/>
  <c r="D26" i="19"/>
  <c r="E26" i="19"/>
  <c r="F26" i="19"/>
  <c r="C27" i="19"/>
  <c r="D27" i="19"/>
  <c r="E27" i="19"/>
  <c r="F27" i="19"/>
  <c r="C28" i="19"/>
  <c r="D28" i="19"/>
  <c r="E28" i="19"/>
  <c r="F28" i="19"/>
  <c r="C29" i="19"/>
  <c r="D29" i="19"/>
  <c r="E29" i="19"/>
  <c r="F29" i="19"/>
  <c r="C30" i="19"/>
  <c r="D30" i="19"/>
  <c r="E30" i="19"/>
  <c r="F30" i="19"/>
  <c r="C31" i="19"/>
  <c r="D31" i="19"/>
  <c r="E31" i="19"/>
  <c r="F31" i="19"/>
  <c r="C32" i="19"/>
  <c r="D32" i="19"/>
  <c r="E32" i="19"/>
  <c r="F32" i="19"/>
  <c r="C33" i="19"/>
  <c r="D33" i="19"/>
  <c r="E33" i="19"/>
  <c r="F33" i="19"/>
  <c r="C34" i="19"/>
  <c r="D34" i="19"/>
  <c r="E34" i="19"/>
  <c r="F34" i="19"/>
  <c r="C35" i="19"/>
  <c r="D35" i="19"/>
  <c r="E35" i="19"/>
  <c r="F35" i="19"/>
  <c r="C36" i="19"/>
  <c r="D36" i="19"/>
  <c r="E36" i="19"/>
  <c r="F36" i="19"/>
  <c r="C37" i="19"/>
  <c r="D37" i="19"/>
  <c r="E37" i="19"/>
  <c r="F37" i="19"/>
  <c r="C38" i="19"/>
  <c r="D38" i="19"/>
  <c r="E38" i="19"/>
  <c r="F38" i="19"/>
  <c r="C39" i="19"/>
  <c r="D39" i="19"/>
  <c r="E39" i="19"/>
  <c r="F39" i="19"/>
  <c r="C40" i="19"/>
  <c r="D40" i="19"/>
  <c r="E40" i="19"/>
  <c r="F40" i="19"/>
  <c r="C41" i="19"/>
  <c r="D41" i="19"/>
  <c r="E41" i="19"/>
  <c r="F41" i="19"/>
  <c r="C42" i="19"/>
  <c r="D42" i="19"/>
  <c r="E42" i="19"/>
  <c r="F42" i="19"/>
  <c r="C43" i="19"/>
  <c r="D43" i="19"/>
  <c r="E43" i="19"/>
  <c r="F43" i="19"/>
  <c r="C44" i="19"/>
  <c r="D44" i="19"/>
  <c r="E44" i="19"/>
  <c r="F44" i="19"/>
  <c r="C45" i="19"/>
  <c r="D45" i="19"/>
  <c r="E45" i="19"/>
  <c r="F45" i="19"/>
  <c r="C46" i="19"/>
  <c r="D46" i="19"/>
  <c r="E46" i="19"/>
  <c r="F46" i="19"/>
  <c r="C47" i="19"/>
  <c r="D47" i="19"/>
  <c r="E47" i="19"/>
  <c r="F47" i="19"/>
  <c r="C48" i="19"/>
  <c r="D48" i="19"/>
  <c r="E48" i="19"/>
  <c r="F48" i="19"/>
  <c r="C49" i="19"/>
  <c r="D49" i="19"/>
  <c r="E49" i="19"/>
  <c r="F49" i="19"/>
  <c r="C50" i="19"/>
  <c r="D50" i="19"/>
  <c r="E50" i="19"/>
  <c r="F50" i="19"/>
  <c r="C51" i="19"/>
  <c r="D51" i="19"/>
  <c r="E51" i="19"/>
  <c r="F51" i="19"/>
  <c r="C52" i="19"/>
  <c r="D52" i="19"/>
  <c r="E52" i="19"/>
  <c r="F52" i="19"/>
  <c r="C53" i="19"/>
  <c r="D53" i="19"/>
  <c r="E53" i="19"/>
  <c r="F53" i="19"/>
  <c r="C54" i="19"/>
  <c r="D54" i="19"/>
  <c r="E54" i="19"/>
  <c r="F54" i="19"/>
  <c r="C55" i="19"/>
  <c r="D55" i="19"/>
  <c r="E55" i="19"/>
  <c r="F55" i="19"/>
  <c r="C56" i="19"/>
  <c r="D56" i="19"/>
  <c r="E56" i="19"/>
  <c r="F56" i="19"/>
  <c r="C57" i="19"/>
  <c r="D57" i="19"/>
  <c r="E57" i="19"/>
  <c r="F57" i="19"/>
  <c r="C58" i="19"/>
  <c r="D58" i="19"/>
  <c r="E58" i="19"/>
  <c r="F58" i="19"/>
  <c r="C59" i="19"/>
  <c r="D59" i="19"/>
  <c r="E59" i="19"/>
  <c r="F59" i="19"/>
  <c r="C60" i="19"/>
  <c r="D60" i="19"/>
  <c r="E60" i="19"/>
  <c r="F60" i="19"/>
  <c r="C61" i="19"/>
  <c r="D61" i="19"/>
  <c r="E61" i="19"/>
  <c r="F61" i="19"/>
  <c r="C62" i="19"/>
  <c r="D62" i="19"/>
  <c r="E62" i="19"/>
  <c r="F62" i="19"/>
  <c r="C63" i="19"/>
  <c r="D63" i="19"/>
  <c r="E63" i="19"/>
  <c r="F63" i="19"/>
  <c r="C64" i="19"/>
  <c r="D64" i="19"/>
  <c r="E64" i="19"/>
  <c r="F64" i="19"/>
  <c r="C65" i="19"/>
  <c r="D65" i="19"/>
  <c r="E65" i="19"/>
  <c r="F65" i="19"/>
  <c r="C66" i="19"/>
  <c r="D66" i="19"/>
  <c r="E66" i="19"/>
  <c r="F66" i="19"/>
  <c r="C67" i="19"/>
  <c r="D67" i="19"/>
  <c r="E67" i="19"/>
  <c r="F67" i="19"/>
  <c r="C68" i="19"/>
  <c r="D68" i="19"/>
  <c r="E68" i="19"/>
  <c r="F68" i="19"/>
  <c r="C69" i="19"/>
  <c r="D69" i="19"/>
  <c r="E69" i="19"/>
  <c r="F69" i="19"/>
  <c r="C70" i="19"/>
  <c r="D70" i="19"/>
  <c r="E70" i="19"/>
  <c r="F70" i="19"/>
  <c r="C71" i="19"/>
  <c r="D71" i="19"/>
  <c r="E71" i="19"/>
  <c r="F71" i="19"/>
  <c r="C72" i="19"/>
  <c r="D72" i="19"/>
  <c r="E72" i="19"/>
  <c r="F72" i="19"/>
  <c r="C73" i="19"/>
  <c r="D73" i="19"/>
  <c r="E73" i="19"/>
  <c r="F73" i="19"/>
  <c r="C74" i="19"/>
  <c r="D74" i="19"/>
  <c r="E74" i="19"/>
  <c r="F74" i="19"/>
  <c r="C75" i="19"/>
  <c r="D75" i="19"/>
  <c r="E75" i="19"/>
  <c r="F75" i="19"/>
  <c r="C76" i="19"/>
  <c r="D76" i="19"/>
  <c r="E76" i="19"/>
  <c r="F76" i="19"/>
  <c r="C77" i="19"/>
  <c r="D77" i="19"/>
  <c r="E77" i="19"/>
  <c r="F77" i="19"/>
  <c r="C78" i="19"/>
  <c r="D78" i="19"/>
  <c r="E78" i="19"/>
  <c r="F78" i="19"/>
  <c r="C79" i="19"/>
  <c r="D79" i="19"/>
  <c r="E79" i="19"/>
  <c r="F79" i="19"/>
  <c r="C80" i="19"/>
  <c r="D80" i="19"/>
  <c r="E80" i="19"/>
  <c r="F80" i="19"/>
  <c r="C81" i="19"/>
  <c r="D81" i="19"/>
  <c r="E81" i="19"/>
  <c r="F81" i="19"/>
  <c r="C82" i="19"/>
  <c r="D82" i="19"/>
  <c r="E82" i="19"/>
  <c r="F82" i="19"/>
  <c r="C83" i="19"/>
  <c r="D83" i="19"/>
  <c r="E83" i="19"/>
  <c r="F83" i="19"/>
  <c r="C84" i="19"/>
  <c r="D84" i="19"/>
  <c r="E84" i="19"/>
  <c r="F84" i="19"/>
  <c r="C85" i="19"/>
  <c r="D85" i="19"/>
  <c r="E85" i="19"/>
  <c r="F85" i="19"/>
  <c r="C86" i="19"/>
  <c r="D86" i="19"/>
  <c r="E86" i="19"/>
  <c r="F86" i="19"/>
  <c r="C87" i="19"/>
  <c r="D87" i="19"/>
  <c r="E87" i="19"/>
  <c r="F87" i="19"/>
  <c r="C88" i="19"/>
  <c r="D88" i="19"/>
  <c r="E88" i="19"/>
  <c r="F88" i="19"/>
  <c r="C89" i="19"/>
  <c r="D89" i="19"/>
  <c r="E89" i="19"/>
  <c r="F89" i="19"/>
  <c r="C90" i="19"/>
  <c r="D90" i="19"/>
  <c r="E90" i="19"/>
  <c r="F90" i="19"/>
  <c r="C91" i="19"/>
  <c r="D91" i="19"/>
  <c r="E91" i="19"/>
  <c r="F91" i="19"/>
  <c r="C92" i="19"/>
  <c r="D92" i="19"/>
  <c r="E92" i="19"/>
  <c r="F92" i="19"/>
  <c r="C93" i="19"/>
  <c r="D93" i="19"/>
  <c r="E93" i="19"/>
  <c r="F93" i="19"/>
  <c r="C94" i="19"/>
  <c r="D94" i="19"/>
  <c r="E94" i="19"/>
  <c r="F94" i="19"/>
  <c r="C95" i="19"/>
  <c r="D95" i="19"/>
  <c r="E95" i="19"/>
  <c r="F95" i="19"/>
  <c r="C96" i="19"/>
  <c r="D96" i="19"/>
  <c r="E96" i="19"/>
  <c r="F96" i="19"/>
  <c r="C97" i="19"/>
  <c r="D97" i="19"/>
  <c r="E97" i="19"/>
  <c r="F97" i="19"/>
  <c r="C98" i="19"/>
  <c r="D98" i="19"/>
  <c r="E98" i="19"/>
  <c r="F98" i="19"/>
  <c r="C99" i="19"/>
  <c r="D99" i="19"/>
  <c r="E99" i="19"/>
  <c r="F99" i="19"/>
  <c r="C100" i="19"/>
  <c r="D100" i="19"/>
  <c r="E100" i="19"/>
  <c r="F100" i="19"/>
  <c r="C101" i="19"/>
  <c r="D101" i="19"/>
  <c r="E101" i="19"/>
  <c r="F101" i="19"/>
  <c r="C102" i="19"/>
  <c r="D102" i="19"/>
  <c r="E102" i="19"/>
  <c r="F102" i="19"/>
  <c r="C103" i="19"/>
  <c r="D103" i="19"/>
  <c r="E103" i="19"/>
  <c r="F103" i="19"/>
  <c r="C104" i="19"/>
  <c r="D104" i="19"/>
  <c r="E104" i="19"/>
  <c r="F104" i="19"/>
  <c r="C105" i="19"/>
  <c r="D105" i="19"/>
  <c r="E105" i="19"/>
  <c r="F105" i="19"/>
  <c r="C106" i="19"/>
  <c r="D106" i="19"/>
  <c r="E106" i="19"/>
  <c r="F106" i="19"/>
  <c r="C107" i="19"/>
  <c r="D107" i="19"/>
  <c r="E107" i="19"/>
  <c r="F107" i="19"/>
  <c r="C108" i="19"/>
  <c r="D108" i="19"/>
  <c r="E108" i="19"/>
  <c r="F108" i="19"/>
  <c r="C109" i="19"/>
  <c r="D109" i="19"/>
  <c r="E109" i="19"/>
  <c r="F109" i="19"/>
  <c r="C110" i="19"/>
  <c r="D110" i="19"/>
  <c r="E110" i="19"/>
  <c r="F110" i="19"/>
  <c r="C111" i="19"/>
  <c r="D111" i="19"/>
  <c r="E111" i="19"/>
  <c r="F111" i="19"/>
  <c r="C112" i="19"/>
  <c r="D112" i="19"/>
  <c r="E112" i="19"/>
  <c r="F112" i="19"/>
  <c r="C113" i="19"/>
  <c r="D113" i="19"/>
  <c r="E113" i="19"/>
  <c r="F113" i="19"/>
  <c r="C114" i="19"/>
  <c r="D114" i="19"/>
  <c r="E114" i="19"/>
  <c r="F114" i="19"/>
  <c r="C115" i="19"/>
  <c r="D115" i="19"/>
  <c r="E115" i="19"/>
  <c r="F115" i="19"/>
  <c r="C116" i="19"/>
  <c r="D116" i="19"/>
  <c r="E116" i="19"/>
  <c r="F116" i="19"/>
  <c r="C117" i="19"/>
  <c r="D117" i="19"/>
  <c r="E117" i="19"/>
  <c r="F117" i="19"/>
  <c r="C118" i="19"/>
  <c r="D118" i="19"/>
  <c r="E118" i="19"/>
  <c r="F118" i="19"/>
  <c r="C119" i="19"/>
  <c r="D119" i="19"/>
  <c r="E119" i="19"/>
  <c r="F119" i="19"/>
  <c r="C120" i="19"/>
  <c r="D120" i="19"/>
  <c r="E120" i="19"/>
  <c r="F120" i="19"/>
  <c r="C121" i="19"/>
  <c r="D121" i="19"/>
  <c r="E121" i="19"/>
  <c r="F121" i="19"/>
  <c r="C122" i="19"/>
  <c r="D122" i="19"/>
  <c r="E122" i="19"/>
  <c r="F122" i="19"/>
  <c r="C123" i="19"/>
  <c r="D123" i="19"/>
  <c r="E123" i="19"/>
  <c r="F123" i="19"/>
  <c r="C124" i="19"/>
  <c r="D124" i="19"/>
  <c r="E124" i="19"/>
  <c r="F124" i="19"/>
  <c r="C125" i="19"/>
  <c r="D125" i="19"/>
  <c r="E125" i="19"/>
  <c r="F125" i="19"/>
  <c r="C126" i="19"/>
  <c r="D126" i="19"/>
  <c r="E126" i="19"/>
  <c r="F126" i="19"/>
  <c r="C127" i="19"/>
  <c r="D127" i="19"/>
  <c r="E127" i="19"/>
  <c r="F127" i="19"/>
  <c r="C128" i="19"/>
  <c r="D128" i="19"/>
  <c r="E128" i="19"/>
  <c r="F128" i="19"/>
  <c r="C129" i="19"/>
  <c r="D129" i="19"/>
  <c r="E129" i="19"/>
  <c r="F129" i="19"/>
  <c r="C130" i="19"/>
  <c r="D130" i="19"/>
  <c r="E130" i="19"/>
  <c r="F130" i="19"/>
  <c r="C131" i="19"/>
  <c r="D131" i="19"/>
  <c r="E131" i="19"/>
  <c r="F131" i="19"/>
  <c r="C132" i="19"/>
  <c r="D132" i="19"/>
  <c r="E132" i="19"/>
  <c r="F132" i="19"/>
  <c r="C133" i="19"/>
  <c r="D133" i="19"/>
  <c r="E133" i="19"/>
  <c r="F133" i="19"/>
  <c r="C134" i="19"/>
  <c r="D134" i="19"/>
  <c r="E134" i="19"/>
  <c r="F134" i="19"/>
  <c r="C135" i="19"/>
  <c r="D135" i="19"/>
  <c r="E135" i="19"/>
  <c r="F135" i="19"/>
  <c r="C136" i="19"/>
  <c r="D136" i="19"/>
  <c r="E136" i="19"/>
  <c r="F136" i="19"/>
  <c r="C137" i="19"/>
  <c r="D137" i="19"/>
  <c r="E137" i="19"/>
  <c r="F137" i="19"/>
  <c r="C138" i="19"/>
  <c r="D138" i="19"/>
  <c r="E138" i="19"/>
  <c r="F138" i="19"/>
  <c r="C139" i="19"/>
  <c r="D139" i="19"/>
  <c r="E139" i="19"/>
  <c r="F139" i="19"/>
  <c r="C140" i="19"/>
  <c r="D140" i="19"/>
  <c r="E140" i="19"/>
  <c r="F140" i="19"/>
  <c r="C141" i="19"/>
  <c r="D141" i="19"/>
  <c r="E141" i="19"/>
  <c r="F141" i="19"/>
  <c r="C142" i="19"/>
  <c r="D142" i="19"/>
  <c r="E142" i="19"/>
  <c r="F142" i="19"/>
  <c r="C143" i="19"/>
  <c r="D143" i="19"/>
  <c r="E143" i="19"/>
  <c r="F143" i="19"/>
  <c r="C144" i="19"/>
  <c r="D144" i="19"/>
  <c r="E144" i="19"/>
  <c r="F144" i="19"/>
  <c r="C145" i="19"/>
  <c r="D145" i="19"/>
  <c r="E145" i="19"/>
  <c r="F145" i="19"/>
  <c r="C146" i="19"/>
  <c r="D146" i="19"/>
  <c r="E146" i="19"/>
  <c r="F146" i="19"/>
  <c r="C147" i="19"/>
  <c r="D147" i="19"/>
  <c r="E147" i="19"/>
  <c r="F147" i="19"/>
  <c r="C148" i="19"/>
  <c r="D148" i="19"/>
  <c r="E148" i="19"/>
  <c r="F148" i="19"/>
  <c r="C149" i="19"/>
  <c r="D149" i="19"/>
  <c r="E149" i="19"/>
  <c r="F149" i="19"/>
  <c r="C150" i="19"/>
  <c r="D150" i="19"/>
  <c r="E150" i="19"/>
  <c r="F150" i="19"/>
  <c r="C151" i="19"/>
  <c r="D151" i="19"/>
  <c r="E151" i="19"/>
  <c r="F151" i="19"/>
  <c r="C152" i="19"/>
  <c r="D152" i="19"/>
  <c r="E152" i="19"/>
  <c r="F152" i="19"/>
  <c r="C153" i="19"/>
  <c r="D153" i="19"/>
  <c r="E153" i="19"/>
  <c r="F153" i="19"/>
  <c r="C154" i="19"/>
  <c r="D154" i="19"/>
  <c r="E154" i="19"/>
  <c r="F154" i="19"/>
  <c r="C155" i="19"/>
  <c r="D155" i="19"/>
  <c r="E155" i="19"/>
  <c r="F155" i="19"/>
  <c r="C156" i="19"/>
  <c r="D156" i="19"/>
  <c r="E156" i="19"/>
  <c r="F156" i="19"/>
  <c r="C157" i="19"/>
  <c r="D157" i="19"/>
  <c r="E157" i="19"/>
  <c r="F157" i="19"/>
  <c r="C158" i="19"/>
  <c r="D158" i="19"/>
  <c r="E158" i="19"/>
  <c r="F158" i="19"/>
  <c r="C159" i="19"/>
  <c r="D159" i="19"/>
  <c r="E159" i="19"/>
  <c r="F159" i="19"/>
  <c r="C160" i="19"/>
  <c r="D160" i="19"/>
  <c r="E160" i="19"/>
  <c r="F160" i="19"/>
  <c r="C161" i="19"/>
  <c r="D161" i="19"/>
  <c r="E161" i="19"/>
  <c r="F161" i="19"/>
  <c r="C162" i="19"/>
  <c r="D162" i="19"/>
  <c r="E162" i="19"/>
  <c r="F162" i="19"/>
  <c r="C163" i="19"/>
  <c r="D163" i="19"/>
  <c r="E163" i="19"/>
  <c r="F163" i="19"/>
  <c r="C164" i="19"/>
  <c r="D164" i="19"/>
  <c r="E164" i="19"/>
  <c r="F164" i="19"/>
  <c r="C165" i="19"/>
  <c r="D165" i="19"/>
  <c r="E165" i="19"/>
  <c r="F165" i="19"/>
  <c r="C166" i="19"/>
  <c r="D166" i="19"/>
  <c r="E166" i="19"/>
  <c r="F166" i="19"/>
  <c r="C167" i="19"/>
  <c r="D167" i="19"/>
  <c r="E167" i="19"/>
  <c r="F167" i="19"/>
  <c r="C168" i="19"/>
  <c r="D168" i="19"/>
  <c r="E168" i="19"/>
  <c r="F168" i="19"/>
  <c r="C169" i="19"/>
  <c r="D169" i="19"/>
  <c r="E169" i="19"/>
  <c r="F169" i="19"/>
  <c r="C170" i="19"/>
  <c r="D170" i="19"/>
  <c r="E170" i="19"/>
  <c r="F170" i="19"/>
  <c r="C171" i="19"/>
  <c r="D171" i="19"/>
  <c r="E171" i="19"/>
  <c r="F171" i="19"/>
  <c r="C172" i="19"/>
  <c r="D172" i="19"/>
  <c r="E172" i="19"/>
  <c r="F172" i="19"/>
  <c r="C173" i="19"/>
  <c r="D173" i="19"/>
  <c r="E173" i="19"/>
  <c r="F173" i="19"/>
  <c r="C174" i="19"/>
  <c r="D174" i="19"/>
  <c r="E174" i="19"/>
  <c r="F174" i="19"/>
  <c r="C175" i="19"/>
  <c r="D175" i="19"/>
  <c r="E175" i="19"/>
  <c r="F175" i="19"/>
  <c r="C176" i="19"/>
  <c r="D176" i="19"/>
  <c r="E176" i="19"/>
  <c r="F176" i="19"/>
  <c r="C177" i="19"/>
  <c r="D177" i="19"/>
  <c r="E177" i="19"/>
  <c r="F177" i="19"/>
  <c r="C178" i="19"/>
  <c r="D178" i="19"/>
  <c r="E178" i="19"/>
  <c r="F178" i="19"/>
  <c r="C179" i="19"/>
  <c r="D179" i="19"/>
  <c r="E179" i="19"/>
  <c r="F179" i="19"/>
  <c r="C180" i="19"/>
  <c r="D180" i="19"/>
  <c r="E180" i="19"/>
  <c r="F180" i="19"/>
  <c r="C181" i="19"/>
  <c r="D181" i="19"/>
  <c r="E181" i="19"/>
  <c r="F181" i="19"/>
  <c r="C182" i="19"/>
  <c r="D182" i="19"/>
  <c r="E182" i="19"/>
  <c r="F182" i="19"/>
  <c r="C183" i="19"/>
  <c r="D183" i="19"/>
  <c r="E183" i="19"/>
  <c r="F183" i="19"/>
  <c r="C184" i="19"/>
  <c r="D184" i="19"/>
  <c r="E184" i="19"/>
  <c r="F184" i="19"/>
  <c r="C185" i="19"/>
  <c r="D185" i="19"/>
  <c r="E185" i="19"/>
  <c r="F185" i="19"/>
  <c r="C186" i="19"/>
  <c r="D186" i="19"/>
  <c r="E186" i="19"/>
  <c r="F186" i="19"/>
  <c r="C187" i="19"/>
  <c r="D187" i="19"/>
  <c r="E187" i="19"/>
  <c r="F187" i="19"/>
  <c r="C188" i="19"/>
  <c r="D188" i="19"/>
  <c r="E188" i="19"/>
  <c r="F188" i="19"/>
  <c r="C189" i="19"/>
  <c r="D189" i="19"/>
  <c r="E189" i="19"/>
  <c r="F189" i="19"/>
  <c r="C190" i="19"/>
  <c r="D190" i="19"/>
  <c r="E190" i="19"/>
  <c r="F190" i="19"/>
  <c r="C191" i="19"/>
  <c r="D191" i="19"/>
  <c r="E191" i="19"/>
  <c r="F191" i="19"/>
  <c r="C192" i="19"/>
  <c r="D192" i="19"/>
  <c r="E192" i="19"/>
  <c r="F192" i="19"/>
  <c r="C193" i="19"/>
  <c r="D193" i="19"/>
  <c r="E193" i="19"/>
  <c r="F193" i="19"/>
  <c r="C194" i="19"/>
  <c r="D194" i="19"/>
  <c r="E194" i="19"/>
  <c r="F194" i="19"/>
  <c r="C195" i="19"/>
  <c r="D195" i="19"/>
  <c r="E195" i="19"/>
  <c r="F195" i="19"/>
  <c r="C196" i="19"/>
  <c r="D196" i="19"/>
  <c r="E196" i="19"/>
  <c r="F196" i="19"/>
  <c r="C197" i="19"/>
  <c r="D197" i="19"/>
  <c r="E197" i="19"/>
  <c r="F197" i="19"/>
  <c r="C198" i="19"/>
  <c r="D198" i="19"/>
  <c r="E198" i="19"/>
  <c r="F198" i="19"/>
  <c r="C199" i="19"/>
  <c r="D199" i="19"/>
  <c r="E199" i="19"/>
  <c r="F199" i="19"/>
  <c r="C200" i="19"/>
  <c r="D200" i="19"/>
  <c r="E200" i="19"/>
  <c r="F200" i="19"/>
  <c r="C201" i="19"/>
  <c r="D201" i="19"/>
  <c r="E201" i="19"/>
  <c r="F201" i="19"/>
  <c r="C202" i="19"/>
  <c r="D202" i="19"/>
  <c r="E202" i="19"/>
  <c r="F202" i="19"/>
  <c r="C203" i="19"/>
  <c r="D203" i="19"/>
  <c r="E203" i="19"/>
  <c r="F203" i="19"/>
  <c r="C204" i="19"/>
  <c r="D204" i="19"/>
  <c r="E204" i="19"/>
  <c r="F204" i="19"/>
  <c r="C205" i="19"/>
  <c r="D205" i="19"/>
  <c r="E205" i="19"/>
  <c r="F205" i="19"/>
  <c r="C206" i="19"/>
  <c r="D206" i="19"/>
  <c r="E206" i="19"/>
  <c r="F206" i="19"/>
  <c r="C207" i="19"/>
  <c r="D207" i="19"/>
  <c r="E207" i="19"/>
  <c r="F207" i="19"/>
  <c r="C208" i="19"/>
  <c r="D208" i="19"/>
  <c r="E208" i="19"/>
  <c r="F208" i="19"/>
  <c r="C209" i="19"/>
  <c r="D209" i="19"/>
  <c r="E209" i="19"/>
  <c r="F209" i="19"/>
  <c r="C210" i="19"/>
  <c r="D210" i="19"/>
  <c r="E210" i="19"/>
  <c r="F210" i="19"/>
  <c r="C211" i="19"/>
  <c r="D211" i="19"/>
  <c r="E211" i="19"/>
  <c r="F211" i="19"/>
  <c r="C212" i="19"/>
  <c r="D212" i="19"/>
  <c r="E212" i="19"/>
  <c r="F212" i="19"/>
  <c r="C213" i="19"/>
  <c r="D213" i="19"/>
  <c r="E213" i="19"/>
  <c r="F213" i="19"/>
  <c r="C214" i="19"/>
  <c r="D214" i="19"/>
  <c r="E214" i="19"/>
  <c r="F214" i="19"/>
  <c r="C215" i="19"/>
  <c r="D215" i="19"/>
  <c r="E215" i="19"/>
  <c r="F215" i="19"/>
  <c r="C216" i="19"/>
  <c r="D216" i="19"/>
  <c r="E216" i="19"/>
  <c r="F216" i="19"/>
  <c r="C217" i="19"/>
  <c r="D217" i="19"/>
  <c r="E217" i="19"/>
  <c r="F217" i="19"/>
  <c r="C218" i="19"/>
  <c r="D218" i="19"/>
  <c r="E218" i="19"/>
  <c r="F218" i="19"/>
  <c r="C219" i="19"/>
  <c r="D219" i="19"/>
  <c r="E219" i="19"/>
  <c r="F219" i="19"/>
  <c r="C220" i="19"/>
  <c r="D220" i="19"/>
  <c r="E220" i="19"/>
  <c r="F220" i="19"/>
  <c r="C221" i="19"/>
  <c r="D221" i="19"/>
  <c r="E221" i="19"/>
  <c r="F221" i="19"/>
  <c r="C222" i="19"/>
  <c r="D222" i="19"/>
  <c r="E222" i="19"/>
  <c r="F222" i="19"/>
  <c r="C223" i="19"/>
  <c r="D223" i="19"/>
  <c r="E223" i="19"/>
  <c r="F223" i="19"/>
  <c r="C224" i="19"/>
  <c r="D224" i="19"/>
  <c r="E224" i="19"/>
  <c r="F224" i="19"/>
  <c r="C225" i="19"/>
  <c r="D225" i="19"/>
  <c r="E225" i="19"/>
  <c r="F225" i="19"/>
  <c r="C226" i="19"/>
  <c r="D226" i="19"/>
  <c r="E226" i="19"/>
  <c r="F226" i="19"/>
  <c r="C227" i="19"/>
  <c r="D227" i="19"/>
  <c r="E227" i="19"/>
  <c r="F227" i="19"/>
  <c r="C228" i="19"/>
  <c r="D228" i="19"/>
  <c r="E228" i="19"/>
  <c r="F228" i="19"/>
  <c r="C229" i="19"/>
  <c r="D229" i="19"/>
  <c r="E229" i="19"/>
  <c r="F229" i="19"/>
  <c r="C230" i="19"/>
  <c r="D230" i="19"/>
  <c r="E230" i="19"/>
  <c r="F230" i="19"/>
  <c r="C231" i="19"/>
  <c r="D231" i="19"/>
  <c r="E231" i="19"/>
  <c r="F231" i="19"/>
  <c r="C232" i="19"/>
  <c r="D232" i="19"/>
  <c r="E232" i="19"/>
  <c r="F232" i="19"/>
  <c r="C233" i="19"/>
  <c r="D233" i="19"/>
  <c r="E233" i="19"/>
  <c r="F233" i="19"/>
  <c r="C234" i="19"/>
  <c r="D234" i="19"/>
  <c r="E234" i="19"/>
  <c r="F234" i="19"/>
  <c r="C235" i="19"/>
  <c r="D235" i="19"/>
  <c r="E235" i="19"/>
  <c r="F235" i="19"/>
  <c r="C236" i="19"/>
  <c r="D236" i="19"/>
  <c r="E236" i="19"/>
  <c r="F236" i="19"/>
  <c r="C237" i="19"/>
  <c r="D237" i="19"/>
  <c r="E237" i="19"/>
  <c r="F237" i="19"/>
  <c r="C238" i="19"/>
  <c r="D238" i="19"/>
  <c r="E238" i="19"/>
  <c r="F238" i="19"/>
  <c r="C239" i="19"/>
  <c r="D239" i="19"/>
  <c r="E239" i="19"/>
  <c r="F239" i="19"/>
  <c r="C240" i="19"/>
  <c r="D240" i="19"/>
  <c r="E240" i="19"/>
  <c r="F240" i="19"/>
  <c r="C241" i="19"/>
  <c r="D241" i="19"/>
  <c r="E241" i="19"/>
  <c r="F241" i="19"/>
  <c r="C242" i="19"/>
  <c r="D242" i="19"/>
  <c r="E242" i="19"/>
  <c r="F242" i="19"/>
  <c r="C243" i="19"/>
  <c r="D243" i="19"/>
  <c r="E243" i="19"/>
  <c r="F243" i="19"/>
  <c r="C244" i="19"/>
  <c r="D244" i="19"/>
  <c r="E244" i="19"/>
  <c r="F244" i="19"/>
  <c r="C245" i="19"/>
  <c r="D245" i="19"/>
  <c r="E245" i="19"/>
  <c r="F245" i="19"/>
  <c r="C246" i="19"/>
  <c r="D246" i="19"/>
  <c r="E246" i="19"/>
  <c r="F246" i="19"/>
  <c r="C247" i="19"/>
  <c r="D247" i="19"/>
  <c r="E247" i="19"/>
  <c r="F247" i="19"/>
  <c r="C248" i="19"/>
  <c r="D248" i="19"/>
  <c r="E248" i="19"/>
  <c r="F248" i="19"/>
  <c r="C249" i="19"/>
  <c r="D249" i="19"/>
  <c r="E249" i="19"/>
  <c r="F249" i="19"/>
  <c r="C250" i="19"/>
  <c r="D250" i="19"/>
  <c r="E250" i="19"/>
  <c r="F250" i="19"/>
  <c r="C251" i="19"/>
  <c r="D251" i="19"/>
  <c r="E251" i="19"/>
  <c r="F251" i="19"/>
  <c r="C252" i="19"/>
  <c r="D252" i="19"/>
  <c r="E252" i="19"/>
  <c r="F252" i="19"/>
  <c r="C253" i="19"/>
  <c r="D253" i="19"/>
  <c r="E253" i="19"/>
  <c r="F253" i="19"/>
  <c r="C254" i="19"/>
  <c r="D254" i="19"/>
  <c r="E254" i="19"/>
  <c r="F254" i="19"/>
  <c r="C255" i="19"/>
  <c r="D255" i="19"/>
  <c r="E255" i="19"/>
  <c r="F255" i="19"/>
  <c r="C256" i="19"/>
  <c r="D256" i="19"/>
  <c r="E256" i="19"/>
  <c r="F256" i="19"/>
  <c r="C257" i="19"/>
  <c r="D257" i="19"/>
  <c r="E257" i="19"/>
  <c r="F257" i="19"/>
  <c r="C258" i="19"/>
  <c r="D258" i="19"/>
  <c r="E258" i="19"/>
  <c r="F258" i="19"/>
  <c r="C259" i="19"/>
  <c r="D259" i="19"/>
  <c r="E259" i="19"/>
  <c r="F259" i="19"/>
  <c r="C260" i="19"/>
  <c r="D260" i="19"/>
  <c r="E260" i="19"/>
  <c r="F260" i="19"/>
  <c r="C261" i="19"/>
  <c r="D261" i="19"/>
  <c r="E261" i="19"/>
  <c r="F261" i="19"/>
  <c r="C262" i="19"/>
  <c r="D262" i="19"/>
  <c r="E262" i="19"/>
  <c r="F262" i="19"/>
  <c r="C263" i="19"/>
  <c r="D263" i="19"/>
  <c r="E263" i="19"/>
  <c r="F263" i="19"/>
  <c r="C264" i="19"/>
  <c r="D264" i="19"/>
  <c r="E264" i="19"/>
  <c r="F264" i="19"/>
  <c r="C265" i="19"/>
  <c r="D265" i="19"/>
  <c r="E265" i="19"/>
  <c r="F265" i="19"/>
  <c r="C266" i="19"/>
  <c r="D266" i="19"/>
  <c r="E266" i="19"/>
  <c r="F266" i="19"/>
  <c r="C267" i="19"/>
  <c r="D267" i="19"/>
  <c r="E267" i="19"/>
  <c r="F267" i="19"/>
  <c r="C268" i="19"/>
  <c r="D268" i="19"/>
  <c r="E268" i="19"/>
  <c r="F268" i="19"/>
  <c r="C269" i="19"/>
  <c r="D269" i="19"/>
  <c r="E269" i="19"/>
  <c r="F269" i="19"/>
  <c r="C270" i="19"/>
  <c r="D270" i="19"/>
  <c r="E270" i="19"/>
  <c r="F270" i="19"/>
  <c r="C271" i="19"/>
  <c r="D271" i="19"/>
  <c r="E271" i="19"/>
  <c r="F271" i="19"/>
  <c r="C272" i="19"/>
  <c r="D272" i="19"/>
  <c r="E272" i="19"/>
  <c r="F272" i="19"/>
  <c r="C273" i="19"/>
  <c r="D273" i="19"/>
  <c r="E273" i="19"/>
  <c r="F273" i="19"/>
  <c r="C274" i="19"/>
  <c r="D274" i="19"/>
  <c r="E274" i="19"/>
  <c r="F274" i="19"/>
  <c r="C275" i="19"/>
  <c r="D275" i="19"/>
  <c r="E275" i="19"/>
  <c r="F275" i="19"/>
  <c r="C276" i="19"/>
  <c r="D276" i="19"/>
  <c r="E276" i="19"/>
  <c r="F276" i="19"/>
  <c r="C277" i="19"/>
  <c r="D277" i="19"/>
  <c r="E277" i="19"/>
  <c r="F277" i="19"/>
  <c r="C278" i="19"/>
  <c r="D278" i="19"/>
  <c r="E278" i="19"/>
  <c r="F278" i="19"/>
  <c r="C279" i="19"/>
  <c r="D279" i="19"/>
  <c r="E279" i="19"/>
  <c r="F279" i="19"/>
  <c r="C280" i="19"/>
  <c r="D280" i="19"/>
  <c r="E280" i="19"/>
  <c r="F280" i="19"/>
  <c r="C281" i="19"/>
  <c r="D281" i="19"/>
  <c r="E281" i="19"/>
  <c r="F281" i="19"/>
  <c r="C282" i="19"/>
  <c r="D282" i="19"/>
  <c r="E282" i="19"/>
  <c r="F282" i="19"/>
  <c r="C283" i="19"/>
  <c r="D283" i="19"/>
  <c r="E283" i="19"/>
  <c r="F283" i="19"/>
  <c r="C284" i="19"/>
  <c r="D284" i="19"/>
  <c r="E284" i="19"/>
  <c r="F284" i="19"/>
  <c r="C285" i="19"/>
  <c r="D285" i="19"/>
  <c r="E285" i="19"/>
  <c r="F285" i="19"/>
  <c r="C286" i="19"/>
  <c r="D286" i="19"/>
  <c r="E286" i="19"/>
  <c r="F286" i="19"/>
  <c r="C287" i="19"/>
  <c r="D287" i="19"/>
  <c r="E287" i="19"/>
  <c r="F287" i="19"/>
  <c r="C288" i="19"/>
  <c r="D288" i="19"/>
  <c r="E288" i="19"/>
  <c r="F288" i="19"/>
  <c r="C289" i="19"/>
  <c r="D289" i="19"/>
  <c r="E289" i="19"/>
  <c r="F289" i="19"/>
  <c r="C290" i="19"/>
  <c r="D290" i="19"/>
  <c r="E290" i="19"/>
  <c r="F290" i="19"/>
  <c r="C291" i="19"/>
  <c r="D291" i="19"/>
  <c r="E291" i="19"/>
  <c r="F291" i="19"/>
  <c r="C292" i="19"/>
  <c r="D292" i="19"/>
  <c r="E292" i="19"/>
  <c r="F292" i="19"/>
  <c r="C293" i="19"/>
  <c r="D293" i="19"/>
  <c r="E293" i="19"/>
  <c r="F293" i="19"/>
  <c r="C294" i="19"/>
  <c r="D294" i="19"/>
  <c r="E294" i="19"/>
  <c r="F294" i="19"/>
  <c r="C295" i="19"/>
  <c r="D295" i="19"/>
  <c r="E295" i="19"/>
  <c r="F295" i="19"/>
  <c r="C296" i="19"/>
  <c r="D296" i="19"/>
  <c r="E296" i="19"/>
  <c r="F296" i="19"/>
  <c r="C297" i="19"/>
  <c r="D297" i="19"/>
  <c r="E297" i="19"/>
  <c r="F297" i="19"/>
  <c r="C298" i="19"/>
  <c r="D298" i="19"/>
  <c r="E298" i="19"/>
  <c r="F298" i="19"/>
  <c r="C299" i="19"/>
  <c r="D299" i="19"/>
  <c r="E299" i="19"/>
  <c r="F299" i="19"/>
  <c r="C300" i="19"/>
  <c r="D300" i="19"/>
  <c r="E300" i="19"/>
  <c r="F300" i="19"/>
  <c r="C301" i="19"/>
  <c r="D301" i="19"/>
  <c r="E301" i="19"/>
  <c r="F301" i="19"/>
  <c r="C302" i="19"/>
  <c r="D302" i="19"/>
  <c r="E302" i="19"/>
  <c r="F302" i="19"/>
  <c r="C303" i="19"/>
  <c r="D303" i="19"/>
  <c r="E303" i="19"/>
  <c r="F303" i="19"/>
  <c r="C304" i="19"/>
  <c r="D304" i="19"/>
  <c r="E304" i="19"/>
  <c r="F304" i="19"/>
  <c r="C305" i="19"/>
  <c r="D305" i="19"/>
  <c r="E305" i="19"/>
  <c r="F305" i="19"/>
  <c r="C306" i="19"/>
  <c r="D306" i="19"/>
  <c r="E306" i="19"/>
  <c r="F306" i="19"/>
  <c r="C307" i="19"/>
  <c r="D307" i="19"/>
  <c r="E307" i="19"/>
  <c r="F307" i="19"/>
  <c r="C308" i="19"/>
  <c r="D308" i="19"/>
  <c r="E308" i="19"/>
  <c r="F308" i="19"/>
  <c r="C309" i="19"/>
  <c r="D309" i="19"/>
  <c r="E309" i="19"/>
  <c r="F309" i="19"/>
  <c r="C310" i="19"/>
  <c r="D310" i="19"/>
  <c r="E310" i="19"/>
  <c r="F310" i="19"/>
  <c r="C311" i="19"/>
  <c r="D311" i="19"/>
  <c r="E311" i="19"/>
  <c r="F311" i="19"/>
  <c r="C312" i="19"/>
  <c r="D312" i="19"/>
  <c r="E312" i="19"/>
  <c r="F312" i="19"/>
  <c r="C313" i="19"/>
  <c r="D313" i="19"/>
  <c r="E313" i="19"/>
  <c r="F313" i="19"/>
  <c r="C314" i="19"/>
  <c r="D314" i="19"/>
  <c r="E314" i="19"/>
  <c r="F314" i="19"/>
  <c r="C315" i="19"/>
  <c r="D315" i="19"/>
  <c r="E315" i="19"/>
  <c r="F315" i="19"/>
  <c r="A8" i="19"/>
  <c r="A7" i="25" s="1"/>
  <c r="B8" i="19"/>
  <c r="B7" i="25" s="1"/>
  <c r="A9" i="19"/>
  <c r="A8" i="25" s="1"/>
  <c r="B9" i="19"/>
  <c r="B8" i="25" s="1"/>
  <c r="A10" i="19"/>
  <c r="A9" i="25" s="1"/>
  <c r="B10" i="19"/>
  <c r="B9" i="25" s="1"/>
  <c r="A11" i="19"/>
  <c r="A10" i="25" s="1"/>
  <c r="B11" i="19"/>
  <c r="B10" i="25" s="1"/>
  <c r="A12" i="19"/>
  <c r="A11" i="25" s="1"/>
  <c r="B12" i="19"/>
  <c r="B11" i="25" s="1"/>
  <c r="A13" i="19"/>
  <c r="A12" i="25" s="1"/>
  <c r="B13" i="19"/>
  <c r="B12" i="25" s="1"/>
  <c r="A14" i="19"/>
  <c r="A13" i="25" s="1"/>
  <c r="B14" i="19"/>
  <c r="B13" i="25" s="1"/>
  <c r="A15" i="19"/>
  <c r="A14" i="25" s="1"/>
  <c r="B15" i="19"/>
  <c r="B14" i="25" s="1"/>
  <c r="A16" i="19"/>
  <c r="A15" i="25" s="1"/>
  <c r="B16" i="19"/>
  <c r="B15" i="25" s="1"/>
  <c r="A17" i="19"/>
  <c r="A16" i="25" s="1"/>
  <c r="B17" i="19"/>
  <c r="B16" i="25" s="1"/>
  <c r="A18" i="19"/>
  <c r="A17" i="25" s="1"/>
  <c r="B18" i="19"/>
  <c r="B17" i="25" s="1"/>
  <c r="A19" i="19"/>
  <c r="A18" i="25" s="1"/>
  <c r="B19" i="19"/>
  <c r="B18" i="25" s="1"/>
  <c r="A20" i="19"/>
  <c r="A19" i="25" s="1"/>
  <c r="B20" i="19"/>
  <c r="B19" i="25" s="1"/>
  <c r="A21" i="19"/>
  <c r="A20" i="25" s="1"/>
  <c r="B21" i="19"/>
  <c r="B20" i="25" s="1"/>
  <c r="A22" i="19"/>
  <c r="A21" i="25" s="1"/>
  <c r="B22" i="19"/>
  <c r="B21" i="25" s="1"/>
  <c r="A23" i="19"/>
  <c r="A22" i="25" s="1"/>
  <c r="B23" i="19"/>
  <c r="B22" i="25" s="1"/>
  <c r="A24" i="19"/>
  <c r="A23" i="25" s="1"/>
  <c r="B24" i="19"/>
  <c r="B23" i="25" s="1"/>
  <c r="A25" i="19"/>
  <c r="A24" i="25" s="1"/>
  <c r="B25" i="19"/>
  <c r="B24" i="25" s="1"/>
  <c r="A26" i="19"/>
  <c r="A25" i="25" s="1"/>
  <c r="B26" i="19"/>
  <c r="B25" i="25" s="1"/>
  <c r="A27" i="19"/>
  <c r="A26" i="25" s="1"/>
  <c r="B27" i="19"/>
  <c r="B26" i="25" s="1"/>
  <c r="A28" i="19"/>
  <c r="A27" i="25" s="1"/>
  <c r="B28" i="19"/>
  <c r="B27" i="25" s="1"/>
  <c r="A29" i="19"/>
  <c r="A28" i="25" s="1"/>
  <c r="B29" i="19"/>
  <c r="B28" i="25" s="1"/>
  <c r="A30" i="19"/>
  <c r="A29" i="25" s="1"/>
  <c r="B30" i="19"/>
  <c r="B29" i="25" s="1"/>
  <c r="A31" i="19"/>
  <c r="A30" i="25" s="1"/>
  <c r="B31" i="19"/>
  <c r="B30" i="25" s="1"/>
  <c r="A32" i="19"/>
  <c r="A31" i="25" s="1"/>
  <c r="B32" i="19"/>
  <c r="B31" i="25" s="1"/>
  <c r="A33" i="19"/>
  <c r="A32" i="25" s="1"/>
  <c r="B33" i="19"/>
  <c r="B32" i="25" s="1"/>
  <c r="A34" i="19"/>
  <c r="A33" i="25" s="1"/>
  <c r="B34" i="19"/>
  <c r="B33" i="25" s="1"/>
  <c r="A35" i="19"/>
  <c r="A34" i="25" s="1"/>
  <c r="B35" i="19"/>
  <c r="B34" i="25" s="1"/>
  <c r="A36" i="19"/>
  <c r="A35" i="25" s="1"/>
  <c r="B36" i="19"/>
  <c r="B35" i="25" s="1"/>
  <c r="A37" i="19"/>
  <c r="A36" i="25" s="1"/>
  <c r="B37" i="19"/>
  <c r="B36" i="25" s="1"/>
  <c r="A38" i="19"/>
  <c r="A37" i="25" s="1"/>
  <c r="B38" i="19"/>
  <c r="B37" i="25" s="1"/>
  <c r="A39" i="19"/>
  <c r="A38" i="25" s="1"/>
  <c r="B39" i="19"/>
  <c r="B38" i="25" s="1"/>
  <c r="A40" i="19"/>
  <c r="A39" i="25" s="1"/>
  <c r="B40" i="19"/>
  <c r="B39" i="25" s="1"/>
  <c r="A41" i="19"/>
  <c r="A40" i="25" s="1"/>
  <c r="B41" i="19"/>
  <c r="B40" i="25" s="1"/>
  <c r="A42" i="19"/>
  <c r="A41" i="25" s="1"/>
  <c r="B42" i="19"/>
  <c r="B41" i="25" s="1"/>
  <c r="A43" i="19"/>
  <c r="A42" i="25" s="1"/>
  <c r="B43" i="19"/>
  <c r="B42" i="25" s="1"/>
  <c r="A44" i="19"/>
  <c r="A43" i="25" s="1"/>
  <c r="B44" i="19"/>
  <c r="B43" i="25" s="1"/>
  <c r="A45" i="19"/>
  <c r="A44" i="25" s="1"/>
  <c r="B45" i="19"/>
  <c r="B44" i="25" s="1"/>
  <c r="A46" i="19"/>
  <c r="A45" i="25" s="1"/>
  <c r="B46" i="19"/>
  <c r="B45" i="25" s="1"/>
  <c r="A47" i="19"/>
  <c r="A46" i="25" s="1"/>
  <c r="B47" i="19"/>
  <c r="B46" i="25" s="1"/>
  <c r="A48" i="19"/>
  <c r="A47" i="25" s="1"/>
  <c r="B48" i="19"/>
  <c r="B47" i="25" s="1"/>
  <c r="A49" i="19"/>
  <c r="A48" i="25" s="1"/>
  <c r="B49" i="19"/>
  <c r="B48" i="25" s="1"/>
  <c r="A50" i="19"/>
  <c r="A49" i="25" s="1"/>
  <c r="B50" i="19"/>
  <c r="B49" i="25" s="1"/>
  <c r="A51" i="19"/>
  <c r="A50" i="25" s="1"/>
  <c r="B51" i="19"/>
  <c r="B50" i="25" s="1"/>
  <c r="A52" i="19"/>
  <c r="A51" i="25" s="1"/>
  <c r="B52" i="19"/>
  <c r="B51" i="25" s="1"/>
  <c r="A53" i="19"/>
  <c r="A52" i="25" s="1"/>
  <c r="B53" i="19"/>
  <c r="B52" i="25" s="1"/>
  <c r="A54" i="19"/>
  <c r="A53" i="25" s="1"/>
  <c r="B54" i="19"/>
  <c r="B53" i="25" s="1"/>
  <c r="A55" i="19"/>
  <c r="A54" i="25" s="1"/>
  <c r="B55" i="19"/>
  <c r="B54" i="25" s="1"/>
  <c r="A56" i="19"/>
  <c r="A55" i="25" s="1"/>
  <c r="B56" i="19"/>
  <c r="B55" i="25" s="1"/>
  <c r="A57" i="19"/>
  <c r="A56" i="25" s="1"/>
  <c r="B57" i="19"/>
  <c r="B56" i="25" s="1"/>
  <c r="A58" i="19"/>
  <c r="A57" i="25" s="1"/>
  <c r="B58" i="19"/>
  <c r="B57" i="25" s="1"/>
  <c r="A59" i="19"/>
  <c r="A58" i="25" s="1"/>
  <c r="B59" i="19"/>
  <c r="B58" i="25" s="1"/>
  <c r="A60" i="19"/>
  <c r="A59" i="25" s="1"/>
  <c r="B60" i="19"/>
  <c r="B59" i="25" s="1"/>
  <c r="A61" i="19"/>
  <c r="A60" i="25" s="1"/>
  <c r="B61" i="19"/>
  <c r="B60" i="25" s="1"/>
  <c r="A62" i="19"/>
  <c r="A61" i="25" s="1"/>
  <c r="B62" i="19"/>
  <c r="B61" i="25" s="1"/>
  <c r="A63" i="19"/>
  <c r="A62" i="25" s="1"/>
  <c r="B63" i="19"/>
  <c r="B62" i="25" s="1"/>
  <c r="A64" i="19"/>
  <c r="A63" i="25" s="1"/>
  <c r="B64" i="19"/>
  <c r="B63" i="25" s="1"/>
  <c r="A65" i="19"/>
  <c r="A64" i="25" s="1"/>
  <c r="B65" i="19"/>
  <c r="B64" i="25" s="1"/>
  <c r="A66" i="19"/>
  <c r="A65" i="25" s="1"/>
  <c r="B66" i="19"/>
  <c r="B65" i="25" s="1"/>
  <c r="A67" i="19"/>
  <c r="A66" i="25" s="1"/>
  <c r="B67" i="19"/>
  <c r="B66" i="25" s="1"/>
  <c r="A68" i="19"/>
  <c r="A67" i="25" s="1"/>
  <c r="B68" i="19"/>
  <c r="B67" i="25" s="1"/>
  <c r="A69" i="19"/>
  <c r="A68" i="25" s="1"/>
  <c r="B69" i="19"/>
  <c r="B68" i="25" s="1"/>
  <c r="A70" i="19"/>
  <c r="A69" i="25" s="1"/>
  <c r="B70" i="19"/>
  <c r="B69" i="25" s="1"/>
  <c r="A71" i="19"/>
  <c r="A70" i="25" s="1"/>
  <c r="B71" i="19"/>
  <c r="B70" i="25" s="1"/>
  <c r="A72" i="19"/>
  <c r="A71" i="25" s="1"/>
  <c r="B72" i="19"/>
  <c r="B71" i="25" s="1"/>
  <c r="A73" i="19"/>
  <c r="A72" i="25" s="1"/>
  <c r="B73" i="19"/>
  <c r="B72" i="25" s="1"/>
  <c r="A74" i="19"/>
  <c r="A73" i="25" s="1"/>
  <c r="B74" i="19"/>
  <c r="B73" i="25" s="1"/>
  <c r="A75" i="19"/>
  <c r="A74" i="25" s="1"/>
  <c r="B75" i="19"/>
  <c r="B74" i="25" s="1"/>
  <c r="A76" i="19"/>
  <c r="A75" i="25" s="1"/>
  <c r="B76" i="19"/>
  <c r="B75" i="25" s="1"/>
  <c r="A77" i="19"/>
  <c r="A76" i="25" s="1"/>
  <c r="B77" i="19"/>
  <c r="B76" i="25" s="1"/>
  <c r="A78" i="19"/>
  <c r="A77" i="25" s="1"/>
  <c r="B78" i="19"/>
  <c r="B77" i="25" s="1"/>
  <c r="A79" i="19"/>
  <c r="A78" i="25" s="1"/>
  <c r="B79" i="19"/>
  <c r="B78" i="25" s="1"/>
  <c r="A80" i="19"/>
  <c r="A79" i="25" s="1"/>
  <c r="B80" i="19"/>
  <c r="B79" i="25" s="1"/>
  <c r="A81" i="19"/>
  <c r="A80" i="25" s="1"/>
  <c r="B81" i="19"/>
  <c r="B80" i="25" s="1"/>
  <c r="A82" i="19"/>
  <c r="A81" i="25" s="1"/>
  <c r="B82" i="19"/>
  <c r="B81" i="25" s="1"/>
  <c r="A83" i="19"/>
  <c r="A82" i="25" s="1"/>
  <c r="B83" i="19"/>
  <c r="B82" i="25" s="1"/>
  <c r="A84" i="19"/>
  <c r="A83" i="25" s="1"/>
  <c r="B84" i="19"/>
  <c r="B83" i="25" s="1"/>
  <c r="A85" i="19"/>
  <c r="A84" i="25" s="1"/>
  <c r="B85" i="19"/>
  <c r="B84" i="25" s="1"/>
  <c r="A86" i="19"/>
  <c r="A85" i="25" s="1"/>
  <c r="B86" i="19"/>
  <c r="B85" i="25" s="1"/>
  <c r="A87" i="19"/>
  <c r="A86" i="25" s="1"/>
  <c r="B87" i="19"/>
  <c r="B86" i="25" s="1"/>
  <c r="A88" i="19"/>
  <c r="A87" i="25" s="1"/>
  <c r="B88" i="19"/>
  <c r="B87" i="25" s="1"/>
  <c r="A89" i="19"/>
  <c r="A88" i="25" s="1"/>
  <c r="B89" i="19"/>
  <c r="B88" i="25" s="1"/>
  <c r="A90" i="19"/>
  <c r="A89" i="25" s="1"/>
  <c r="B90" i="19"/>
  <c r="B89" i="25" s="1"/>
  <c r="A91" i="19"/>
  <c r="A90" i="25" s="1"/>
  <c r="B91" i="19"/>
  <c r="B90" i="25" s="1"/>
  <c r="A92" i="19"/>
  <c r="A91" i="25" s="1"/>
  <c r="B92" i="19"/>
  <c r="B91" i="25" s="1"/>
  <c r="A93" i="19"/>
  <c r="A92" i="25" s="1"/>
  <c r="B93" i="19"/>
  <c r="B92" i="25" s="1"/>
  <c r="A94" i="19"/>
  <c r="A93" i="25" s="1"/>
  <c r="B94" i="19"/>
  <c r="B93" i="25" s="1"/>
  <c r="A95" i="19"/>
  <c r="A94" i="25" s="1"/>
  <c r="B95" i="19"/>
  <c r="B94" i="25" s="1"/>
  <c r="A96" i="19"/>
  <c r="A95" i="25" s="1"/>
  <c r="B96" i="19"/>
  <c r="B95" i="25" s="1"/>
  <c r="A97" i="19"/>
  <c r="A96" i="25" s="1"/>
  <c r="B97" i="19"/>
  <c r="B96" i="25" s="1"/>
  <c r="A98" i="19"/>
  <c r="A97" i="25" s="1"/>
  <c r="B98" i="19"/>
  <c r="B97" i="25" s="1"/>
  <c r="A99" i="19"/>
  <c r="A98" i="25" s="1"/>
  <c r="B99" i="19"/>
  <c r="B98" i="25" s="1"/>
  <c r="A100" i="19"/>
  <c r="A99" i="25" s="1"/>
  <c r="B100" i="19"/>
  <c r="B99" i="25" s="1"/>
  <c r="A101" i="19"/>
  <c r="A100" i="25" s="1"/>
  <c r="B101" i="19"/>
  <c r="B100" i="25" s="1"/>
  <c r="A102" i="19"/>
  <c r="A101" i="25" s="1"/>
  <c r="B102" i="19"/>
  <c r="B101" i="25" s="1"/>
  <c r="A103" i="19"/>
  <c r="A102" i="25" s="1"/>
  <c r="B103" i="19"/>
  <c r="B102" i="25" s="1"/>
  <c r="A104" i="19"/>
  <c r="A103" i="25" s="1"/>
  <c r="B104" i="19"/>
  <c r="B103" i="25" s="1"/>
  <c r="A105" i="19"/>
  <c r="A104" i="25" s="1"/>
  <c r="B105" i="19"/>
  <c r="B104" i="25" s="1"/>
  <c r="A106" i="19"/>
  <c r="A105" i="25" s="1"/>
  <c r="B106" i="19"/>
  <c r="B105" i="25" s="1"/>
  <c r="A107" i="19"/>
  <c r="A106" i="25" s="1"/>
  <c r="B107" i="19"/>
  <c r="B106" i="25" s="1"/>
  <c r="A108" i="19"/>
  <c r="A107" i="25" s="1"/>
  <c r="B108" i="19"/>
  <c r="B107" i="25" s="1"/>
  <c r="A109" i="19"/>
  <c r="A108" i="25" s="1"/>
  <c r="B109" i="19"/>
  <c r="B108" i="25" s="1"/>
  <c r="A110" i="19"/>
  <c r="A109" i="25" s="1"/>
  <c r="B110" i="19"/>
  <c r="B109" i="25" s="1"/>
  <c r="A111" i="19"/>
  <c r="A110" i="25" s="1"/>
  <c r="B111" i="19"/>
  <c r="B110" i="25" s="1"/>
  <c r="A112" i="19"/>
  <c r="A111" i="25" s="1"/>
  <c r="B112" i="19"/>
  <c r="B111" i="25" s="1"/>
  <c r="A113" i="19"/>
  <c r="A112" i="25" s="1"/>
  <c r="B113" i="19"/>
  <c r="B112" i="25" s="1"/>
  <c r="A114" i="19"/>
  <c r="A113" i="25" s="1"/>
  <c r="B114" i="19"/>
  <c r="B113" i="25" s="1"/>
  <c r="A115" i="19"/>
  <c r="A114" i="25" s="1"/>
  <c r="B115" i="19"/>
  <c r="B114" i="25" s="1"/>
  <c r="A116" i="19"/>
  <c r="A115" i="25" s="1"/>
  <c r="B116" i="19"/>
  <c r="B115" i="25" s="1"/>
  <c r="A117" i="19"/>
  <c r="A116" i="25" s="1"/>
  <c r="B117" i="19"/>
  <c r="B116" i="25" s="1"/>
  <c r="A118" i="19"/>
  <c r="A117" i="25" s="1"/>
  <c r="B118" i="19"/>
  <c r="B117" i="25" s="1"/>
  <c r="A119" i="19"/>
  <c r="A118" i="25" s="1"/>
  <c r="B119" i="19"/>
  <c r="B118" i="25" s="1"/>
  <c r="A120" i="19"/>
  <c r="A119" i="25" s="1"/>
  <c r="B120" i="19"/>
  <c r="B119" i="25" s="1"/>
  <c r="A121" i="19"/>
  <c r="A120" i="25" s="1"/>
  <c r="B121" i="19"/>
  <c r="B120" i="25" s="1"/>
  <c r="A122" i="19"/>
  <c r="A121" i="25" s="1"/>
  <c r="B122" i="19"/>
  <c r="B121" i="25" s="1"/>
  <c r="A123" i="19"/>
  <c r="A122" i="25" s="1"/>
  <c r="B123" i="19"/>
  <c r="B122" i="25" s="1"/>
  <c r="A124" i="19"/>
  <c r="A123" i="25" s="1"/>
  <c r="B124" i="19"/>
  <c r="B123" i="25" s="1"/>
  <c r="A125" i="19"/>
  <c r="A124" i="25" s="1"/>
  <c r="B125" i="19"/>
  <c r="B124" i="25" s="1"/>
  <c r="A126" i="19"/>
  <c r="A125" i="25" s="1"/>
  <c r="B126" i="19"/>
  <c r="B125" i="25" s="1"/>
  <c r="A127" i="19"/>
  <c r="A126" i="25" s="1"/>
  <c r="B127" i="19"/>
  <c r="B126" i="25" s="1"/>
  <c r="A128" i="19"/>
  <c r="A127" i="25" s="1"/>
  <c r="B128" i="19"/>
  <c r="B127" i="25" s="1"/>
  <c r="A129" i="19"/>
  <c r="A128" i="25" s="1"/>
  <c r="B129" i="19"/>
  <c r="B128" i="25" s="1"/>
  <c r="A130" i="19"/>
  <c r="A129" i="25" s="1"/>
  <c r="B130" i="19"/>
  <c r="B129" i="25" s="1"/>
  <c r="A131" i="19"/>
  <c r="A130" i="25" s="1"/>
  <c r="B131" i="19"/>
  <c r="B130" i="25" s="1"/>
  <c r="A132" i="19"/>
  <c r="A131" i="25" s="1"/>
  <c r="B132" i="19"/>
  <c r="B131" i="25" s="1"/>
  <c r="A133" i="19"/>
  <c r="A132" i="25" s="1"/>
  <c r="B133" i="19"/>
  <c r="B132" i="25" s="1"/>
  <c r="A134" i="19"/>
  <c r="A133" i="25" s="1"/>
  <c r="B134" i="19"/>
  <c r="B133" i="25" s="1"/>
  <c r="A135" i="19"/>
  <c r="A134" i="25" s="1"/>
  <c r="B135" i="19"/>
  <c r="B134" i="25" s="1"/>
  <c r="A136" i="19"/>
  <c r="A135" i="25" s="1"/>
  <c r="B136" i="19"/>
  <c r="B135" i="25" s="1"/>
  <c r="A137" i="19"/>
  <c r="A136" i="25" s="1"/>
  <c r="B137" i="19"/>
  <c r="B136" i="25" s="1"/>
  <c r="A138" i="19"/>
  <c r="A137" i="25" s="1"/>
  <c r="B138" i="19"/>
  <c r="B137" i="25" s="1"/>
  <c r="A139" i="19"/>
  <c r="A138" i="25" s="1"/>
  <c r="B139" i="19"/>
  <c r="B138" i="25" s="1"/>
  <c r="A140" i="19"/>
  <c r="A139" i="25" s="1"/>
  <c r="B140" i="19"/>
  <c r="B139" i="25" s="1"/>
  <c r="A141" i="19"/>
  <c r="A140" i="25" s="1"/>
  <c r="B141" i="19"/>
  <c r="B140" i="25" s="1"/>
  <c r="A142" i="19"/>
  <c r="A141" i="25" s="1"/>
  <c r="B142" i="19"/>
  <c r="B141" i="25" s="1"/>
  <c r="A143" i="19"/>
  <c r="A142" i="25" s="1"/>
  <c r="B143" i="19"/>
  <c r="B142" i="25" s="1"/>
  <c r="A144" i="19"/>
  <c r="A143" i="25" s="1"/>
  <c r="B144" i="19"/>
  <c r="B143" i="25" s="1"/>
  <c r="A145" i="19"/>
  <c r="A144" i="25" s="1"/>
  <c r="B145" i="19"/>
  <c r="B144" i="25" s="1"/>
  <c r="A146" i="19"/>
  <c r="A145" i="25" s="1"/>
  <c r="B146" i="19"/>
  <c r="B145" i="25" s="1"/>
  <c r="A147" i="19"/>
  <c r="A146" i="25" s="1"/>
  <c r="B147" i="19"/>
  <c r="B146" i="25" s="1"/>
  <c r="A148" i="19"/>
  <c r="A147" i="25" s="1"/>
  <c r="B148" i="19"/>
  <c r="B147" i="25" s="1"/>
  <c r="A149" i="19"/>
  <c r="A148" i="25" s="1"/>
  <c r="B149" i="19"/>
  <c r="B148" i="25" s="1"/>
  <c r="A150" i="19"/>
  <c r="A149" i="25" s="1"/>
  <c r="B150" i="19"/>
  <c r="B149" i="25" s="1"/>
  <c r="A151" i="19"/>
  <c r="A150" i="25" s="1"/>
  <c r="B151" i="19"/>
  <c r="B150" i="25" s="1"/>
  <c r="A152" i="19"/>
  <c r="A151" i="25" s="1"/>
  <c r="B152" i="19"/>
  <c r="B151" i="25" s="1"/>
  <c r="A153" i="19"/>
  <c r="A152" i="25" s="1"/>
  <c r="B153" i="19"/>
  <c r="B152" i="25" s="1"/>
  <c r="A154" i="19"/>
  <c r="A153" i="25" s="1"/>
  <c r="B154" i="19"/>
  <c r="B153" i="25" s="1"/>
  <c r="A155" i="19"/>
  <c r="A154" i="25" s="1"/>
  <c r="B155" i="19"/>
  <c r="B154" i="25" s="1"/>
  <c r="A156" i="19"/>
  <c r="A155" i="25" s="1"/>
  <c r="B156" i="19"/>
  <c r="B155" i="25" s="1"/>
  <c r="A157" i="19"/>
  <c r="A156" i="25" s="1"/>
  <c r="B157" i="19"/>
  <c r="B156" i="25" s="1"/>
  <c r="A158" i="19"/>
  <c r="A157" i="25" s="1"/>
  <c r="B158" i="19"/>
  <c r="B157" i="25" s="1"/>
  <c r="A159" i="19"/>
  <c r="A158" i="25" s="1"/>
  <c r="B159" i="19"/>
  <c r="B158" i="25" s="1"/>
  <c r="A160" i="19"/>
  <c r="A159" i="25" s="1"/>
  <c r="B160" i="19"/>
  <c r="B159" i="25" s="1"/>
  <c r="A161" i="19"/>
  <c r="A160" i="25" s="1"/>
  <c r="B161" i="19"/>
  <c r="B160" i="25" s="1"/>
  <c r="A162" i="19"/>
  <c r="A161" i="25" s="1"/>
  <c r="B162" i="19"/>
  <c r="B161" i="25" s="1"/>
  <c r="A163" i="19"/>
  <c r="A162" i="25" s="1"/>
  <c r="B163" i="19"/>
  <c r="B162" i="25" s="1"/>
  <c r="A164" i="19"/>
  <c r="A163" i="25" s="1"/>
  <c r="B164" i="19"/>
  <c r="B163" i="25" s="1"/>
  <c r="A165" i="19"/>
  <c r="A164" i="25" s="1"/>
  <c r="B165" i="19"/>
  <c r="B164" i="25" s="1"/>
  <c r="A166" i="19"/>
  <c r="A165" i="25" s="1"/>
  <c r="B166" i="19"/>
  <c r="B165" i="25" s="1"/>
  <c r="A167" i="19"/>
  <c r="A166" i="25" s="1"/>
  <c r="B167" i="19"/>
  <c r="B166" i="25" s="1"/>
  <c r="A168" i="19"/>
  <c r="A167" i="25" s="1"/>
  <c r="B168" i="19"/>
  <c r="B167" i="25" s="1"/>
  <c r="A169" i="19"/>
  <c r="A168" i="25" s="1"/>
  <c r="B169" i="19"/>
  <c r="B168" i="25" s="1"/>
  <c r="A170" i="19"/>
  <c r="A169" i="25" s="1"/>
  <c r="B170" i="19"/>
  <c r="B169" i="25" s="1"/>
  <c r="A171" i="19"/>
  <c r="A170" i="25" s="1"/>
  <c r="B171" i="19"/>
  <c r="B170" i="25" s="1"/>
  <c r="A172" i="19"/>
  <c r="A171" i="25" s="1"/>
  <c r="B172" i="19"/>
  <c r="B171" i="25" s="1"/>
  <c r="A173" i="19"/>
  <c r="A172" i="25" s="1"/>
  <c r="B173" i="19"/>
  <c r="B172" i="25" s="1"/>
  <c r="A174" i="19"/>
  <c r="A173" i="25" s="1"/>
  <c r="B174" i="19"/>
  <c r="B173" i="25" s="1"/>
  <c r="A175" i="19"/>
  <c r="A174" i="25" s="1"/>
  <c r="B175" i="19"/>
  <c r="B174" i="25" s="1"/>
  <c r="A176" i="19"/>
  <c r="A175" i="25" s="1"/>
  <c r="B176" i="19"/>
  <c r="B175" i="25" s="1"/>
  <c r="A177" i="19"/>
  <c r="A176" i="25" s="1"/>
  <c r="B177" i="19"/>
  <c r="B176" i="25" s="1"/>
  <c r="A178" i="19"/>
  <c r="A177" i="25" s="1"/>
  <c r="B178" i="19"/>
  <c r="B177" i="25" s="1"/>
  <c r="A179" i="19"/>
  <c r="A178" i="25" s="1"/>
  <c r="B179" i="19"/>
  <c r="B178" i="25" s="1"/>
  <c r="A180" i="19"/>
  <c r="A179" i="25" s="1"/>
  <c r="B180" i="19"/>
  <c r="B179" i="25" s="1"/>
  <c r="A181" i="19"/>
  <c r="A180" i="25" s="1"/>
  <c r="B181" i="19"/>
  <c r="B180" i="25" s="1"/>
  <c r="A182" i="19"/>
  <c r="A181" i="25" s="1"/>
  <c r="B182" i="19"/>
  <c r="B181" i="25" s="1"/>
  <c r="A183" i="19"/>
  <c r="A182" i="25" s="1"/>
  <c r="B183" i="19"/>
  <c r="B182" i="25" s="1"/>
  <c r="A184" i="19"/>
  <c r="A183" i="25" s="1"/>
  <c r="B184" i="19"/>
  <c r="B183" i="25" s="1"/>
  <c r="A185" i="19"/>
  <c r="A184" i="25" s="1"/>
  <c r="B185" i="19"/>
  <c r="B184" i="25" s="1"/>
  <c r="A186" i="19"/>
  <c r="A185" i="25" s="1"/>
  <c r="B186" i="19"/>
  <c r="B185" i="25" s="1"/>
  <c r="A187" i="19"/>
  <c r="A186" i="25" s="1"/>
  <c r="B187" i="19"/>
  <c r="B186" i="25" s="1"/>
  <c r="A188" i="19"/>
  <c r="A187" i="25" s="1"/>
  <c r="B188" i="19"/>
  <c r="B187" i="25" s="1"/>
  <c r="A189" i="19"/>
  <c r="A188" i="25" s="1"/>
  <c r="B189" i="19"/>
  <c r="B188" i="25" s="1"/>
  <c r="A190" i="19"/>
  <c r="A189" i="25" s="1"/>
  <c r="B190" i="19"/>
  <c r="B189" i="25" s="1"/>
  <c r="A191" i="19"/>
  <c r="A190" i="25" s="1"/>
  <c r="B191" i="19"/>
  <c r="B190" i="25" s="1"/>
  <c r="A192" i="19"/>
  <c r="A191" i="25" s="1"/>
  <c r="B192" i="19"/>
  <c r="B191" i="25" s="1"/>
  <c r="A193" i="19"/>
  <c r="A192" i="25" s="1"/>
  <c r="B193" i="19"/>
  <c r="B192" i="25" s="1"/>
  <c r="A194" i="19"/>
  <c r="A193" i="25" s="1"/>
  <c r="B194" i="19"/>
  <c r="B193" i="25" s="1"/>
  <c r="A195" i="19"/>
  <c r="A194" i="25" s="1"/>
  <c r="B195" i="19"/>
  <c r="B194" i="25" s="1"/>
  <c r="A196" i="19"/>
  <c r="A195" i="25" s="1"/>
  <c r="B196" i="19"/>
  <c r="B195" i="25" s="1"/>
  <c r="A197" i="19"/>
  <c r="A196" i="25" s="1"/>
  <c r="B197" i="19"/>
  <c r="B196" i="25" s="1"/>
  <c r="A198" i="19"/>
  <c r="A197" i="25" s="1"/>
  <c r="B198" i="19"/>
  <c r="B197" i="25" s="1"/>
  <c r="A199" i="19"/>
  <c r="A198" i="25" s="1"/>
  <c r="B199" i="19"/>
  <c r="B198" i="25" s="1"/>
  <c r="A200" i="19"/>
  <c r="A199" i="25" s="1"/>
  <c r="B200" i="19"/>
  <c r="B199" i="25" s="1"/>
  <c r="A201" i="19"/>
  <c r="A200" i="25" s="1"/>
  <c r="B201" i="19"/>
  <c r="B200" i="25" s="1"/>
  <c r="A202" i="19"/>
  <c r="A201" i="25" s="1"/>
  <c r="B202" i="19"/>
  <c r="B201" i="25" s="1"/>
  <c r="A203" i="19"/>
  <c r="A202" i="25" s="1"/>
  <c r="B203" i="19"/>
  <c r="B202" i="25" s="1"/>
  <c r="A204" i="19"/>
  <c r="A203" i="25" s="1"/>
  <c r="B204" i="19"/>
  <c r="B203" i="25" s="1"/>
  <c r="A205" i="19"/>
  <c r="A204" i="25" s="1"/>
  <c r="B205" i="19"/>
  <c r="B204" i="25" s="1"/>
  <c r="A206" i="19"/>
  <c r="A205" i="25" s="1"/>
  <c r="B206" i="19"/>
  <c r="B205" i="25" s="1"/>
  <c r="A207" i="19"/>
  <c r="A206" i="25" s="1"/>
  <c r="B207" i="19"/>
  <c r="B206" i="25" s="1"/>
  <c r="A208" i="19"/>
  <c r="A207" i="25" s="1"/>
  <c r="B208" i="19"/>
  <c r="B207" i="25" s="1"/>
  <c r="A209" i="19"/>
  <c r="A208" i="25" s="1"/>
  <c r="B209" i="19"/>
  <c r="B208" i="25" s="1"/>
  <c r="A210" i="19"/>
  <c r="A209" i="25" s="1"/>
  <c r="B210" i="19"/>
  <c r="B209" i="25" s="1"/>
  <c r="A211" i="19"/>
  <c r="A210" i="25" s="1"/>
  <c r="B211" i="19"/>
  <c r="B210" i="25" s="1"/>
  <c r="A212" i="19"/>
  <c r="A211" i="25" s="1"/>
  <c r="B212" i="19"/>
  <c r="B211" i="25" s="1"/>
  <c r="A213" i="19"/>
  <c r="A212" i="25" s="1"/>
  <c r="B213" i="19"/>
  <c r="B212" i="25" s="1"/>
  <c r="A214" i="19"/>
  <c r="A213" i="25" s="1"/>
  <c r="B214" i="19"/>
  <c r="B213" i="25" s="1"/>
  <c r="A215" i="19"/>
  <c r="A214" i="25" s="1"/>
  <c r="B215" i="19"/>
  <c r="B214" i="25" s="1"/>
  <c r="A216" i="19"/>
  <c r="A215" i="25" s="1"/>
  <c r="B216" i="19"/>
  <c r="B215" i="25" s="1"/>
  <c r="A217" i="19"/>
  <c r="A216" i="25" s="1"/>
  <c r="B217" i="19"/>
  <c r="B216" i="25" s="1"/>
  <c r="A218" i="19"/>
  <c r="A217" i="25" s="1"/>
  <c r="B218" i="19"/>
  <c r="B217" i="25" s="1"/>
  <c r="A219" i="19"/>
  <c r="A218" i="25" s="1"/>
  <c r="B219" i="19"/>
  <c r="B218" i="25" s="1"/>
  <c r="A220" i="19"/>
  <c r="A219" i="25" s="1"/>
  <c r="B220" i="19"/>
  <c r="B219" i="25" s="1"/>
  <c r="A221" i="19"/>
  <c r="A220" i="25" s="1"/>
  <c r="B221" i="19"/>
  <c r="B220" i="25" s="1"/>
  <c r="A222" i="19"/>
  <c r="A221" i="25" s="1"/>
  <c r="B222" i="19"/>
  <c r="B221" i="25" s="1"/>
  <c r="A223" i="19"/>
  <c r="A222" i="25" s="1"/>
  <c r="B223" i="19"/>
  <c r="B222" i="25" s="1"/>
  <c r="A224" i="19"/>
  <c r="A223" i="25" s="1"/>
  <c r="B224" i="19"/>
  <c r="B223" i="25" s="1"/>
  <c r="A225" i="19"/>
  <c r="A224" i="25" s="1"/>
  <c r="B225" i="19"/>
  <c r="B224" i="25" s="1"/>
  <c r="A226" i="19"/>
  <c r="A225" i="25" s="1"/>
  <c r="B226" i="19"/>
  <c r="B225" i="25" s="1"/>
  <c r="A227" i="19"/>
  <c r="A226" i="25" s="1"/>
  <c r="B227" i="19"/>
  <c r="B226" i="25" s="1"/>
  <c r="A228" i="19"/>
  <c r="A227" i="25" s="1"/>
  <c r="B228" i="19"/>
  <c r="B227" i="25" s="1"/>
  <c r="A229" i="19"/>
  <c r="A228" i="25" s="1"/>
  <c r="B229" i="19"/>
  <c r="B228" i="25" s="1"/>
  <c r="A230" i="19"/>
  <c r="A229" i="25" s="1"/>
  <c r="B230" i="19"/>
  <c r="B229" i="25" s="1"/>
  <c r="A231" i="19"/>
  <c r="A230" i="25" s="1"/>
  <c r="B231" i="19"/>
  <c r="B230" i="25" s="1"/>
  <c r="A232" i="19"/>
  <c r="A231" i="25" s="1"/>
  <c r="B232" i="19"/>
  <c r="B231" i="25" s="1"/>
  <c r="A233" i="19"/>
  <c r="A232" i="25" s="1"/>
  <c r="B233" i="19"/>
  <c r="B232" i="25" s="1"/>
  <c r="A234" i="19"/>
  <c r="A233" i="25" s="1"/>
  <c r="B234" i="19"/>
  <c r="B233" i="25" s="1"/>
  <c r="A235" i="19"/>
  <c r="A234" i="25" s="1"/>
  <c r="B235" i="19"/>
  <c r="B234" i="25" s="1"/>
  <c r="A236" i="19"/>
  <c r="A235" i="25" s="1"/>
  <c r="B236" i="19"/>
  <c r="B235" i="25" s="1"/>
  <c r="A237" i="19"/>
  <c r="A236" i="25" s="1"/>
  <c r="B237" i="19"/>
  <c r="B236" i="25" s="1"/>
  <c r="A238" i="19"/>
  <c r="A237" i="25" s="1"/>
  <c r="B238" i="19"/>
  <c r="B237" i="25" s="1"/>
  <c r="A239" i="19"/>
  <c r="A238" i="25" s="1"/>
  <c r="B239" i="19"/>
  <c r="B238" i="25" s="1"/>
  <c r="A240" i="19"/>
  <c r="A239" i="25" s="1"/>
  <c r="B240" i="19"/>
  <c r="B239" i="25" s="1"/>
  <c r="A241" i="19"/>
  <c r="A240" i="25" s="1"/>
  <c r="B241" i="19"/>
  <c r="B240" i="25" s="1"/>
  <c r="A242" i="19"/>
  <c r="A241" i="25" s="1"/>
  <c r="B242" i="19"/>
  <c r="B241" i="25" s="1"/>
  <c r="A243" i="19"/>
  <c r="A242" i="25" s="1"/>
  <c r="B243" i="19"/>
  <c r="B242" i="25" s="1"/>
  <c r="A244" i="19"/>
  <c r="A243" i="25" s="1"/>
  <c r="B244" i="19"/>
  <c r="B243" i="25" s="1"/>
  <c r="A245" i="19"/>
  <c r="A244" i="25" s="1"/>
  <c r="B245" i="19"/>
  <c r="B244" i="25" s="1"/>
  <c r="A246" i="19"/>
  <c r="A245" i="25" s="1"/>
  <c r="B246" i="19"/>
  <c r="B245" i="25" s="1"/>
  <c r="A247" i="19"/>
  <c r="A246" i="25" s="1"/>
  <c r="B247" i="19"/>
  <c r="B246" i="25" s="1"/>
  <c r="A248" i="19"/>
  <c r="A247" i="25" s="1"/>
  <c r="B248" i="19"/>
  <c r="B247" i="25" s="1"/>
  <c r="A249" i="19"/>
  <c r="A248" i="25" s="1"/>
  <c r="B249" i="19"/>
  <c r="B248" i="25" s="1"/>
  <c r="A250" i="19"/>
  <c r="A249" i="25" s="1"/>
  <c r="B250" i="19"/>
  <c r="B249" i="25" s="1"/>
  <c r="A251" i="19"/>
  <c r="A250" i="25" s="1"/>
  <c r="B251" i="19"/>
  <c r="B250" i="25" s="1"/>
  <c r="A252" i="19"/>
  <c r="A251" i="25" s="1"/>
  <c r="B252" i="19"/>
  <c r="B251" i="25" s="1"/>
  <c r="A253" i="19"/>
  <c r="A252" i="25" s="1"/>
  <c r="B253" i="19"/>
  <c r="B252" i="25" s="1"/>
  <c r="A254" i="19"/>
  <c r="A253" i="25" s="1"/>
  <c r="B254" i="19"/>
  <c r="B253" i="25" s="1"/>
  <c r="A255" i="19"/>
  <c r="A254" i="25" s="1"/>
  <c r="B255" i="19"/>
  <c r="B254" i="25" s="1"/>
  <c r="A256" i="19"/>
  <c r="A255" i="25" s="1"/>
  <c r="B256" i="19"/>
  <c r="B255" i="25" s="1"/>
  <c r="A257" i="19"/>
  <c r="A256" i="25" s="1"/>
  <c r="B257" i="19"/>
  <c r="B256" i="25" s="1"/>
  <c r="A258" i="19"/>
  <c r="A257" i="25" s="1"/>
  <c r="B258" i="19"/>
  <c r="B257" i="25" s="1"/>
  <c r="A259" i="19"/>
  <c r="A258" i="25" s="1"/>
  <c r="B259" i="19"/>
  <c r="B258" i="25" s="1"/>
  <c r="A260" i="19"/>
  <c r="A259" i="25" s="1"/>
  <c r="B260" i="19"/>
  <c r="B259" i="25" s="1"/>
  <c r="A261" i="19"/>
  <c r="A260" i="25" s="1"/>
  <c r="B261" i="19"/>
  <c r="B260" i="25" s="1"/>
  <c r="A262" i="19"/>
  <c r="A261" i="25" s="1"/>
  <c r="B262" i="19"/>
  <c r="B261" i="25" s="1"/>
  <c r="A263" i="19"/>
  <c r="A262" i="25" s="1"/>
  <c r="B263" i="19"/>
  <c r="B262" i="25" s="1"/>
  <c r="A264" i="19"/>
  <c r="A263" i="25" s="1"/>
  <c r="B264" i="19"/>
  <c r="B263" i="25" s="1"/>
  <c r="A265" i="19"/>
  <c r="A264" i="25" s="1"/>
  <c r="B265" i="19"/>
  <c r="B264" i="25" s="1"/>
  <c r="A266" i="19"/>
  <c r="A265" i="25" s="1"/>
  <c r="B266" i="19"/>
  <c r="B265" i="25" s="1"/>
  <c r="A267" i="19"/>
  <c r="A266" i="25" s="1"/>
  <c r="B267" i="19"/>
  <c r="B266" i="25" s="1"/>
  <c r="A268" i="19"/>
  <c r="A267" i="25" s="1"/>
  <c r="B268" i="19"/>
  <c r="B267" i="25" s="1"/>
  <c r="A269" i="19"/>
  <c r="A268" i="25" s="1"/>
  <c r="B269" i="19"/>
  <c r="B268" i="25" s="1"/>
  <c r="A270" i="19"/>
  <c r="A269" i="25" s="1"/>
  <c r="B270" i="19"/>
  <c r="B269" i="25" s="1"/>
  <c r="A271" i="19"/>
  <c r="A270" i="25" s="1"/>
  <c r="B271" i="19"/>
  <c r="B270" i="25" s="1"/>
  <c r="A272" i="19"/>
  <c r="A271" i="25" s="1"/>
  <c r="B272" i="19"/>
  <c r="B271" i="25" s="1"/>
  <c r="A273" i="19"/>
  <c r="A272" i="25" s="1"/>
  <c r="B273" i="19"/>
  <c r="B272" i="25" s="1"/>
  <c r="A274" i="19"/>
  <c r="A273" i="25" s="1"/>
  <c r="B274" i="19"/>
  <c r="B273" i="25" s="1"/>
  <c r="A275" i="19"/>
  <c r="A274" i="25" s="1"/>
  <c r="B275" i="19"/>
  <c r="B274" i="25" s="1"/>
  <c r="A276" i="19"/>
  <c r="A275" i="25" s="1"/>
  <c r="B276" i="19"/>
  <c r="B275" i="25" s="1"/>
  <c r="A277" i="19"/>
  <c r="A276" i="25" s="1"/>
  <c r="B277" i="19"/>
  <c r="B276" i="25" s="1"/>
  <c r="A278" i="19"/>
  <c r="A277" i="25" s="1"/>
  <c r="B278" i="19"/>
  <c r="B277" i="25" s="1"/>
  <c r="A279" i="19"/>
  <c r="A278" i="25" s="1"/>
  <c r="B279" i="19"/>
  <c r="B278" i="25" s="1"/>
  <c r="A280" i="19"/>
  <c r="A279" i="25" s="1"/>
  <c r="B280" i="19"/>
  <c r="B279" i="25" s="1"/>
  <c r="A281" i="19"/>
  <c r="A280" i="25" s="1"/>
  <c r="B281" i="19"/>
  <c r="B280" i="25" s="1"/>
  <c r="A282" i="19"/>
  <c r="A281" i="25" s="1"/>
  <c r="B282" i="19"/>
  <c r="B281" i="25" s="1"/>
  <c r="A283" i="19"/>
  <c r="A282" i="25" s="1"/>
  <c r="B283" i="19"/>
  <c r="B282" i="25" s="1"/>
  <c r="A284" i="19"/>
  <c r="A283" i="25" s="1"/>
  <c r="B284" i="19"/>
  <c r="B283" i="25" s="1"/>
  <c r="A285" i="19"/>
  <c r="A284" i="25" s="1"/>
  <c r="B285" i="19"/>
  <c r="B284" i="25" s="1"/>
  <c r="A286" i="19"/>
  <c r="A285" i="25" s="1"/>
  <c r="B286" i="19"/>
  <c r="B285" i="25" s="1"/>
  <c r="A287" i="19"/>
  <c r="A286" i="25" s="1"/>
  <c r="B287" i="19"/>
  <c r="B286" i="25" s="1"/>
  <c r="A288" i="19"/>
  <c r="A287" i="25" s="1"/>
  <c r="B288" i="19"/>
  <c r="B287" i="25" s="1"/>
  <c r="A289" i="19"/>
  <c r="A288" i="25" s="1"/>
  <c r="B289" i="19"/>
  <c r="B288" i="25" s="1"/>
  <c r="A290" i="19"/>
  <c r="A289" i="25" s="1"/>
  <c r="B290" i="19"/>
  <c r="B289" i="25" s="1"/>
  <c r="A291" i="19"/>
  <c r="A290" i="25" s="1"/>
  <c r="B291" i="19"/>
  <c r="B290" i="25" s="1"/>
  <c r="A292" i="19"/>
  <c r="A291" i="25" s="1"/>
  <c r="B292" i="19"/>
  <c r="B291" i="25" s="1"/>
  <c r="A293" i="19"/>
  <c r="A292" i="25" s="1"/>
  <c r="B293" i="19"/>
  <c r="B292" i="25" s="1"/>
  <c r="A294" i="19"/>
  <c r="A293" i="25" s="1"/>
  <c r="B294" i="19"/>
  <c r="B293" i="25" s="1"/>
  <c r="A295" i="19"/>
  <c r="A294" i="25" s="1"/>
  <c r="B295" i="19"/>
  <c r="B294" i="25" s="1"/>
  <c r="A296" i="19"/>
  <c r="A295" i="25" s="1"/>
  <c r="B296" i="19"/>
  <c r="B295" i="25" s="1"/>
  <c r="A297" i="19"/>
  <c r="A296" i="25" s="1"/>
  <c r="B297" i="19"/>
  <c r="B296" i="25" s="1"/>
  <c r="A298" i="19"/>
  <c r="A297" i="25" s="1"/>
  <c r="B298" i="19"/>
  <c r="B297" i="25" s="1"/>
  <c r="A299" i="19"/>
  <c r="A298" i="25" s="1"/>
  <c r="B299" i="19"/>
  <c r="B298" i="25" s="1"/>
  <c r="A300" i="19"/>
  <c r="A299" i="25" s="1"/>
  <c r="B300" i="19"/>
  <c r="B299" i="25" s="1"/>
  <c r="A301" i="19"/>
  <c r="A300" i="25" s="1"/>
  <c r="B301" i="19"/>
  <c r="B300" i="25" s="1"/>
  <c r="A302" i="19"/>
  <c r="A301" i="25" s="1"/>
  <c r="B302" i="19"/>
  <c r="B301" i="25" s="1"/>
  <c r="A303" i="19"/>
  <c r="A302" i="25" s="1"/>
  <c r="B303" i="19"/>
  <c r="B302" i="25" s="1"/>
  <c r="A304" i="19"/>
  <c r="A303" i="25" s="1"/>
  <c r="B304" i="19"/>
  <c r="B303" i="25" s="1"/>
  <c r="A305" i="19"/>
  <c r="A304" i="25" s="1"/>
  <c r="B305" i="19"/>
  <c r="B304" i="25" s="1"/>
  <c r="A306" i="19"/>
  <c r="A305" i="25" s="1"/>
  <c r="B306" i="19"/>
  <c r="B305" i="25" s="1"/>
  <c r="A307" i="19"/>
  <c r="A306" i="25" s="1"/>
  <c r="B307" i="19"/>
  <c r="B306" i="25" s="1"/>
  <c r="A308" i="19"/>
  <c r="A307" i="25" s="1"/>
  <c r="B308" i="19"/>
  <c r="B307" i="25" s="1"/>
  <c r="A309" i="19"/>
  <c r="A308" i="25" s="1"/>
  <c r="B309" i="19"/>
  <c r="B308" i="25" s="1"/>
  <c r="A310" i="19"/>
  <c r="A309" i="25" s="1"/>
  <c r="B310" i="19"/>
  <c r="B309" i="25" s="1"/>
  <c r="A311" i="19"/>
  <c r="A310" i="25" s="1"/>
  <c r="B311" i="19"/>
  <c r="B310" i="25" s="1"/>
  <c r="A312" i="19"/>
  <c r="A311" i="25" s="1"/>
  <c r="B312" i="19"/>
  <c r="B311" i="25" s="1"/>
  <c r="A313" i="19"/>
  <c r="A312" i="25" s="1"/>
  <c r="B313" i="19"/>
  <c r="B312" i="25" s="1"/>
  <c r="A314" i="19"/>
  <c r="A313" i="25" s="1"/>
  <c r="B314" i="19"/>
  <c r="B313" i="25" s="1"/>
  <c r="A315" i="19"/>
  <c r="A314" i="25" s="1"/>
  <c r="B315" i="19"/>
  <c r="B314" i="25" s="1"/>
  <c r="D179" i="33" l="1"/>
  <c r="O272" i="19"/>
  <c r="O224" i="19"/>
  <c r="O176" i="19"/>
  <c r="D307" i="33"/>
  <c r="D27" i="33"/>
  <c r="D259" i="33"/>
  <c r="D177" i="33"/>
  <c r="D103" i="33"/>
  <c r="D169" i="33"/>
  <c r="O111" i="19"/>
  <c r="O110" i="19"/>
  <c r="O109" i="19"/>
  <c r="O108" i="19"/>
  <c r="O104" i="19"/>
  <c r="O79" i="19"/>
  <c r="O78" i="19"/>
  <c r="O77" i="19"/>
  <c r="O76" i="19"/>
  <c r="O72" i="19"/>
  <c r="O48" i="19"/>
  <c r="O239" i="19"/>
  <c r="O238" i="19"/>
  <c r="O237" i="19"/>
  <c r="O236" i="19"/>
  <c r="O232" i="19"/>
  <c r="O207" i="19"/>
  <c r="O206" i="19"/>
  <c r="O205" i="19"/>
  <c r="O204" i="19"/>
  <c r="O200" i="19"/>
  <c r="D305" i="33"/>
  <c r="D197" i="33"/>
  <c r="D89" i="33"/>
  <c r="O175" i="19"/>
  <c r="O172" i="19"/>
  <c r="O128" i="19"/>
  <c r="D297" i="33"/>
  <c r="D111" i="33"/>
  <c r="D96" i="33"/>
  <c r="O47" i="19"/>
  <c r="O46" i="19"/>
  <c r="O45" i="19"/>
  <c r="O44" i="19"/>
  <c r="O40" i="19"/>
  <c r="D249" i="33"/>
  <c r="D137" i="33"/>
  <c r="O303" i="19"/>
  <c r="O302" i="19"/>
  <c r="O301" i="19"/>
  <c r="O300" i="19"/>
  <c r="O296" i="19"/>
  <c r="O256" i="19"/>
  <c r="D275" i="33"/>
  <c r="D225" i="33"/>
  <c r="D242" i="33"/>
  <c r="O167" i="19"/>
  <c r="O166" i="19"/>
  <c r="O165" i="19"/>
  <c r="O164" i="19"/>
  <c r="O159" i="19"/>
  <c r="O158" i="19"/>
  <c r="O157" i="19"/>
  <c r="O156" i="19"/>
  <c r="O152" i="19"/>
  <c r="O148" i="19"/>
  <c r="D39" i="25"/>
  <c r="D38" i="33"/>
  <c r="D27" i="25"/>
  <c r="D26" i="33"/>
  <c r="D7" i="25"/>
  <c r="D6" i="33"/>
  <c r="D194" i="33"/>
  <c r="D58" i="33"/>
  <c r="D307" i="25"/>
  <c r="D306" i="33"/>
  <c r="D291" i="25"/>
  <c r="D290" i="33"/>
  <c r="D275" i="25"/>
  <c r="D274" i="33"/>
  <c r="D259" i="25"/>
  <c r="D258" i="33"/>
  <c r="D227" i="25"/>
  <c r="D226" i="33"/>
  <c r="D211" i="25"/>
  <c r="D210" i="33"/>
  <c r="D179" i="25"/>
  <c r="D178" i="33"/>
  <c r="D163" i="25"/>
  <c r="D162" i="33"/>
  <c r="D147" i="25"/>
  <c r="D146" i="33"/>
  <c r="D131" i="25"/>
  <c r="D130" i="33"/>
  <c r="D91" i="25"/>
  <c r="D90" i="33"/>
  <c r="O295" i="19"/>
  <c r="O294" i="19"/>
  <c r="O293" i="19"/>
  <c r="O292" i="19"/>
  <c r="O287" i="19"/>
  <c r="O286" i="19"/>
  <c r="O285" i="19"/>
  <c r="O284" i="19"/>
  <c r="O280" i="19"/>
  <c r="O276" i="19"/>
  <c r="O39" i="19"/>
  <c r="O38" i="19"/>
  <c r="O37" i="19"/>
  <c r="O36" i="19"/>
  <c r="O31" i="19"/>
  <c r="O30" i="19"/>
  <c r="O29" i="19"/>
  <c r="O28" i="19"/>
  <c r="O24" i="19"/>
  <c r="O20" i="19"/>
  <c r="D65" i="25"/>
  <c r="D64" i="33"/>
  <c r="D33" i="25"/>
  <c r="D32" i="33"/>
  <c r="D313" i="33"/>
  <c r="D261" i="33"/>
  <c r="D241" i="33"/>
  <c r="D185" i="33"/>
  <c r="D310" i="25"/>
  <c r="O231" i="19"/>
  <c r="O230" i="19"/>
  <c r="O229" i="19"/>
  <c r="O228" i="19"/>
  <c r="O223" i="19"/>
  <c r="O222" i="19"/>
  <c r="O221" i="19"/>
  <c r="O220" i="19"/>
  <c r="O216" i="19"/>
  <c r="O212" i="19"/>
  <c r="O103" i="19"/>
  <c r="O102" i="19"/>
  <c r="O101" i="19"/>
  <c r="O100" i="19"/>
  <c r="O95" i="19"/>
  <c r="O94" i="19"/>
  <c r="O93" i="19"/>
  <c r="O92" i="19"/>
  <c r="O88" i="19"/>
  <c r="O84" i="19"/>
  <c r="D289" i="33"/>
  <c r="D233" i="33"/>
  <c r="D195" i="33"/>
  <c r="D181" i="33"/>
  <c r="D161" i="33"/>
  <c r="D67" i="33"/>
  <c r="D148" i="25"/>
  <c r="D147" i="33"/>
  <c r="D40" i="25"/>
  <c r="D39" i="33"/>
  <c r="D243" i="33"/>
  <c r="D153" i="33"/>
  <c r="D131" i="33"/>
  <c r="D92" i="25"/>
  <c r="D91" i="33"/>
  <c r="D281" i="33"/>
  <c r="D229" i="33"/>
  <c r="D209" i="33"/>
  <c r="O312" i="19"/>
  <c r="O308" i="19"/>
  <c r="O199" i="19"/>
  <c r="O198" i="19"/>
  <c r="O197" i="19"/>
  <c r="O196" i="19"/>
  <c r="O191" i="19"/>
  <c r="O190" i="19"/>
  <c r="O189" i="19"/>
  <c r="O188" i="19"/>
  <c r="O184" i="19"/>
  <c r="O180" i="19"/>
  <c r="O71" i="19"/>
  <c r="O70" i="19"/>
  <c r="O69" i="19"/>
  <c r="O68" i="19"/>
  <c r="O63" i="19"/>
  <c r="O62" i="19"/>
  <c r="O61" i="19"/>
  <c r="O60" i="19"/>
  <c r="O56" i="19"/>
  <c r="O52" i="19"/>
  <c r="D291" i="33"/>
  <c r="D277" i="33"/>
  <c r="D257" i="33"/>
  <c r="D201" i="33"/>
  <c r="D163" i="33"/>
  <c r="D149" i="33"/>
  <c r="D47" i="33"/>
  <c r="D25" i="33"/>
  <c r="O13" i="19"/>
  <c r="O12" i="19"/>
  <c r="D146" i="25"/>
  <c r="D145" i="33"/>
  <c r="D134" i="25"/>
  <c r="D133" i="33"/>
  <c r="D122" i="25"/>
  <c r="D121" i="33"/>
  <c r="D58" i="25"/>
  <c r="D57" i="33"/>
  <c r="D293" i="33"/>
  <c r="D273" i="33"/>
  <c r="D217" i="33"/>
  <c r="D165" i="33"/>
  <c r="O263" i="19"/>
  <c r="O262" i="19"/>
  <c r="O261" i="19"/>
  <c r="O260" i="19"/>
  <c r="O255" i="19"/>
  <c r="O254" i="19"/>
  <c r="O253" i="19"/>
  <c r="O252" i="19"/>
  <c r="O248" i="19"/>
  <c r="O244" i="19"/>
  <c r="O135" i="19"/>
  <c r="O134" i="19"/>
  <c r="O133" i="19"/>
  <c r="O132" i="19"/>
  <c r="O127" i="19"/>
  <c r="O126" i="19"/>
  <c r="O125" i="19"/>
  <c r="O124" i="19"/>
  <c r="O120" i="19"/>
  <c r="O116" i="19"/>
  <c r="D265" i="33"/>
  <c r="D227" i="33"/>
  <c r="D213" i="33"/>
  <c r="D193" i="33"/>
  <c r="D129" i="33"/>
  <c r="D71" i="33"/>
  <c r="D7" i="33"/>
  <c r="O299" i="19"/>
  <c r="O298" i="19"/>
  <c r="O297" i="19"/>
  <c r="O267" i="19"/>
  <c r="O266" i="19"/>
  <c r="O265" i="19"/>
  <c r="O235" i="19"/>
  <c r="O234" i="19"/>
  <c r="O233" i="19"/>
  <c r="O203" i="19"/>
  <c r="O202" i="19"/>
  <c r="O201" i="19"/>
  <c r="O171" i="19"/>
  <c r="O170" i="19"/>
  <c r="O169" i="19"/>
  <c r="O139" i="19"/>
  <c r="O138" i="19"/>
  <c r="O137" i="19"/>
  <c r="O107" i="19"/>
  <c r="O106" i="19"/>
  <c r="O105" i="19"/>
  <c r="O75" i="19"/>
  <c r="O74" i="19"/>
  <c r="O73" i="19"/>
  <c r="O43" i="19"/>
  <c r="O42" i="19"/>
  <c r="O41" i="19"/>
  <c r="O11" i="19"/>
  <c r="O10" i="19"/>
  <c r="O9" i="19"/>
  <c r="D118" i="25"/>
  <c r="D117" i="33"/>
  <c r="D114" i="25"/>
  <c r="D113" i="33"/>
  <c r="D110" i="25"/>
  <c r="D109" i="33"/>
  <c r="D102" i="25"/>
  <c r="D101" i="33"/>
  <c r="D94" i="25"/>
  <c r="D93" i="33"/>
  <c r="D86" i="25"/>
  <c r="D85" i="33"/>
  <c r="D82" i="25"/>
  <c r="D81" i="33"/>
  <c r="D78" i="25"/>
  <c r="D77" i="33"/>
  <c r="D70" i="25"/>
  <c r="D69" i="33"/>
  <c r="D62" i="25"/>
  <c r="D61" i="33"/>
  <c r="D54" i="25"/>
  <c r="D53" i="33"/>
  <c r="D50" i="25"/>
  <c r="D49" i="33"/>
  <c r="D46" i="25"/>
  <c r="D45" i="33"/>
  <c r="D38" i="25"/>
  <c r="D37" i="33"/>
  <c r="D30" i="25"/>
  <c r="D29" i="33"/>
  <c r="D22" i="25"/>
  <c r="D21" i="33"/>
  <c r="D18" i="25"/>
  <c r="D17" i="33"/>
  <c r="D14" i="25"/>
  <c r="D13" i="33"/>
  <c r="D301" i="33"/>
  <c r="D298" i="33"/>
  <c r="D285" i="33"/>
  <c r="D282" i="33"/>
  <c r="D269" i="33"/>
  <c r="D266" i="33"/>
  <c r="D253" i="33"/>
  <c r="D250" i="33"/>
  <c r="D237" i="33"/>
  <c r="D234" i="33"/>
  <c r="D221" i="33"/>
  <c r="D218" i="33"/>
  <c r="D205" i="33"/>
  <c r="D202" i="33"/>
  <c r="D189" i="33"/>
  <c r="D186" i="33"/>
  <c r="D173" i="33"/>
  <c r="D170" i="33"/>
  <c r="D157" i="33"/>
  <c r="D154" i="33"/>
  <c r="D141" i="33"/>
  <c r="D138" i="33"/>
  <c r="D125" i="33"/>
  <c r="D122" i="33"/>
  <c r="D115" i="33"/>
  <c r="D95" i="33"/>
  <c r="D51" i="33"/>
  <c r="D31" i="33"/>
  <c r="O291" i="19"/>
  <c r="O290" i="19"/>
  <c r="O289" i="19"/>
  <c r="O259" i="19"/>
  <c r="O258" i="19"/>
  <c r="O257" i="19"/>
  <c r="O227" i="19"/>
  <c r="O226" i="19"/>
  <c r="O225" i="19"/>
  <c r="O195" i="19"/>
  <c r="O194" i="19"/>
  <c r="O193" i="19"/>
  <c r="O163" i="19"/>
  <c r="O162" i="19"/>
  <c r="O161" i="19"/>
  <c r="O131" i="19"/>
  <c r="O130" i="19"/>
  <c r="O129" i="19"/>
  <c r="O99" i="19"/>
  <c r="O98" i="19"/>
  <c r="O97" i="19"/>
  <c r="O67" i="19"/>
  <c r="O66" i="19"/>
  <c r="O65" i="19"/>
  <c r="O35" i="19"/>
  <c r="O34" i="19"/>
  <c r="O33" i="19"/>
  <c r="D313" i="25"/>
  <c r="D312" i="33"/>
  <c r="D309" i="25"/>
  <c r="D308" i="33"/>
  <c r="D305" i="25"/>
  <c r="D304" i="33"/>
  <c r="D301" i="25"/>
  <c r="D300" i="33"/>
  <c r="D297" i="25"/>
  <c r="D296" i="33"/>
  <c r="D293" i="25"/>
  <c r="D292" i="33"/>
  <c r="D289" i="25"/>
  <c r="D288" i="33"/>
  <c r="D285" i="25"/>
  <c r="D284" i="33"/>
  <c r="D281" i="25"/>
  <c r="D280" i="33"/>
  <c r="D277" i="25"/>
  <c r="D276" i="33"/>
  <c r="D273" i="25"/>
  <c r="D272" i="33"/>
  <c r="D268" i="33"/>
  <c r="D269" i="25"/>
  <c r="D265" i="25"/>
  <c r="D264" i="33"/>
  <c r="D261" i="25"/>
  <c r="D260" i="33"/>
  <c r="D257" i="25"/>
  <c r="D256" i="33"/>
  <c r="D253" i="25"/>
  <c r="D252" i="33"/>
  <c r="D249" i="25"/>
  <c r="D248" i="33"/>
  <c r="D245" i="25"/>
  <c r="D244" i="33"/>
  <c r="D241" i="25"/>
  <c r="D240" i="33"/>
  <c r="D237" i="25"/>
  <c r="D236" i="33"/>
  <c r="D233" i="25"/>
  <c r="D232" i="33"/>
  <c r="D229" i="25"/>
  <c r="D228" i="33"/>
  <c r="D225" i="25"/>
  <c r="D224" i="33"/>
  <c r="D221" i="25"/>
  <c r="D220" i="33"/>
  <c r="D217" i="25"/>
  <c r="D216" i="33"/>
  <c r="D212" i="33"/>
  <c r="D213" i="25"/>
  <c r="D209" i="25"/>
  <c r="D208" i="33"/>
  <c r="D205" i="25"/>
  <c r="D204" i="33"/>
  <c r="D201" i="25"/>
  <c r="D200" i="33"/>
  <c r="D197" i="25"/>
  <c r="D196" i="33"/>
  <c r="D193" i="25"/>
  <c r="D192" i="33"/>
  <c r="D188" i="33"/>
  <c r="D189" i="25"/>
  <c r="D185" i="25"/>
  <c r="D184" i="33"/>
  <c r="D181" i="25"/>
  <c r="D180" i="33"/>
  <c r="D173" i="25"/>
  <c r="D172" i="33"/>
  <c r="D169" i="25"/>
  <c r="D168" i="33"/>
  <c r="D165" i="25"/>
  <c r="D164" i="33"/>
  <c r="D161" i="25"/>
  <c r="D160" i="33"/>
  <c r="D157" i="25"/>
  <c r="D156" i="33"/>
  <c r="D153" i="25"/>
  <c r="D152" i="33"/>
  <c r="D149" i="25"/>
  <c r="D148" i="33"/>
  <c r="D145" i="25"/>
  <c r="D144" i="33"/>
  <c r="D141" i="25"/>
  <c r="D140" i="33"/>
  <c r="D137" i="25"/>
  <c r="D136" i="33"/>
  <c r="D133" i="25"/>
  <c r="D132" i="33"/>
  <c r="D129" i="25"/>
  <c r="D128" i="33"/>
  <c r="D125" i="25"/>
  <c r="D124" i="33"/>
  <c r="D121" i="25"/>
  <c r="D120" i="33"/>
  <c r="D117" i="25"/>
  <c r="D116" i="33"/>
  <c r="D113" i="25"/>
  <c r="D112" i="33"/>
  <c r="D109" i="25"/>
  <c r="D108" i="33"/>
  <c r="D105" i="25"/>
  <c r="D104" i="33"/>
  <c r="D101" i="25"/>
  <c r="D100" i="33"/>
  <c r="D93" i="25"/>
  <c r="D92" i="33"/>
  <c r="D89" i="25"/>
  <c r="D88" i="33"/>
  <c r="D85" i="25"/>
  <c r="D84" i="33"/>
  <c r="D81" i="25"/>
  <c r="D80" i="33"/>
  <c r="D77" i="25"/>
  <c r="D76" i="33"/>
  <c r="D73" i="25"/>
  <c r="D72" i="33"/>
  <c r="D69" i="25"/>
  <c r="D68" i="33"/>
  <c r="D61" i="25"/>
  <c r="D60" i="33"/>
  <c r="D57" i="25"/>
  <c r="D56" i="33"/>
  <c r="D53" i="25"/>
  <c r="D52" i="33"/>
  <c r="D49" i="25"/>
  <c r="D48" i="33"/>
  <c r="D45" i="25"/>
  <c r="D44" i="33"/>
  <c r="D41" i="25"/>
  <c r="D40" i="33"/>
  <c r="D37" i="25"/>
  <c r="D36" i="33"/>
  <c r="D29" i="25"/>
  <c r="D28" i="33"/>
  <c r="D25" i="25"/>
  <c r="D24" i="33"/>
  <c r="D21" i="25"/>
  <c r="D20" i="33"/>
  <c r="D17" i="25"/>
  <c r="D16" i="33"/>
  <c r="D13" i="25"/>
  <c r="D12" i="33"/>
  <c r="D9" i="25"/>
  <c r="D8" i="33"/>
  <c r="D97" i="33"/>
  <c r="D73" i="33"/>
  <c r="D70" i="33"/>
  <c r="D33" i="33"/>
  <c r="D9" i="33"/>
  <c r="O314" i="19"/>
  <c r="O283" i="19"/>
  <c r="O281" i="19"/>
  <c r="O250" i="19"/>
  <c r="O219" i="19"/>
  <c r="O217" i="19"/>
  <c r="O187" i="19"/>
  <c r="O185" i="19"/>
  <c r="O155" i="19"/>
  <c r="O153" i="19"/>
  <c r="O123" i="19"/>
  <c r="O121" i="19"/>
  <c r="O91" i="19"/>
  <c r="O89" i="19"/>
  <c r="O58" i="19"/>
  <c r="O27" i="19"/>
  <c r="O25" i="19"/>
  <c r="D311" i="33"/>
  <c r="D312" i="25"/>
  <c r="D304" i="25"/>
  <c r="D303" i="33"/>
  <c r="D296" i="25"/>
  <c r="D295" i="33"/>
  <c r="D288" i="25"/>
  <c r="D287" i="33"/>
  <c r="D280" i="25"/>
  <c r="D279" i="33"/>
  <c r="D272" i="25"/>
  <c r="D271" i="33"/>
  <c r="D264" i="25"/>
  <c r="D263" i="33"/>
  <c r="D256" i="25"/>
  <c r="D255" i="33"/>
  <c r="D248" i="25"/>
  <c r="D247" i="33"/>
  <c r="D240" i="25"/>
  <c r="D239" i="33"/>
  <c r="D232" i="25"/>
  <c r="D231" i="33"/>
  <c r="D224" i="25"/>
  <c r="D223" i="33"/>
  <c r="D216" i="25"/>
  <c r="D215" i="33"/>
  <c r="D208" i="25"/>
  <c r="D207" i="33"/>
  <c r="D200" i="25"/>
  <c r="D199" i="33"/>
  <c r="D192" i="25"/>
  <c r="D191" i="33"/>
  <c r="D184" i="25"/>
  <c r="D183" i="33"/>
  <c r="D176" i="25"/>
  <c r="D175" i="33"/>
  <c r="D168" i="25"/>
  <c r="D167" i="33"/>
  <c r="D160" i="25"/>
  <c r="D159" i="33"/>
  <c r="D152" i="25"/>
  <c r="D151" i="33"/>
  <c r="D144" i="25"/>
  <c r="D143" i="33"/>
  <c r="D136" i="25"/>
  <c r="D135" i="33"/>
  <c r="D128" i="25"/>
  <c r="D127" i="33"/>
  <c r="D120" i="25"/>
  <c r="D119" i="33"/>
  <c r="D108" i="25"/>
  <c r="D107" i="33"/>
  <c r="D88" i="25"/>
  <c r="D87" i="33"/>
  <c r="D76" i="25"/>
  <c r="D75" i="33"/>
  <c r="D56" i="25"/>
  <c r="D55" i="33"/>
  <c r="D44" i="25"/>
  <c r="D43" i="33"/>
  <c r="D24" i="25"/>
  <c r="D23" i="33"/>
  <c r="D12" i="25"/>
  <c r="D11" i="33"/>
  <c r="D83" i="33"/>
  <c r="O311" i="19"/>
  <c r="O310" i="19"/>
  <c r="O309" i="19"/>
  <c r="O279" i="19"/>
  <c r="O278" i="19"/>
  <c r="O277" i="19"/>
  <c r="O247" i="19"/>
  <c r="O246" i="19"/>
  <c r="O245" i="19"/>
  <c r="O215" i="19"/>
  <c r="O214" i="19"/>
  <c r="O213" i="19"/>
  <c r="O183" i="19"/>
  <c r="O182" i="19"/>
  <c r="O181" i="19"/>
  <c r="O151" i="19"/>
  <c r="O150" i="19"/>
  <c r="O149" i="19"/>
  <c r="O119" i="19"/>
  <c r="O118" i="19"/>
  <c r="O117" i="19"/>
  <c r="O87" i="19"/>
  <c r="O86" i="19"/>
  <c r="O85" i="19"/>
  <c r="O55" i="19"/>
  <c r="O54" i="19"/>
  <c r="O53" i="19"/>
  <c r="O23" i="19"/>
  <c r="O22" i="19"/>
  <c r="O21" i="19"/>
  <c r="D299" i="33"/>
  <c r="D283" i="33"/>
  <c r="D267" i="33"/>
  <c r="D251" i="33"/>
  <c r="D235" i="33"/>
  <c r="D219" i="33"/>
  <c r="D203" i="33"/>
  <c r="D187" i="33"/>
  <c r="D171" i="33"/>
  <c r="D155" i="33"/>
  <c r="D139" i="33"/>
  <c r="D123" i="33"/>
  <c r="D99" i="33"/>
  <c r="D79" i="33"/>
  <c r="D59" i="33"/>
  <c r="D35" i="33"/>
  <c r="D15" i="33"/>
  <c r="O315" i="19"/>
  <c r="O313" i="19"/>
  <c r="O282" i="19"/>
  <c r="O251" i="19"/>
  <c r="O249" i="19"/>
  <c r="O218" i="19"/>
  <c r="O186" i="19"/>
  <c r="O154" i="19"/>
  <c r="O122" i="19"/>
  <c r="O90" i="19"/>
  <c r="O59" i="19"/>
  <c r="O57" i="19"/>
  <c r="O26" i="19"/>
  <c r="D63" i="33"/>
  <c r="D19" i="33"/>
  <c r="O307" i="19"/>
  <c r="O306" i="19"/>
  <c r="O305" i="19"/>
  <c r="O275" i="19"/>
  <c r="O274" i="19"/>
  <c r="O273" i="19"/>
  <c r="O243" i="19"/>
  <c r="O242" i="19"/>
  <c r="O241" i="19"/>
  <c r="O211" i="19"/>
  <c r="O210" i="19"/>
  <c r="O209" i="19"/>
  <c r="O179" i="19"/>
  <c r="O178" i="19"/>
  <c r="O177" i="19"/>
  <c r="O147" i="19"/>
  <c r="O146" i="19"/>
  <c r="O145" i="19"/>
  <c r="O115" i="19"/>
  <c r="O114" i="19"/>
  <c r="O113" i="19"/>
  <c r="O83" i="19"/>
  <c r="O82" i="19"/>
  <c r="O81" i="19"/>
  <c r="O51" i="19"/>
  <c r="O50" i="19"/>
  <c r="O49" i="19"/>
  <c r="O19" i="19"/>
  <c r="O18" i="19"/>
  <c r="O17" i="19"/>
  <c r="D311" i="25"/>
  <c r="D310" i="33"/>
  <c r="D303" i="25"/>
  <c r="D302" i="33"/>
  <c r="D295" i="25"/>
  <c r="D294" i="33"/>
  <c r="D287" i="25"/>
  <c r="D286" i="33"/>
  <c r="D279" i="25"/>
  <c r="D278" i="33"/>
  <c r="D271" i="25"/>
  <c r="D270" i="33"/>
  <c r="D263" i="25"/>
  <c r="D262" i="33"/>
  <c r="D255" i="25"/>
  <c r="D254" i="33"/>
  <c r="D247" i="25"/>
  <c r="D246" i="33"/>
  <c r="D239" i="25"/>
  <c r="D238" i="33"/>
  <c r="D231" i="25"/>
  <c r="D230" i="33"/>
  <c r="D223" i="25"/>
  <c r="D222" i="33"/>
  <c r="D215" i="25"/>
  <c r="D214" i="33"/>
  <c r="D207" i="25"/>
  <c r="D206" i="33"/>
  <c r="D199" i="25"/>
  <c r="D198" i="33"/>
  <c r="D191" i="25"/>
  <c r="D190" i="33"/>
  <c r="D183" i="25"/>
  <c r="D182" i="33"/>
  <c r="D175" i="25"/>
  <c r="D174" i="33"/>
  <c r="D167" i="25"/>
  <c r="D166" i="33"/>
  <c r="D159" i="25"/>
  <c r="D158" i="33"/>
  <c r="D151" i="25"/>
  <c r="D150" i="33"/>
  <c r="D143" i="25"/>
  <c r="D142" i="33"/>
  <c r="D135" i="25"/>
  <c r="D134" i="33"/>
  <c r="D127" i="25"/>
  <c r="D126" i="33"/>
  <c r="D119" i="25"/>
  <c r="D118" i="33"/>
  <c r="D115" i="25"/>
  <c r="D114" i="33"/>
  <c r="D111" i="25"/>
  <c r="D110" i="33"/>
  <c r="D107" i="25"/>
  <c r="D106" i="33"/>
  <c r="D99" i="25"/>
  <c r="D98" i="33"/>
  <c r="D95" i="25"/>
  <c r="D94" i="33"/>
  <c r="D87" i="25"/>
  <c r="D86" i="33"/>
  <c r="D83" i="25"/>
  <c r="D82" i="33"/>
  <c r="D79" i="25"/>
  <c r="D78" i="33"/>
  <c r="D75" i="25"/>
  <c r="D74" i="33"/>
  <c r="D67" i="25"/>
  <c r="D66" i="33"/>
  <c r="D105" i="33"/>
  <c r="D102" i="33"/>
  <c r="D65" i="33"/>
  <c r="D41" i="33"/>
  <c r="D177" i="25"/>
  <c r="D54" i="33"/>
  <c r="D42" i="33"/>
  <c r="D22" i="33"/>
  <c r="D10" i="33"/>
  <c r="D62" i="33"/>
  <c r="D50" i="33"/>
  <c r="D30" i="33"/>
  <c r="D18" i="33"/>
  <c r="D46" i="33"/>
  <c r="D34" i="33"/>
  <c r="D14" i="33"/>
  <c r="Y240" i="19"/>
  <c r="C238" i="32" s="1"/>
  <c r="E238" i="32" s="1"/>
  <c r="Y239" i="19"/>
  <c r="C237" i="32" s="1"/>
  <c r="E237" i="32" s="1"/>
  <c r="Y241" i="19"/>
  <c r="C239" i="32" s="1"/>
  <c r="E239" i="32" s="1"/>
  <c r="M245" i="42"/>
  <c r="S245" i="42" s="1"/>
  <c r="Z7" i="19" l="1"/>
  <c r="X7" i="19"/>
  <c r="W7" i="19"/>
  <c r="V7" i="19"/>
  <c r="P7" i="19"/>
  <c r="N7" i="19"/>
  <c r="M7" i="19"/>
  <c r="L7" i="19"/>
  <c r="K7" i="19"/>
  <c r="I7" i="19"/>
  <c r="H7" i="19"/>
  <c r="Y316" i="42"/>
  <c r="T316" i="42"/>
  <c r="M239" i="42"/>
  <c r="U6" i="42" l="1"/>
  <c r="C316" i="42"/>
  <c r="M4" i="33" l="1"/>
  <c r="K303" i="49" l="1"/>
  <c r="K244" i="13" l="1"/>
  <c r="K170" i="13"/>
  <c r="K219" i="13"/>
  <c r="M246" i="42" l="1"/>
  <c r="S246" i="42" s="1"/>
  <c r="M220" i="42"/>
  <c r="S220" i="42" s="1"/>
  <c r="M171" i="42"/>
  <c r="S171" i="42" s="1"/>
  <c r="Y301" i="19" l="1"/>
  <c r="C299" i="32" s="1"/>
  <c r="E299" i="32" s="1"/>
  <c r="Y285" i="19"/>
  <c r="C283" i="32" s="1"/>
  <c r="E283" i="32" s="1"/>
  <c r="Y269" i="19"/>
  <c r="C267" i="32" s="1"/>
  <c r="E267" i="32" s="1"/>
  <c r="Y253" i="19"/>
  <c r="C251" i="32" s="1"/>
  <c r="E251" i="32" s="1"/>
  <c r="Y284" i="19"/>
  <c r="C282" i="32" s="1"/>
  <c r="E282" i="32" s="1"/>
  <c r="Y167" i="19"/>
  <c r="C165" i="32" s="1"/>
  <c r="E165" i="32" s="1"/>
  <c r="Y111" i="19"/>
  <c r="C109" i="32" s="1"/>
  <c r="E109" i="32" s="1"/>
  <c r="Y103" i="19"/>
  <c r="C101" i="32" s="1"/>
  <c r="E101" i="32" s="1"/>
  <c r="Y79" i="19"/>
  <c r="C77" i="32" s="1"/>
  <c r="E77" i="32" s="1"/>
  <c r="Y292" i="19"/>
  <c r="C290" i="32" s="1"/>
  <c r="E290" i="32" s="1"/>
  <c r="Y252" i="19"/>
  <c r="C250" i="32" s="1"/>
  <c r="E250" i="32" s="1"/>
  <c r="Y180" i="19"/>
  <c r="C178" i="32" s="1"/>
  <c r="E178" i="32" s="1"/>
  <c r="Y148" i="19"/>
  <c r="C146" i="32" s="1"/>
  <c r="E146" i="32" s="1"/>
  <c r="Y116" i="19"/>
  <c r="C114" i="32" s="1"/>
  <c r="E114" i="32" s="1"/>
  <c r="Y84" i="19"/>
  <c r="C82" i="32" s="1"/>
  <c r="E82" i="32" s="1"/>
  <c r="Y52" i="19"/>
  <c r="C50" i="32" s="1"/>
  <c r="E50" i="32" s="1"/>
  <c r="Y36" i="19"/>
  <c r="C34" i="32" s="1"/>
  <c r="E34" i="32" s="1"/>
  <c r="Y20" i="19"/>
  <c r="C18" i="32" s="1"/>
  <c r="E18" i="32" s="1"/>
  <c r="Y313" i="19"/>
  <c r="C311" i="32" s="1"/>
  <c r="E311" i="32" s="1"/>
  <c r="Y305" i="19"/>
  <c r="C303" i="32" s="1"/>
  <c r="E303" i="32" s="1"/>
  <c r="Y297" i="19"/>
  <c r="C295" i="32" s="1"/>
  <c r="E295" i="32" s="1"/>
  <c r="Y289" i="19"/>
  <c r="C287" i="32" s="1"/>
  <c r="E287" i="32" s="1"/>
  <c r="Y281" i="19"/>
  <c r="C279" i="32" s="1"/>
  <c r="E279" i="32" s="1"/>
  <c r="Y273" i="19"/>
  <c r="C271" i="32" s="1"/>
  <c r="E271" i="32" s="1"/>
  <c r="Y265" i="19"/>
  <c r="C263" i="32" s="1"/>
  <c r="E263" i="32" s="1"/>
  <c r="Y257" i="19"/>
  <c r="C255" i="32" s="1"/>
  <c r="E255" i="32" s="1"/>
  <c r="Y249" i="19"/>
  <c r="C247" i="32" s="1"/>
  <c r="E247" i="32" s="1"/>
  <c r="Y233" i="19"/>
  <c r="C231" i="32" s="1"/>
  <c r="E231" i="32" s="1"/>
  <c r="Y225" i="19"/>
  <c r="C223" i="32" s="1"/>
  <c r="E223" i="32" s="1"/>
  <c r="Y217" i="19"/>
  <c r="C215" i="32" s="1"/>
  <c r="E215" i="32" s="1"/>
  <c r="Y209" i="19"/>
  <c r="C207" i="32" s="1"/>
  <c r="E207" i="32" s="1"/>
  <c r="Y201" i="19"/>
  <c r="C199" i="32" s="1"/>
  <c r="E199" i="32" s="1"/>
  <c r="Y185" i="19"/>
  <c r="C183" i="32" s="1"/>
  <c r="E183" i="32" s="1"/>
  <c r="Y169" i="19"/>
  <c r="C167" i="32" s="1"/>
  <c r="E167" i="32" s="1"/>
  <c r="Y161" i="19"/>
  <c r="C159" i="32" s="1"/>
  <c r="E159" i="32" s="1"/>
  <c r="Y153" i="19"/>
  <c r="C151" i="32" s="1"/>
  <c r="E151" i="32" s="1"/>
  <c r="Y145" i="19"/>
  <c r="C143" i="32" s="1"/>
  <c r="E143" i="32" s="1"/>
  <c r="Y129" i="19"/>
  <c r="C127" i="32" s="1"/>
  <c r="E127" i="32" s="1"/>
  <c r="Y121" i="19"/>
  <c r="C119" i="32" s="1"/>
  <c r="E119" i="32" s="1"/>
  <c r="Y105" i="19"/>
  <c r="C103" i="32" s="1"/>
  <c r="E103" i="32" s="1"/>
  <c r="Y97" i="19"/>
  <c r="C95" i="32" s="1"/>
  <c r="E95" i="32" s="1"/>
  <c r="Y89" i="19"/>
  <c r="C87" i="32" s="1"/>
  <c r="E87" i="32" s="1"/>
  <c r="Y73" i="19"/>
  <c r="C71" i="32" s="1"/>
  <c r="E71" i="32" s="1"/>
  <c r="Y65" i="19"/>
  <c r="C63" i="32" s="1"/>
  <c r="E63" i="32" s="1"/>
  <c r="Y54" i="19"/>
  <c r="C52" i="32" s="1"/>
  <c r="E52" i="32" s="1"/>
  <c r="Y30" i="19"/>
  <c r="C28" i="32" s="1"/>
  <c r="E28" i="32" s="1"/>
  <c r="Y308" i="19"/>
  <c r="C306" i="32" s="1"/>
  <c r="E306" i="32" s="1"/>
  <c r="Y268" i="19"/>
  <c r="C266" i="32" s="1"/>
  <c r="E266" i="32" s="1"/>
  <c r="Y244" i="19"/>
  <c r="C242" i="32" s="1"/>
  <c r="E242" i="32" s="1"/>
  <c r="Y204" i="19"/>
  <c r="C202" i="32" s="1"/>
  <c r="E202" i="32" s="1"/>
  <c r="Y188" i="19"/>
  <c r="C186" i="32" s="1"/>
  <c r="E186" i="32" s="1"/>
  <c r="Y140" i="19"/>
  <c r="C138" i="32" s="1"/>
  <c r="E138" i="32" s="1"/>
  <c r="Y124" i="19"/>
  <c r="C122" i="32" s="1"/>
  <c r="E122" i="32" s="1"/>
  <c r="Y108" i="19"/>
  <c r="C106" i="32" s="1"/>
  <c r="E106" i="32" s="1"/>
  <c r="Y92" i="19"/>
  <c r="C90" i="32" s="1"/>
  <c r="E90" i="32" s="1"/>
  <c r="Y68" i="19"/>
  <c r="C66" i="32" s="1"/>
  <c r="E66" i="32" s="1"/>
  <c r="G279" i="19"/>
  <c r="T279" i="19" s="1"/>
  <c r="G247" i="19"/>
  <c r="T247" i="19" s="1"/>
  <c r="G87" i="19"/>
  <c r="Y300" i="19"/>
  <c r="C298" i="32" s="1"/>
  <c r="E298" i="32" s="1"/>
  <c r="Y276" i="19"/>
  <c r="C274" i="32" s="1"/>
  <c r="E274" i="32" s="1"/>
  <c r="Y228" i="19"/>
  <c r="C226" i="32" s="1"/>
  <c r="E226" i="32" s="1"/>
  <c r="Y196" i="19"/>
  <c r="C194" i="32" s="1"/>
  <c r="E194" i="32" s="1"/>
  <c r="Y164" i="19"/>
  <c r="C162" i="32" s="1"/>
  <c r="E162" i="32" s="1"/>
  <c r="Y100" i="19"/>
  <c r="C98" i="32" s="1"/>
  <c r="E98" i="32" s="1"/>
  <c r="Y60" i="19"/>
  <c r="C58" i="32" s="1"/>
  <c r="E58" i="32" s="1"/>
  <c r="Y44" i="19"/>
  <c r="C42" i="32" s="1"/>
  <c r="E42" i="32" s="1"/>
  <c r="Y28" i="19"/>
  <c r="C26" i="32" s="1"/>
  <c r="E26" i="32" s="1"/>
  <c r="Y12" i="19"/>
  <c r="C10" i="32" s="1"/>
  <c r="E10" i="32" s="1"/>
  <c r="G313" i="19"/>
  <c r="T313" i="19" s="1"/>
  <c r="G271" i="19"/>
  <c r="T271" i="19" s="1"/>
  <c r="G263" i="19"/>
  <c r="T263" i="19" s="1"/>
  <c r="G213" i="19"/>
  <c r="T213" i="19" s="1"/>
  <c r="G203" i="19"/>
  <c r="T203" i="19" s="1"/>
  <c r="G179" i="19"/>
  <c r="T179" i="19" s="1"/>
  <c r="G145" i="19"/>
  <c r="T145" i="19" s="1"/>
  <c r="G93" i="19"/>
  <c r="T93" i="19" s="1"/>
  <c r="G65" i="19"/>
  <c r="T65" i="19" s="1"/>
  <c r="G29" i="19"/>
  <c r="T29" i="19" s="1"/>
  <c r="Y260" i="19"/>
  <c r="C258" i="32" s="1"/>
  <c r="E258" i="32" s="1"/>
  <c r="Y236" i="19"/>
  <c r="C234" i="32" s="1"/>
  <c r="E234" i="32" s="1"/>
  <c r="Y212" i="19"/>
  <c r="C210" i="32" s="1"/>
  <c r="E210" i="32" s="1"/>
  <c r="Y172" i="19"/>
  <c r="C170" i="32" s="1"/>
  <c r="E170" i="32" s="1"/>
  <c r="Y156" i="19"/>
  <c r="C154" i="32" s="1"/>
  <c r="E154" i="32" s="1"/>
  <c r="Y76" i="19"/>
  <c r="C74" i="32" s="1"/>
  <c r="E74" i="32" s="1"/>
  <c r="G281" i="19"/>
  <c r="T281" i="19" s="1"/>
  <c r="G255" i="19"/>
  <c r="T255" i="19" s="1"/>
  <c r="G15" i="19"/>
  <c r="T15" i="19" s="1"/>
  <c r="Y186" i="19"/>
  <c r="C184" i="32" s="1"/>
  <c r="E184" i="32" s="1"/>
  <c r="G197" i="19"/>
  <c r="T197" i="19" s="1"/>
  <c r="G47" i="19"/>
  <c r="Y150" i="19"/>
  <c r="C148" i="32" s="1"/>
  <c r="E148" i="32" s="1"/>
  <c r="Y159" i="19"/>
  <c r="C157" i="32" s="1"/>
  <c r="E157" i="32" s="1"/>
  <c r="Y119" i="19"/>
  <c r="C117" i="32" s="1"/>
  <c r="E117" i="32" s="1"/>
  <c r="Y63" i="19"/>
  <c r="C61" i="32" s="1"/>
  <c r="E61" i="32" s="1"/>
  <c r="G129" i="19"/>
  <c r="G265" i="19"/>
  <c r="T265" i="19" s="1"/>
  <c r="G195" i="19"/>
  <c r="T195" i="19" s="1"/>
  <c r="G221" i="19"/>
  <c r="T221" i="19" s="1"/>
  <c r="G77" i="19"/>
  <c r="G41" i="19"/>
  <c r="T41" i="19" s="1"/>
  <c r="Y310" i="19"/>
  <c r="C308" i="32" s="1"/>
  <c r="E308" i="32" s="1"/>
  <c r="Y302" i="19"/>
  <c r="C300" i="32" s="1"/>
  <c r="E300" i="32" s="1"/>
  <c r="Y294" i="19"/>
  <c r="C292" i="32" s="1"/>
  <c r="E292" i="32" s="1"/>
  <c r="Y286" i="19"/>
  <c r="C284" i="32" s="1"/>
  <c r="E284" i="32" s="1"/>
  <c r="Y278" i="19"/>
  <c r="C276" i="32" s="1"/>
  <c r="E276" i="32" s="1"/>
  <c r="Y270" i="19"/>
  <c r="C268" i="32" s="1"/>
  <c r="E268" i="32" s="1"/>
  <c r="Y262" i="19"/>
  <c r="C260" i="32" s="1"/>
  <c r="E260" i="32" s="1"/>
  <c r="Y254" i="19"/>
  <c r="C252" i="32" s="1"/>
  <c r="E252" i="32" s="1"/>
  <c r="Y246" i="19"/>
  <c r="C244" i="32" s="1"/>
  <c r="E244" i="32" s="1"/>
  <c r="Y238" i="19"/>
  <c r="C236" i="32" s="1"/>
  <c r="E236" i="32" s="1"/>
  <c r="Y230" i="19"/>
  <c r="C228" i="32" s="1"/>
  <c r="E228" i="32" s="1"/>
  <c r="Y222" i="19"/>
  <c r="C220" i="32" s="1"/>
  <c r="E220" i="32" s="1"/>
  <c r="Y214" i="19"/>
  <c r="C212" i="32" s="1"/>
  <c r="E212" i="32" s="1"/>
  <c r="Y206" i="19"/>
  <c r="C204" i="32" s="1"/>
  <c r="E204" i="32" s="1"/>
  <c r="Y198" i="19"/>
  <c r="C196" i="32" s="1"/>
  <c r="E196" i="32" s="1"/>
  <c r="Y190" i="19"/>
  <c r="C188" i="32" s="1"/>
  <c r="E188" i="32" s="1"/>
  <c r="Y182" i="19"/>
  <c r="C180" i="32" s="1"/>
  <c r="E180" i="32" s="1"/>
  <c r="Y174" i="19"/>
  <c r="C172" i="32" s="1"/>
  <c r="E172" i="32" s="1"/>
  <c r="Y166" i="19"/>
  <c r="C164" i="32" s="1"/>
  <c r="E164" i="32" s="1"/>
  <c r="Y158" i="19"/>
  <c r="C156" i="32" s="1"/>
  <c r="E156" i="32" s="1"/>
  <c r="Y142" i="19"/>
  <c r="C140" i="32" s="1"/>
  <c r="E140" i="32" s="1"/>
  <c r="Y134" i="19"/>
  <c r="C132" i="32" s="1"/>
  <c r="E132" i="32" s="1"/>
  <c r="Y126" i="19"/>
  <c r="C124" i="32" s="1"/>
  <c r="E124" i="32" s="1"/>
  <c r="Y118" i="19"/>
  <c r="C116" i="32" s="1"/>
  <c r="E116" i="32" s="1"/>
  <c r="Y110" i="19"/>
  <c r="C108" i="32" s="1"/>
  <c r="E108" i="32" s="1"/>
  <c r="Y102" i="19"/>
  <c r="C100" i="32" s="1"/>
  <c r="E100" i="32" s="1"/>
  <c r="Y94" i="19"/>
  <c r="C92" i="32" s="1"/>
  <c r="E92" i="32" s="1"/>
  <c r="Y86" i="19"/>
  <c r="C84" i="32" s="1"/>
  <c r="E84" i="32" s="1"/>
  <c r="Y78" i="19"/>
  <c r="C76" i="32" s="1"/>
  <c r="E76" i="32" s="1"/>
  <c r="Y70" i="19"/>
  <c r="C68" i="32" s="1"/>
  <c r="E68" i="32" s="1"/>
  <c r="Y62" i="19"/>
  <c r="C60" i="32" s="1"/>
  <c r="E60" i="32" s="1"/>
  <c r="Y46" i="19"/>
  <c r="C44" i="32" s="1"/>
  <c r="E44" i="32" s="1"/>
  <c r="Y38" i="19"/>
  <c r="C36" i="32" s="1"/>
  <c r="E36" i="32" s="1"/>
  <c r="Y22" i="19"/>
  <c r="C20" i="32" s="1"/>
  <c r="E20" i="32" s="1"/>
  <c r="Y14" i="19"/>
  <c r="C12" i="32" s="1"/>
  <c r="E12" i="32" s="1"/>
  <c r="G314" i="19"/>
  <c r="T314" i="19" s="1"/>
  <c r="G306" i="19"/>
  <c r="T306" i="19" s="1"/>
  <c r="G294" i="19"/>
  <c r="G286" i="19"/>
  <c r="T286" i="19" s="1"/>
  <c r="G248" i="19"/>
  <c r="T248" i="19" s="1"/>
  <c r="G240" i="19"/>
  <c r="G224" i="19"/>
  <c r="G214" i="19"/>
  <c r="T214" i="19" s="1"/>
  <c r="G196" i="19"/>
  <c r="T196" i="19" s="1"/>
  <c r="G180" i="19"/>
  <c r="T180" i="19" s="1"/>
  <c r="G170" i="19"/>
  <c r="T170" i="19" s="1"/>
  <c r="G160" i="19"/>
  <c r="T160" i="19" s="1"/>
  <c r="G150" i="19"/>
  <c r="T150" i="19" s="1"/>
  <c r="G142" i="19"/>
  <c r="T142" i="19" s="1"/>
  <c r="G136" i="19"/>
  <c r="T136" i="19" s="1"/>
  <c r="G126" i="19"/>
  <c r="T126" i="19" s="1"/>
  <c r="G118" i="19"/>
  <c r="T118" i="19" s="1"/>
  <c r="G110" i="19"/>
  <c r="T110" i="19" s="1"/>
  <c r="G104" i="19"/>
  <c r="T104" i="19" s="1"/>
  <c r="G64" i="19"/>
  <c r="T64" i="19" s="1"/>
  <c r="G56" i="19"/>
  <c r="T56" i="19" s="1"/>
  <c r="G16" i="19"/>
  <c r="T16" i="19" s="1"/>
  <c r="G8" i="19"/>
  <c r="T8" i="19" s="1"/>
  <c r="G302" i="19"/>
  <c r="T302" i="19" s="1"/>
  <c r="G296" i="19"/>
  <c r="T296" i="19" s="1"/>
  <c r="G290" i="19"/>
  <c r="T290" i="19" s="1"/>
  <c r="G282" i="19"/>
  <c r="T282" i="19" s="1"/>
  <c r="G264" i="19"/>
  <c r="T264" i="19" s="1"/>
  <c r="G244" i="19"/>
  <c r="T244" i="19" s="1"/>
  <c r="G238" i="19"/>
  <c r="T238" i="19" s="1"/>
  <c r="G232" i="19"/>
  <c r="T232" i="19" s="1"/>
  <c r="G228" i="19"/>
  <c r="T228" i="19" s="1"/>
  <c r="G210" i="19"/>
  <c r="T210" i="19" s="1"/>
  <c r="G186" i="19"/>
  <c r="T186" i="19" s="1"/>
  <c r="G166" i="19"/>
  <c r="T166" i="19" s="1"/>
  <c r="G162" i="19"/>
  <c r="T162" i="19" s="1"/>
  <c r="G152" i="19"/>
  <c r="T152" i="19" s="1"/>
  <c r="G146" i="19"/>
  <c r="T146" i="19" s="1"/>
  <c r="G134" i="19"/>
  <c r="T134" i="19" s="1"/>
  <c r="G130" i="19"/>
  <c r="T130" i="19" s="1"/>
  <c r="G120" i="19"/>
  <c r="T120" i="19" s="1"/>
  <c r="G112" i="19"/>
  <c r="T112" i="19" s="1"/>
  <c r="G106" i="19"/>
  <c r="T106" i="19" s="1"/>
  <c r="G88" i="19"/>
  <c r="T88" i="19" s="1"/>
  <c r="G72" i="19"/>
  <c r="T72" i="19" s="1"/>
  <c r="G48" i="19"/>
  <c r="T48" i="19" s="1"/>
  <c r="G22" i="19"/>
  <c r="T22" i="19" s="1"/>
  <c r="G12" i="19"/>
  <c r="G315" i="19"/>
  <c r="T315" i="19" s="1"/>
  <c r="G297" i="19"/>
  <c r="T297" i="19" s="1"/>
  <c r="G249" i="19"/>
  <c r="G231" i="19"/>
  <c r="T231" i="19" s="1"/>
  <c r="G161" i="19"/>
  <c r="T161" i="19" s="1"/>
  <c r="G89" i="19"/>
  <c r="T89" i="19" s="1"/>
  <c r="G71" i="19"/>
  <c r="T71" i="19" s="1"/>
  <c r="G49" i="19"/>
  <c r="G45" i="19"/>
  <c r="T45" i="19" s="1"/>
  <c r="Y231" i="19"/>
  <c r="C229" i="32" s="1"/>
  <c r="E229" i="32" s="1"/>
  <c r="Y223" i="19"/>
  <c r="C221" i="32" s="1"/>
  <c r="E221" i="32" s="1"/>
  <c r="Y143" i="19"/>
  <c r="C141" i="32" s="1"/>
  <c r="E141" i="32" s="1"/>
  <c r="Y135" i="19"/>
  <c r="C133" i="32" s="1"/>
  <c r="E133" i="32" s="1"/>
  <c r="Y127" i="19"/>
  <c r="C125" i="32" s="1"/>
  <c r="E125" i="32" s="1"/>
  <c r="Y95" i="19"/>
  <c r="C93" i="32" s="1"/>
  <c r="E93" i="32" s="1"/>
  <c r="Y87" i="19"/>
  <c r="C85" i="32" s="1"/>
  <c r="E85" i="32" s="1"/>
  <c r="Y71" i="19"/>
  <c r="C69" i="32" s="1"/>
  <c r="E69" i="32" s="1"/>
  <c r="G310" i="19"/>
  <c r="T310" i="19" s="1"/>
  <c r="G304" i="19"/>
  <c r="T304" i="19" s="1"/>
  <c r="G298" i="19"/>
  <c r="T298" i="19" s="1"/>
  <c r="G288" i="19"/>
  <c r="T288" i="19" s="1"/>
  <c r="G272" i="19"/>
  <c r="G256" i="19"/>
  <c r="T256" i="19" s="1"/>
  <c r="G236" i="19"/>
  <c r="T236" i="19" s="1"/>
  <c r="G230" i="19"/>
  <c r="T230" i="19" s="1"/>
  <c r="G218" i="19"/>
  <c r="T218" i="19" s="1"/>
  <c r="G212" i="19"/>
  <c r="T212" i="19" s="1"/>
  <c r="G204" i="19"/>
  <c r="T204" i="19" s="1"/>
  <c r="G184" i="19"/>
  <c r="T184" i="19" s="1"/>
  <c r="G178" i="19"/>
  <c r="T178" i="19" s="1"/>
  <c r="G168" i="19"/>
  <c r="T168" i="19" s="1"/>
  <c r="G158" i="19"/>
  <c r="G154" i="19"/>
  <c r="T154" i="19" s="1"/>
  <c r="G144" i="19"/>
  <c r="T144" i="19" s="1"/>
  <c r="G138" i="19"/>
  <c r="T138" i="19" s="1"/>
  <c r="G128" i="19"/>
  <c r="T128" i="19" s="1"/>
  <c r="G122" i="19"/>
  <c r="T122" i="19" s="1"/>
  <c r="G114" i="19"/>
  <c r="G102" i="19"/>
  <c r="T102" i="19" s="1"/>
  <c r="G96" i="19"/>
  <c r="T96" i="19" s="1"/>
  <c r="G80" i="19"/>
  <c r="T80" i="19" s="1"/>
  <c r="G40" i="19"/>
  <c r="G32" i="19"/>
  <c r="T32" i="19" s="1"/>
  <c r="G20" i="19"/>
  <c r="T20" i="19" s="1"/>
  <c r="G14" i="19"/>
  <c r="T14" i="19" s="1"/>
  <c r="Y193" i="19"/>
  <c r="C191" i="32" s="1"/>
  <c r="E191" i="32" s="1"/>
  <c r="Y177" i="19"/>
  <c r="C175" i="32" s="1"/>
  <c r="E175" i="32" s="1"/>
  <c r="Y113" i="19"/>
  <c r="C111" i="32" s="1"/>
  <c r="E111" i="32" s="1"/>
  <c r="Y81" i="19"/>
  <c r="C79" i="32" s="1"/>
  <c r="E79" i="32" s="1"/>
  <c r="Y311" i="19"/>
  <c r="C309" i="32" s="1"/>
  <c r="E309" i="32" s="1"/>
  <c r="Y303" i="19"/>
  <c r="C301" i="32" s="1"/>
  <c r="E301" i="32" s="1"/>
  <c r="Y295" i="19"/>
  <c r="C293" i="32" s="1"/>
  <c r="E293" i="32" s="1"/>
  <c r="Y287" i="19"/>
  <c r="C285" i="32" s="1"/>
  <c r="E285" i="32" s="1"/>
  <c r="Y279" i="19"/>
  <c r="C277" i="32" s="1"/>
  <c r="E277" i="32" s="1"/>
  <c r="Y271" i="19"/>
  <c r="C269" i="32" s="1"/>
  <c r="E269" i="32" s="1"/>
  <c r="Y263" i="19"/>
  <c r="C261" i="32" s="1"/>
  <c r="E261" i="32" s="1"/>
  <c r="Y255" i="19"/>
  <c r="C253" i="32" s="1"/>
  <c r="E253" i="32" s="1"/>
  <c r="Y247" i="19"/>
  <c r="C245" i="32" s="1"/>
  <c r="E245" i="32" s="1"/>
  <c r="Y215" i="19"/>
  <c r="C213" i="32" s="1"/>
  <c r="E213" i="32" s="1"/>
  <c r="Y207" i="19"/>
  <c r="C205" i="32" s="1"/>
  <c r="E205" i="32" s="1"/>
  <c r="Y199" i="19"/>
  <c r="C197" i="32" s="1"/>
  <c r="E197" i="32" s="1"/>
  <c r="Y191" i="19"/>
  <c r="C189" i="32" s="1"/>
  <c r="E189" i="32" s="1"/>
  <c r="Y175" i="19"/>
  <c r="C173" i="32" s="1"/>
  <c r="E173" i="32" s="1"/>
  <c r="Y23" i="19"/>
  <c r="C21" i="32" s="1"/>
  <c r="E21" i="32" s="1"/>
  <c r="Y315" i="19"/>
  <c r="C313" i="32" s="1"/>
  <c r="E313" i="32" s="1"/>
  <c r="Y307" i="19"/>
  <c r="C305" i="32" s="1"/>
  <c r="E305" i="32" s="1"/>
  <c r="Y299" i="19"/>
  <c r="C297" i="32" s="1"/>
  <c r="E297" i="32" s="1"/>
  <c r="Y291" i="19"/>
  <c r="C289" i="32" s="1"/>
  <c r="E289" i="32" s="1"/>
  <c r="Y283" i="19"/>
  <c r="C281" i="32" s="1"/>
  <c r="E281" i="32" s="1"/>
  <c r="Y275" i="19"/>
  <c r="C273" i="32" s="1"/>
  <c r="E273" i="32" s="1"/>
  <c r="Y267" i="19"/>
  <c r="C265" i="32" s="1"/>
  <c r="E265" i="32" s="1"/>
  <c r="Y259" i="19"/>
  <c r="C257" i="32" s="1"/>
  <c r="E257" i="32" s="1"/>
  <c r="Y251" i="19"/>
  <c r="C249" i="32" s="1"/>
  <c r="E249" i="32" s="1"/>
  <c r="Y243" i="19"/>
  <c r="C241" i="32" s="1"/>
  <c r="E241" i="32" s="1"/>
  <c r="Y235" i="19"/>
  <c r="C233" i="32" s="1"/>
  <c r="E233" i="32" s="1"/>
  <c r="Y227" i="19"/>
  <c r="C225" i="32" s="1"/>
  <c r="E225" i="32" s="1"/>
  <c r="Y219" i="19"/>
  <c r="C217" i="32" s="1"/>
  <c r="E217" i="32" s="1"/>
  <c r="Y211" i="19"/>
  <c r="C209" i="32" s="1"/>
  <c r="E209" i="32" s="1"/>
  <c r="Y203" i="19"/>
  <c r="C201" i="32" s="1"/>
  <c r="E201" i="32" s="1"/>
  <c r="Y195" i="19"/>
  <c r="C193" i="32" s="1"/>
  <c r="E193" i="32" s="1"/>
  <c r="Y187" i="19"/>
  <c r="C185" i="32" s="1"/>
  <c r="E185" i="32" s="1"/>
  <c r="Y179" i="19"/>
  <c r="C177" i="32" s="1"/>
  <c r="E177" i="32" s="1"/>
  <c r="Y168" i="19"/>
  <c r="C166" i="32" s="1"/>
  <c r="E166" i="32" s="1"/>
  <c r="Y163" i="19"/>
  <c r="C161" i="32" s="1"/>
  <c r="E161" i="32" s="1"/>
  <c r="Y155" i="19"/>
  <c r="C153" i="32" s="1"/>
  <c r="E153" i="32" s="1"/>
  <c r="Y152" i="19"/>
  <c r="C150" i="32" s="1"/>
  <c r="E150" i="32" s="1"/>
  <c r="Y147" i="19"/>
  <c r="C145" i="32" s="1"/>
  <c r="E145" i="32" s="1"/>
  <c r="Y139" i="19"/>
  <c r="C137" i="32" s="1"/>
  <c r="E137" i="32" s="1"/>
  <c r="Y131" i="19"/>
  <c r="C129" i="32" s="1"/>
  <c r="E129" i="32" s="1"/>
  <c r="Y123" i="19"/>
  <c r="C121" i="32" s="1"/>
  <c r="E121" i="32" s="1"/>
  <c r="Y115" i="19"/>
  <c r="C113" i="32" s="1"/>
  <c r="E113" i="32" s="1"/>
  <c r="Y107" i="19"/>
  <c r="C105" i="32" s="1"/>
  <c r="E105" i="32" s="1"/>
  <c r="Y99" i="19"/>
  <c r="C97" i="32" s="1"/>
  <c r="E97" i="32" s="1"/>
  <c r="Y91" i="19"/>
  <c r="C89" i="32" s="1"/>
  <c r="E89" i="32" s="1"/>
  <c r="Y83" i="19"/>
  <c r="C81" i="32" s="1"/>
  <c r="E81" i="32" s="1"/>
  <c r="Y75" i="19"/>
  <c r="C73" i="32" s="1"/>
  <c r="E73" i="32" s="1"/>
  <c r="Y67" i="19"/>
  <c r="C65" i="32" s="1"/>
  <c r="E65" i="32" s="1"/>
  <c r="Y59" i="19"/>
  <c r="C57" i="32" s="1"/>
  <c r="E57" i="32" s="1"/>
  <c r="Y51" i="19"/>
  <c r="C49" i="32" s="1"/>
  <c r="E49" i="32" s="1"/>
  <c r="Y43" i="19"/>
  <c r="C41" i="32" s="1"/>
  <c r="E41" i="32" s="1"/>
  <c r="Y35" i="19"/>
  <c r="C33" i="32" s="1"/>
  <c r="E33" i="32" s="1"/>
  <c r="Y32" i="19"/>
  <c r="C30" i="32" s="1"/>
  <c r="E30" i="32" s="1"/>
  <c r="Y27" i="19"/>
  <c r="C25" i="32" s="1"/>
  <c r="E25" i="32" s="1"/>
  <c r="Y19" i="19"/>
  <c r="C17" i="32" s="1"/>
  <c r="E17" i="32" s="1"/>
  <c r="Y11" i="19"/>
  <c r="C9" i="32" s="1"/>
  <c r="E9" i="32" s="1"/>
  <c r="Y312" i="19"/>
  <c r="C310" i="32" s="1"/>
  <c r="E310" i="32" s="1"/>
  <c r="Y309" i="19"/>
  <c r="C307" i="32" s="1"/>
  <c r="E307" i="32" s="1"/>
  <c r="Y304" i="19"/>
  <c r="C302" i="32" s="1"/>
  <c r="E302" i="32" s="1"/>
  <c r="Y296" i="19"/>
  <c r="C294" i="32" s="1"/>
  <c r="E294" i="32" s="1"/>
  <c r="Y293" i="19"/>
  <c r="C291" i="32" s="1"/>
  <c r="E291" i="32" s="1"/>
  <c r="Y288" i="19"/>
  <c r="C286" i="32" s="1"/>
  <c r="E286" i="32" s="1"/>
  <c r="Y280" i="19"/>
  <c r="C278" i="32" s="1"/>
  <c r="E278" i="32" s="1"/>
  <c r="Y277" i="19"/>
  <c r="C275" i="32" s="1"/>
  <c r="E275" i="32" s="1"/>
  <c r="Y272" i="19"/>
  <c r="C270" i="32" s="1"/>
  <c r="E270" i="32" s="1"/>
  <c r="Y264" i="19"/>
  <c r="C262" i="32" s="1"/>
  <c r="E262" i="32" s="1"/>
  <c r="Y261" i="19"/>
  <c r="C259" i="32" s="1"/>
  <c r="E259" i="32" s="1"/>
  <c r="Y256" i="19"/>
  <c r="C254" i="32" s="1"/>
  <c r="E254" i="32" s="1"/>
  <c r="Y248" i="19"/>
  <c r="C246" i="32" s="1"/>
  <c r="E246" i="32" s="1"/>
  <c r="Y237" i="19"/>
  <c r="C235" i="32" s="1"/>
  <c r="E235" i="32" s="1"/>
  <c r="Y229" i="19"/>
  <c r="C227" i="32" s="1"/>
  <c r="E227" i="32" s="1"/>
  <c r="Y221" i="19"/>
  <c r="C219" i="32" s="1"/>
  <c r="E219" i="32" s="1"/>
  <c r="Y218" i="19"/>
  <c r="C216" i="32" s="1"/>
  <c r="E216" i="32" s="1"/>
  <c r="Y210" i="19"/>
  <c r="C208" i="32" s="1"/>
  <c r="E208" i="32" s="1"/>
  <c r="Y202" i="19"/>
  <c r="C200" i="32" s="1"/>
  <c r="E200" i="32" s="1"/>
  <c r="Y197" i="19"/>
  <c r="C195" i="32" s="1"/>
  <c r="E195" i="32" s="1"/>
  <c r="Y194" i="19"/>
  <c r="C192" i="32" s="1"/>
  <c r="E192" i="32" s="1"/>
  <c r="Y189" i="19"/>
  <c r="C187" i="32" s="1"/>
  <c r="E187" i="32" s="1"/>
  <c r="Y178" i="19"/>
  <c r="C176" i="32" s="1"/>
  <c r="E176" i="32" s="1"/>
  <c r="Y176" i="19"/>
  <c r="C174" i="32" s="1"/>
  <c r="E174" i="32" s="1"/>
  <c r="Y160" i="19"/>
  <c r="C158" i="32" s="1"/>
  <c r="E158" i="32" s="1"/>
  <c r="Y141" i="19"/>
  <c r="C139" i="32" s="1"/>
  <c r="E139" i="32" s="1"/>
  <c r="Y133" i="19"/>
  <c r="C131" i="32" s="1"/>
  <c r="E131" i="32" s="1"/>
  <c r="Y117" i="19"/>
  <c r="C115" i="32" s="1"/>
  <c r="E115" i="32" s="1"/>
  <c r="Y101" i="19"/>
  <c r="C99" i="32" s="1"/>
  <c r="E99" i="32" s="1"/>
  <c r="Y85" i="19"/>
  <c r="C83" i="32" s="1"/>
  <c r="E83" i="32" s="1"/>
  <c r="Y69" i="19"/>
  <c r="C67" i="32" s="1"/>
  <c r="E67" i="32" s="1"/>
  <c r="Y48" i="19"/>
  <c r="C46" i="32" s="1"/>
  <c r="E46" i="32" s="1"/>
  <c r="Y21" i="19"/>
  <c r="C19" i="32" s="1"/>
  <c r="E19" i="32" s="1"/>
  <c r="G312" i="19"/>
  <c r="T312" i="19" s="1"/>
  <c r="G284" i="19"/>
  <c r="T284" i="19" s="1"/>
  <c r="G276" i="19"/>
  <c r="T276" i="19" s="1"/>
  <c r="G270" i="19"/>
  <c r="T270" i="19" s="1"/>
  <c r="G262" i="19"/>
  <c r="T262" i="19" s="1"/>
  <c r="G254" i="19"/>
  <c r="T254" i="19" s="1"/>
  <c r="G246" i="19"/>
  <c r="T246" i="19" s="1"/>
  <c r="G234" i="19"/>
  <c r="T234" i="19" s="1"/>
  <c r="G206" i="19"/>
  <c r="T206" i="19" s="1"/>
  <c r="G300" i="19"/>
  <c r="T300" i="19" s="1"/>
  <c r="G280" i="19"/>
  <c r="T280" i="19" s="1"/>
  <c r="G274" i="19"/>
  <c r="G268" i="19"/>
  <c r="T268" i="19" s="1"/>
  <c r="G258" i="19"/>
  <c r="T258" i="19" s="1"/>
  <c r="G252" i="19"/>
  <c r="T252" i="19" s="1"/>
  <c r="G222" i="19"/>
  <c r="T222" i="19" s="1"/>
  <c r="G216" i="19"/>
  <c r="T216" i="19" s="1"/>
  <c r="G289" i="19"/>
  <c r="G277" i="19"/>
  <c r="T277" i="19" s="1"/>
  <c r="G273" i="19"/>
  <c r="T273" i="19" s="1"/>
  <c r="G261" i="19"/>
  <c r="T261" i="19" s="1"/>
  <c r="G257" i="19"/>
  <c r="G253" i="19"/>
  <c r="T253" i="19" s="1"/>
  <c r="G239" i="19"/>
  <c r="G223" i="19"/>
  <c r="T223" i="19" s="1"/>
  <c r="G205" i="19"/>
  <c r="T205" i="19" s="1"/>
  <c r="G201" i="19"/>
  <c r="G193" i="19"/>
  <c r="T193" i="19" s="1"/>
  <c r="G189" i="19"/>
  <c r="G187" i="19"/>
  <c r="G175" i="19"/>
  <c r="T175" i="19" s="1"/>
  <c r="G169" i="19"/>
  <c r="T169" i="19" s="1"/>
  <c r="G153" i="19"/>
  <c r="G137" i="19"/>
  <c r="T137" i="19" s="1"/>
  <c r="G121" i="19"/>
  <c r="G113" i="19"/>
  <c r="T113" i="19" s="1"/>
  <c r="G105" i="19"/>
  <c r="T105" i="19" s="1"/>
  <c r="G97" i="19"/>
  <c r="T97" i="19" s="1"/>
  <c r="G95" i="19"/>
  <c r="T95" i="19" s="1"/>
  <c r="G85" i="19"/>
  <c r="T85" i="19" s="1"/>
  <c r="G81" i="19"/>
  <c r="T81" i="19" s="1"/>
  <c r="G79" i="19"/>
  <c r="G73" i="19"/>
  <c r="T73" i="19" s="1"/>
  <c r="G69" i="19"/>
  <c r="T69" i="19" s="1"/>
  <c r="G63" i="19"/>
  <c r="T63" i="19" s="1"/>
  <c r="G61" i="19"/>
  <c r="G57" i="19"/>
  <c r="G55" i="19"/>
  <c r="T55" i="19" s="1"/>
  <c r="G53" i="19"/>
  <c r="T53" i="19" s="1"/>
  <c r="G39" i="19"/>
  <c r="T39" i="19" s="1"/>
  <c r="G37" i="19"/>
  <c r="T37" i="19" s="1"/>
  <c r="G33" i="19"/>
  <c r="T33" i="19" s="1"/>
  <c r="G31" i="19"/>
  <c r="G25" i="19"/>
  <c r="T25" i="19" s="1"/>
  <c r="G23" i="19"/>
  <c r="T23" i="19" s="1"/>
  <c r="G308" i="19"/>
  <c r="T308" i="19" s="1"/>
  <c r="G292" i="19"/>
  <c r="T292" i="19" s="1"/>
  <c r="G278" i="19"/>
  <c r="T278" i="19" s="1"/>
  <c r="G266" i="19"/>
  <c r="T266" i="19" s="1"/>
  <c r="G260" i="19"/>
  <c r="T260" i="19" s="1"/>
  <c r="G250" i="19"/>
  <c r="T250" i="19" s="1"/>
  <c r="G242" i="19"/>
  <c r="T242" i="19" s="1"/>
  <c r="G226" i="19"/>
  <c r="T226" i="19" s="1"/>
  <c r="G208" i="19"/>
  <c r="T208" i="19" s="1"/>
  <c r="G305" i="19"/>
  <c r="G269" i="19"/>
  <c r="T269" i="19" s="1"/>
  <c r="G311" i="19"/>
  <c r="T311" i="19" s="1"/>
  <c r="G309" i="19"/>
  <c r="T309" i="19" s="1"/>
  <c r="G307" i="19"/>
  <c r="G303" i="19"/>
  <c r="T303" i="19" s="1"/>
  <c r="G301" i="19"/>
  <c r="T301" i="19" s="1"/>
  <c r="G299" i="19"/>
  <c r="T299" i="19" s="1"/>
  <c r="G295" i="19"/>
  <c r="G293" i="19"/>
  <c r="T293" i="19" s="1"/>
  <c r="G291" i="19"/>
  <c r="G287" i="19"/>
  <c r="G285" i="19"/>
  <c r="T285" i="19" s="1"/>
  <c r="G283" i="19"/>
  <c r="G275" i="19"/>
  <c r="T275" i="19" s="1"/>
  <c r="G267" i="19"/>
  <c r="T267" i="19" s="1"/>
  <c r="G259" i="19"/>
  <c r="T259" i="19" s="1"/>
  <c r="G251" i="19"/>
  <c r="T251" i="19" s="1"/>
  <c r="G243" i="19"/>
  <c r="G241" i="19"/>
  <c r="G237" i="19"/>
  <c r="T237" i="19" s="1"/>
  <c r="G235" i="19"/>
  <c r="T235" i="19" s="1"/>
  <c r="G233" i="19"/>
  <c r="T233" i="19" s="1"/>
  <c r="G229" i="19"/>
  <c r="T229" i="19" s="1"/>
  <c r="G227" i="19"/>
  <c r="G225" i="19"/>
  <c r="G219" i="19"/>
  <c r="T219" i="19" s="1"/>
  <c r="G202" i="19"/>
  <c r="T202" i="19" s="1"/>
  <c r="G200" i="19"/>
  <c r="T200" i="19" s="1"/>
  <c r="G198" i="19"/>
  <c r="T198" i="19" s="1"/>
  <c r="G194" i="19"/>
  <c r="T194" i="19" s="1"/>
  <c r="G192" i="19"/>
  <c r="T192" i="19" s="1"/>
  <c r="G190" i="19"/>
  <c r="T190" i="19" s="1"/>
  <c r="G188" i="19"/>
  <c r="T188" i="19" s="1"/>
  <c r="G182" i="19"/>
  <c r="T182" i="19" s="1"/>
  <c r="G176" i="19"/>
  <c r="T176" i="19" s="1"/>
  <c r="G174" i="19"/>
  <c r="T174" i="19" s="1"/>
  <c r="G172" i="19"/>
  <c r="T172" i="19" s="1"/>
  <c r="G164" i="19"/>
  <c r="T164" i="19" s="1"/>
  <c r="G156" i="19"/>
  <c r="T156" i="19" s="1"/>
  <c r="G148" i="19"/>
  <c r="T148" i="19" s="1"/>
  <c r="G140" i="19"/>
  <c r="T140" i="19" s="1"/>
  <c r="G132" i="19"/>
  <c r="T132" i="19" s="1"/>
  <c r="G124" i="19"/>
  <c r="T124" i="19" s="1"/>
  <c r="G116" i="19"/>
  <c r="T116" i="19" s="1"/>
  <c r="G108" i="19"/>
  <c r="T108" i="19" s="1"/>
  <c r="G100" i="19"/>
  <c r="T100" i="19" s="1"/>
  <c r="G98" i="19"/>
  <c r="T98" i="19" s="1"/>
  <c r="G94" i="19"/>
  <c r="G92" i="19"/>
  <c r="G90" i="19"/>
  <c r="T90" i="19" s="1"/>
  <c r="G86" i="19"/>
  <c r="T86" i="19" s="1"/>
  <c r="G84" i="19"/>
  <c r="T84" i="19" s="1"/>
  <c r="G82" i="19"/>
  <c r="G78" i="19"/>
  <c r="T78" i="19" s="1"/>
  <c r="G76" i="19"/>
  <c r="T76" i="19" s="1"/>
  <c r="G74" i="19"/>
  <c r="G70" i="19"/>
  <c r="G68" i="19"/>
  <c r="T68" i="19" s="1"/>
  <c r="G66" i="19"/>
  <c r="T66" i="19" s="1"/>
  <c r="G62" i="19"/>
  <c r="T62" i="19" s="1"/>
  <c r="G60" i="19"/>
  <c r="T60" i="19" s="1"/>
  <c r="G58" i="19"/>
  <c r="T58" i="19" s="1"/>
  <c r="G54" i="19"/>
  <c r="G52" i="19"/>
  <c r="T52" i="19" s="1"/>
  <c r="G50" i="19"/>
  <c r="G46" i="19"/>
  <c r="T46" i="19" s="1"/>
  <c r="G44" i="19"/>
  <c r="T44" i="19" s="1"/>
  <c r="G42" i="19"/>
  <c r="T42" i="19" s="1"/>
  <c r="G38" i="19"/>
  <c r="T38" i="19" s="1"/>
  <c r="G36" i="19"/>
  <c r="T36" i="19" s="1"/>
  <c r="G34" i="19"/>
  <c r="T34" i="19" s="1"/>
  <c r="G30" i="19"/>
  <c r="T30" i="19" s="1"/>
  <c r="G28" i="19"/>
  <c r="T28" i="19" s="1"/>
  <c r="G26" i="19"/>
  <c r="G24" i="19"/>
  <c r="T24" i="19" s="1"/>
  <c r="G18" i="19"/>
  <c r="T18" i="19" s="1"/>
  <c r="G10" i="19"/>
  <c r="G217" i="19"/>
  <c r="T217" i="19" s="1"/>
  <c r="G215" i="19"/>
  <c r="T215" i="19" s="1"/>
  <c r="G211" i="19"/>
  <c r="G209" i="19"/>
  <c r="G207" i="19"/>
  <c r="T207" i="19" s="1"/>
  <c r="G199" i="19"/>
  <c r="T199" i="19" s="1"/>
  <c r="G191" i="19"/>
  <c r="T191" i="19" s="1"/>
  <c r="G185" i="19"/>
  <c r="T185" i="19" s="1"/>
  <c r="G183" i="19"/>
  <c r="G181" i="19"/>
  <c r="T181" i="19" s="1"/>
  <c r="G177" i="19"/>
  <c r="T177" i="19" s="1"/>
  <c r="G173" i="19"/>
  <c r="G167" i="19"/>
  <c r="T167" i="19" s="1"/>
  <c r="G165" i="19"/>
  <c r="T165" i="19" s="1"/>
  <c r="G163" i="19"/>
  <c r="T163" i="19" s="1"/>
  <c r="G159" i="19"/>
  <c r="G157" i="19"/>
  <c r="G155" i="19"/>
  <c r="T155" i="19" s="1"/>
  <c r="G151" i="19"/>
  <c r="G149" i="19"/>
  <c r="T149" i="19" s="1"/>
  <c r="G147" i="19"/>
  <c r="T147" i="19" s="1"/>
  <c r="G143" i="19"/>
  <c r="T143" i="19" s="1"/>
  <c r="G141" i="19"/>
  <c r="T141" i="19" s="1"/>
  <c r="G139" i="19"/>
  <c r="T139" i="19" s="1"/>
  <c r="G135" i="19"/>
  <c r="G133" i="19"/>
  <c r="G131" i="19"/>
  <c r="T131" i="19" s="1"/>
  <c r="G127" i="19"/>
  <c r="T127" i="19" s="1"/>
  <c r="G125" i="19"/>
  <c r="G123" i="19"/>
  <c r="G119" i="19"/>
  <c r="T119" i="19" s="1"/>
  <c r="G117" i="19"/>
  <c r="T117" i="19" s="1"/>
  <c r="G115" i="19"/>
  <c r="G111" i="19"/>
  <c r="T111" i="19" s="1"/>
  <c r="G109" i="19"/>
  <c r="G107" i="19"/>
  <c r="G103" i="19"/>
  <c r="T103" i="19" s="1"/>
  <c r="G101" i="19"/>
  <c r="T101" i="19" s="1"/>
  <c r="G99" i="19"/>
  <c r="T99" i="19" s="1"/>
  <c r="G91" i="19"/>
  <c r="T91" i="19" s="1"/>
  <c r="G83" i="19"/>
  <c r="G75" i="19"/>
  <c r="T75" i="19" s="1"/>
  <c r="G67" i="19"/>
  <c r="T67" i="19" s="1"/>
  <c r="G59" i="19"/>
  <c r="T59" i="19" s="1"/>
  <c r="G51" i="19"/>
  <c r="T51" i="19" s="1"/>
  <c r="G43" i="19"/>
  <c r="T43" i="19" s="1"/>
  <c r="G35" i="19"/>
  <c r="G27" i="19"/>
  <c r="T27" i="19" s="1"/>
  <c r="G21" i="19"/>
  <c r="G19" i="19"/>
  <c r="G17" i="19"/>
  <c r="T17" i="19" s="1"/>
  <c r="G13" i="19"/>
  <c r="G11" i="19"/>
  <c r="T11" i="19" s="1"/>
  <c r="G9" i="19"/>
  <c r="T9" i="19" s="1"/>
  <c r="Y200" i="19"/>
  <c r="C198" i="32" s="1"/>
  <c r="E198" i="32" s="1"/>
  <c r="Y216" i="19"/>
  <c r="C214" i="32" s="1"/>
  <c r="E214" i="32" s="1"/>
  <c r="Y208" i="19"/>
  <c r="C206" i="32" s="1"/>
  <c r="E206" i="32" s="1"/>
  <c r="Y88" i="19"/>
  <c r="C86" i="32" s="1"/>
  <c r="E86" i="32" s="1"/>
  <c r="Y80" i="19"/>
  <c r="C78" i="32" s="1"/>
  <c r="E78" i="32" s="1"/>
  <c r="Y173" i="19"/>
  <c r="C171" i="32" s="1"/>
  <c r="E171" i="32" s="1"/>
  <c r="Y125" i="19"/>
  <c r="C123" i="32" s="1"/>
  <c r="E123" i="32" s="1"/>
  <c r="Y53" i="19"/>
  <c r="C51" i="32" s="1"/>
  <c r="E51" i="32" s="1"/>
  <c r="Y37" i="19"/>
  <c r="C35" i="32" s="1"/>
  <c r="E35" i="32" s="1"/>
  <c r="Y314" i="19"/>
  <c r="C312" i="32" s="1"/>
  <c r="E312" i="32" s="1"/>
  <c r="Y306" i="19"/>
  <c r="C304" i="32" s="1"/>
  <c r="E304" i="32" s="1"/>
  <c r="Y298" i="19"/>
  <c r="C296" i="32" s="1"/>
  <c r="E296" i="32" s="1"/>
  <c r="Y290" i="19"/>
  <c r="C288" i="32" s="1"/>
  <c r="E288" i="32" s="1"/>
  <c r="Y282" i="19"/>
  <c r="C280" i="32" s="1"/>
  <c r="E280" i="32" s="1"/>
  <c r="Y274" i="19"/>
  <c r="C272" i="32" s="1"/>
  <c r="E272" i="32" s="1"/>
  <c r="Y266" i="19"/>
  <c r="C264" i="32" s="1"/>
  <c r="E264" i="32" s="1"/>
  <c r="Y258" i="19"/>
  <c r="C256" i="32" s="1"/>
  <c r="E256" i="32" s="1"/>
  <c r="Y250" i="19"/>
  <c r="C248" i="32" s="1"/>
  <c r="E248" i="32" s="1"/>
  <c r="Y242" i="19"/>
  <c r="C240" i="32" s="1"/>
  <c r="E240" i="32" s="1"/>
  <c r="Y234" i="19"/>
  <c r="C232" i="32" s="1"/>
  <c r="E232" i="32" s="1"/>
  <c r="Y226" i="19"/>
  <c r="C224" i="32" s="1"/>
  <c r="E224" i="32" s="1"/>
  <c r="Y170" i="19"/>
  <c r="C168" i="32" s="1"/>
  <c r="E168" i="32" s="1"/>
  <c r="Y162" i="19"/>
  <c r="C160" i="32" s="1"/>
  <c r="E160" i="32" s="1"/>
  <c r="Y154" i="19"/>
  <c r="C152" i="32" s="1"/>
  <c r="E152" i="32" s="1"/>
  <c r="Y146" i="19"/>
  <c r="C144" i="32" s="1"/>
  <c r="E144" i="32" s="1"/>
  <c r="Y138" i="19"/>
  <c r="C136" i="32" s="1"/>
  <c r="E136" i="32" s="1"/>
  <c r="Y10" i="19"/>
  <c r="C8" i="32" s="1"/>
  <c r="E8" i="32" s="1"/>
  <c r="Y232" i="19"/>
  <c r="C230" i="32" s="1"/>
  <c r="E230" i="32" s="1"/>
  <c r="Y192" i="19"/>
  <c r="C190" i="32" s="1"/>
  <c r="E190" i="32" s="1"/>
  <c r="Y184" i="19"/>
  <c r="C182" i="32" s="1"/>
  <c r="E182" i="32" s="1"/>
  <c r="Y136" i="19"/>
  <c r="C134" i="32" s="1"/>
  <c r="E134" i="32" s="1"/>
  <c r="Y128" i="19"/>
  <c r="C126" i="32" s="1"/>
  <c r="E126" i="32" s="1"/>
  <c r="Y120" i="19"/>
  <c r="C118" i="32" s="1"/>
  <c r="E118" i="32" s="1"/>
  <c r="Y64" i="19"/>
  <c r="C62" i="32" s="1"/>
  <c r="E62" i="32" s="1"/>
  <c r="Y40" i="19"/>
  <c r="C38" i="32" s="1"/>
  <c r="E38" i="32" s="1"/>
  <c r="Y8" i="19"/>
  <c r="C6" i="32" s="1"/>
  <c r="E6" i="32" s="1"/>
  <c r="Y165" i="19"/>
  <c r="C163" i="32" s="1"/>
  <c r="E163" i="32" s="1"/>
  <c r="Y157" i="19"/>
  <c r="C155" i="32" s="1"/>
  <c r="E155" i="32" s="1"/>
  <c r="Y109" i="19"/>
  <c r="C107" i="32" s="1"/>
  <c r="E107" i="32" s="1"/>
  <c r="Y45" i="19"/>
  <c r="C43" i="32" s="1"/>
  <c r="E43" i="32" s="1"/>
  <c r="Y29" i="19"/>
  <c r="C27" i="32" s="1"/>
  <c r="E27" i="32" s="1"/>
  <c r="Y224" i="19"/>
  <c r="C222" i="32" s="1"/>
  <c r="E222" i="32" s="1"/>
  <c r="Y144" i="19"/>
  <c r="C142" i="32" s="1"/>
  <c r="E142" i="32" s="1"/>
  <c r="Y112" i="19"/>
  <c r="C110" i="32" s="1"/>
  <c r="E110" i="32" s="1"/>
  <c r="Y104" i="19"/>
  <c r="C102" i="32" s="1"/>
  <c r="E102" i="32" s="1"/>
  <c r="Y96" i="19"/>
  <c r="C94" i="32" s="1"/>
  <c r="E94" i="32" s="1"/>
  <c r="Y72" i="19"/>
  <c r="C70" i="32" s="1"/>
  <c r="E70" i="32" s="1"/>
  <c r="Y56" i="19"/>
  <c r="C54" i="32" s="1"/>
  <c r="E54" i="32" s="1"/>
  <c r="Y24" i="19"/>
  <c r="C22" i="32" s="1"/>
  <c r="E22" i="32" s="1"/>
  <c r="Y16" i="19"/>
  <c r="C14" i="32" s="1"/>
  <c r="E14" i="32" s="1"/>
  <c r="Y213" i="19"/>
  <c r="C211" i="32" s="1"/>
  <c r="E211" i="32" s="1"/>
  <c r="Y205" i="19"/>
  <c r="C203" i="32" s="1"/>
  <c r="E203" i="32" s="1"/>
  <c r="Y181" i="19"/>
  <c r="C179" i="32" s="1"/>
  <c r="E179" i="32" s="1"/>
  <c r="Y149" i="19"/>
  <c r="C147" i="32" s="1"/>
  <c r="E147" i="32" s="1"/>
  <c r="Y93" i="19"/>
  <c r="C91" i="32" s="1"/>
  <c r="E91" i="32" s="1"/>
  <c r="Y77" i="19"/>
  <c r="C75" i="32" s="1"/>
  <c r="E75" i="32" s="1"/>
  <c r="Y137" i="19"/>
  <c r="C135" i="32" s="1"/>
  <c r="E135" i="32" s="1"/>
  <c r="Y57" i="19"/>
  <c r="C55" i="32" s="1"/>
  <c r="E55" i="32" s="1"/>
  <c r="Y49" i="19"/>
  <c r="C47" i="32" s="1"/>
  <c r="E47" i="32" s="1"/>
  <c r="Y41" i="19"/>
  <c r="C39" i="32" s="1"/>
  <c r="E39" i="32" s="1"/>
  <c r="Y33" i="19"/>
  <c r="C31" i="32" s="1"/>
  <c r="E31" i="32" s="1"/>
  <c r="Y25" i="19"/>
  <c r="C23" i="32" s="1"/>
  <c r="Y17" i="19"/>
  <c r="C15" i="32" s="1"/>
  <c r="E15" i="32" s="1"/>
  <c r="Y9" i="19"/>
  <c r="C7" i="32" s="1"/>
  <c r="E7" i="32" s="1"/>
  <c r="Y13" i="19"/>
  <c r="C11" i="32" s="1"/>
  <c r="E11" i="32" s="1"/>
  <c r="Y130" i="19"/>
  <c r="C128" i="32" s="1"/>
  <c r="E128" i="32" s="1"/>
  <c r="Y122" i="19"/>
  <c r="C120" i="32" s="1"/>
  <c r="E120" i="32" s="1"/>
  <c r="Y114" i="19"/>
  <c r="C112" i="32" s="1"/>
  <c r="E112" i="32" s="1"/>
  <c r="Y106" i="19"/>
  <c r="C104" i="32" s="1"/>
  <c r="E104" i="32" s="1"/>
  <c r="Y98" i="19"/>
  <c r="C96" i="32" s="1"/>
  <c r="E96" i="32" s="1"/>
  <c r="Y90" i="19"/>
  <c r="C88" i="32" s="1"/>
  <c r="E88" i="32" s="1"/>
  <c r="Y82" i="19"/>
  <c r="C80" i="32" s="1"/>
  <c r="E80" i="32" s="1"/>
  <c r="Y74" i="19"/>
  <c r="C72" i="32" s="1"/>
  <c r="E72" i="32" s="1"/>
  <c r="Y66" i="19"/>
  <c r="C64" i="32" s="1"/>
  <c r="E64" i="32" s="1"/>
  <c r="Y58" i="19"/>
  <c r="C56" i="32" s="1"/>
  <c r="E56" i="32" s="1"/>
  <c r="Y50" i="19"/>
  <c r="C48" i="32" s="1"/>
  <c r="E48" i="32" s="1"/>
  <c r="Y42" i="19"/>
  <c r="C40" i="32" s="1"/>
  <c r="E40" i="32" s="1"/>
  <c r="Y34" i="19"/>
  <c r="C32" i="32" s="1"/>
  <c r="E32" i="32" s="1"/>
  <c r="Y26" i="19"/>
  <c r="C24" i="32" s="1"/>
  <c r="E24" i="32" s="1"/>
  <c r="Y18" i="19"/>
  <c r="C16" i="32" s="1"/>
  <c r="E16" i="32" s="1"/>
  <c r="Y183" i="19"/>
  <c r="C181" i="32" s="1"/>
  <c r="E181" i="32" s="1"/>
  <c r="Y151" i="19"/>
  <c r="C149" i="32" s="1"/>
  <c r="E149" i="32" s="1"/>
  <c r="Y55" i="19"/>
  <c r="C53" i="32" s="1"/>
  <c r="E53" i="32" s="1"/>
  <c r="Y47" i="19"/>
  <c r="C45" i="32" s="1"/>
  <c r="E45" i="32" s="1"/>
  <c r="Y39" i="19"/>
  <c r="C37" i="32" s="1"/>
  <c r="E37" i="32" s="1"/>
  <c r="Y31" i="19"/>
  <c r="C29" i="32" s="1"/>
  <c r="E29" i="32" s="1"/>
  <c r="Y15" i="19"/>
  <c r="C13" i="32" s="1"/>
  <c r="E13" i="32" s="1"/>
  <c r="L170" i="13"/>
  <c r="M170" i="13" s="1"/>
  <c r="E170" i="49"/>
  <c r="L219" i="13"/>
  <c r="M219" i="13" s="1"/>
  <c r="E219" i="49"/>
  <c r="E244" i="49"/>
  <c r="L244" i="13"/>
  <c r="M244" i="13" s="1"/>
  <c r="Y171" i="19"/>
  <c r="C169" i="32" s="1"/>
  <c r="E169" i="32" s="1"/>
  <c r="G171" i="19"/>
  <c r="T171" i="19" s="1"/>
  <c r="H170" i="49" s="1"/>
  <c r="D170" i="49"/>
  <c r="Y220" i="19"/>
  <c r="C218" i="32" s="1"/>
  <c r="E218" i="32" s="1"/>
  <c r="G220" i="19"/>
  <c r="T220" i="19" s="1"/>
  <c r="H219" i="49" s="1"/>
  <c r="D219" i="49"/>
  <c r="Y245" i="19"/>
  <c r="C243" i="32" s="1"/>
  <c r="E243" i="32" s="1"/>
  <c r="G245" i="19"/>
  <c r="T245" i="19" s="1"/>
  <c r="H244" i="49" s="1"/>
  <c r="D244" i="49"/>
  <c r="Y61" i="19"/>
  <c r="C59" i="32" s="1"/>
  <c r="E59" i="32" s="1"/>
  <c r="Y132" i="19"/>
  <c r="C130" i="32" s="1"/>
  <c r="E130" i="32" s="1"/>
  <c r="T241" i="19" l="1"/>
  <c r="R241" i="19"/>
  <c r="U241" i="19" s="1"/>
  <c r="R240" i="19"/>
  <c r="U240" i="19" s="1"/>
  <c r="T240" i="19"/>
  <c r="T239" i="19"/>
  <c r="R239" i="19"/>
  <c r="U239" i="19" s="1"/>
  <c r="R287" i="19"/>
  <c r="U287" i="19" s="1"/>
  <c r="R263" i="19"/>
  <c r="U263" i="19" s="1"/>
  <c r="R212" i="19"/>
  <c r="U212" i="19" s="1"/>
  <c r="R31" i="19"/>
  <c r="U31" i="19" s="1"/>
  <c r="R279" i="19"/>
  <c r="U279" i="19" s="1"/>
  <c r="R15" i="19"/>
  <c r="U15" i="19" s="1"/>
  <c r="R159" i="19"/>
  <c r="U159" i="19" s="1"/>
  <c r="R47" i="19"/>
  <c r="U47" i="19" s="1"/>
  <c r="R48" i="19"/>
  <c r="U48" i="19" s="1"/>
  <c r="R170" i="19"/>
  <c r="U170" i="19" s="1"/>
  <c r="R283" i="19"/>
  <c r="U283" i="19" s="1"/>
  <c r="R315" i="19"/>
  <c r="U315" i="19" s="1"/>
  <c r="R88" i="19"/>
  <c r="U88" i="19" s="1"/>
  <c r="R87" i="19"/>
  <c r="U87" i="19" s="1"/>
  <c r="R57" i="19"/>
  <c r="U57" i="19" s="1"/>
  <c r="R215" i="19"/>
  <c r="U215" i="19" s="1"/>
  <c r="R196" i="19"/>
  <c r="U196" i="19" s="1"/>
  <c r="R16" i="19"/>
  <c r="U16" i="19" s="1"/>
  <c r="R135" i="19"/>
  <c r="U135" i="19" s="1"/>
  <c r="R213" i="19"/>
  <c r="U213" i="19" s="1"/>
  <c r="R10" i="19"/>
  <c r="U10" i="19" s="1"/>
  <c r="R82" i="19"/>
  <c r="U82" i="19" s="1"/>
  <c r="R225" i="19"/>
  <c r="U225" i="19" s="1"/>
  <c r="R265" i="19"/>
  <c r="U265" i="19" s="1"/>
  <c r="R74" i="19"/>
  <c r="U74" i="19" s="1"/>
  <c r="R153" i="19"/>
  <c r="U153" i="19" s="1"/>
  <c r="R71" i="19"/>
  <c r="U71" i="19" s="1"/>
  <c r="T57" i="19"/>
  <c r="R30" i="19"/>
  <c r="U30" i="19" s="1"/>
  <c r="R46" i="19"/>
  <c r="U46" i="19" s="1"/>
  <c r="R193" i="19"/>
  <c r="U193" i="19" s="1"/>
  <c r="T287" i="19"/>
  <c r="R264" i="19"/>
  <c r="U264" i="19" s="1"/>
  <c r="R93" i="19"/>
  <c r="U93" i="19" s="1"/>
  <c r="R182" i="19"/>
  <c r="U182" i="19" s="1"/>
  <c r="R142" i="19"/>
  <c r="U142" i="19" s="1"/>
  <c r="R203" i="19"/>
  <c r="U203" i="19" s="1"/>
  <c r="R165" i="19"/>
  <c r="U165" i="19" s="1"/>
  <c r="R232" i="19"/>
  <c r="U232" i="19" s="1"/>
  <c r="R22" i="19"/>
  <c r="U22" i="19" s="1"/>
  <c r="R32" i="19"/>
  <c r="U32" i="19" s="1"/>
  <c r="R268" i="19"/>
  <c r="U268" i="19" s="1"/>
  <c r="R69" i="19"/>
  <c r="U69" i="19" s="1"/>
  <c r="R147" i="19"/>
  <c r="U147" i="19" s="1"/>
  <c r="R143" i="19"/>
  <c r="U143" i="19" s="1"/>
  <c r="R41" i="19"/>
  <c r="U41" i="19" s="1"/>
  <c r="R303" i="19"/>
  <c r="U303" i="19" s="1"/>
  <c r="T47" i="19"/>
  <c r="T10" i="19"/>
  <c r="R112" i="19"/>
  <c r="U112" i="19" s="1"/>
  <c r="R197" i="19"/>
  <c r="U197" i="19" s="1"/>
  <c r="R286" i="19"/>
  <c r="U286" i="19" s="1"/>
  <c r="R133" i="19"/>
  <c r="U133" i="19" s="1"/>
  <c r="R223" i="19"/>
  <c r="U223" i="19" s="1"/>
  <c r="R95" i="19"/>
  <c r="U95" i="19" s="1"/>
  <c r="R80" i="19"/>
  <c r="U80" i="19" s="1"/>
  <c r="R43" i="19"/>
  <c r="U43" i="19" s="1"/>
  <c r="R108" i="19"/>
  <c r="U108" i="19" s="1"/>
  <c r="R172" i="19"/>
  <c r="U172" i="19" s="1"/>
  <c r="R120" i="19"/>
  <c r="U120" i="19" s="1"/>
  <c r="R38" i="19"/>
  <c r="U38" i="19" s="1"/>
  <c r="R115" i="19"/>
  <c r="U115" i="19" s="1"/>
  <c r="R185" i="19"/>
  <c r="U185" i="19" s="1"/>
  <c r="R60" i="19"/>
  <c r="U60" i="19" s="1"/>
  <c r="R23" i="19"/>
  <c r="U23" i="19" s="1"/>
  <c r="R76" i="19"/>
  <c r="U76" i="19" s="1"/>
  <c r="T87" i="19"/>
  <c r="R117" i="19"/>
  <c r="U117" i="19" s="1"/>
  <c r="R253" i="19"/>
  <c r="U253" i="19" s="1"/>
  <c r="R206" i="19"/>
  <c r="U206" i="19" s="1"/>
  <c r="R50" i="19"/>
  <c r="U50" i="19" s="1"/>
  <c r="R139" i="19"/>
  <c r="U139" i="19" s="1"/>
  <c r="R24" i="19"/>
  <c r="U24" i="19" s="1"/>
  <c r="T159" i="19"/>
  <c r="T82" i="19"/>
  <c r="T31" i="19"/>
  <c r="R109" i="19"/>
  <c r="U109" i="19" s="1"/>
  <c r="R238" i="19"/>
  <c r="U238" i="19" s="1"/>
  <c r="R179" i="19"/>
  <c r="U179" i="19" s="1"/>
  <c r="R119" i="19"/>
  <c r="U119" i="19" s="1"/>
  <c r="R247" i="19"/>
  <c r="U247" i="19" s="1"/>
  <c r="R313" i="19"/>
  <c r="U313" i="19" s="1"/>
  <c r="R34" i="19"/>
  <c r="U34" i="19" s="1"/>
  <c r="R300" i="19"/>
  <c r="U300" i="19" s="1"/>
  <c r="R56" i="19"/>
  <c r="U56" i="19" s="1"/>
  <c r="R184" i="19"/>
  <c r="U184" i="19" s="1"/>
  <c r="R141" i="19"/>
  <c r="U141" i="19" s="1"/>
  <c r="R157" i="19"/>
  <c r="U157" i="19" s="1"/>
  <c r="R183" i="19"/>
  <c r="U183" i="19" s="1"/>
  <c r="R100" i="19"/>
  <c r="U100" i="19" s="1"/>
  <c r="R191" i="19"/>
  <c r="U191" i="19" s="1"/>
  <c r="R255" i="19"/>
  <c r="U255" i="19" s="1"/>
  <c r="R101" i="19"/>
  <c r="U101" i="19" s="1"/>
  <c r="R271" i="19"/>
  <c r="U271" i="19" s="1"/>
  <c r="R234" i="19"/>
  <c r="U234" i="19" s="1"/>
  <c r="R64" i="19"/>
  <c r="U64" i="19" s="1"/>
  <c r="R285" i="19"/>
  <c r="U285" i="19" s="1"/>
  <c r="R91" i="19"/>
  <c r="U91" i="19" s="1"/>
  <c r="R65" i="19"/>
  <c r="U65" i="19" s="1"/>
  <c r="R162" i="19"/>
  <c r="U162" i="19" s="1"/>
  <c r="R195" i="19"/>
  <c r="U195" i="19" s="1"/>
  <c r="R35" i="19"/>
  <c r="U35" i="19" s="1"/>
  <c r="R307" i="19"/>
  <c r="U307" i="19" s="1"/>
  <c r="R174" i="19"/>
  <c r="U174" i="19" s="1"/>
  <c r="R81" i="19"/>
  <c r="U81" i="19" s="1"/>
  <c r="T153" i="19"/>
  <c r="R281" i="19"/>
  <c r="U281" i="19" s="1"/>
  <c r="R29" i="19"/>
  <c r="U29" i="19" s="1"/>
  <c r="T133" i="19"/>
  <c r="R221" i="19"/>
  <c r="U221" i="19" s="1"/>
  <c r="R258" i="19"/>
  <c r="U258" i="19" s="1"/>
  <c r="R237" i="19"/>
  <c r="U237" i="19" s="1"/>
  <c r="R309" i="19"/>
  <c r="U309" i="19" s="1"/>
  <c r="R207" i="19"/>
  <c r="U207" i="19" s="1"/>
  <c r="R243" i="19"/>
  <c r="U243" i="19" s="1"/>
  <c r="R113" i="19"/>
  <c r="U113" i="19" s="1"/>
  <c r="R89" i="19"/>
  <c r="U89" i="19" s="1"/>
  <c r="R299" i="19"/>
  <c r="U299" i="19" s="1"/>
  <c r="R126" i="19"/>
  <c r="U126" i="19" s="1"/>
  <c r="R145" i="19"/>
  <c r="U145" i="19" s="1"/>
  <c r="R154" i="19"/>
  <c r="U154" i="19" s="1"/>
  <c r="T35" i="19"/>
  <c r="T307" i="19"/>
  <c r="R62" i="19"/>
  <c r="U62" i="19" s="1"/>
  <c r="R308" i="19"/>
  <c r="U308" i="19" s="1"/>
  <c r="R84" i="19"/>
  <c r="U84" i="19" s="1"/>
  <c r="R276" i="19"/>
  <c r="U276" i="19" s="1"/>
  <c r="R288" i="19"/>
  <c r="U288" i="19" s="1"/>
  <c r="R14" i="19"/>
  <c r="U14" i="19" s="1"/>
  <c r="R127" i="19"/>
  <c r="U127" i="19" s="1"/>
  <c r="R121" i="19"/>
  <c r="U121" i="19" s="1"/>
  <c r="R201" i="19"/>
  <c r="U201" i="19" s="1"/>
  <c r="R274" i="19"/>
  <c r="U274" i="19" s="1"/>
  <c r="R33" i="19"/>
  <c r="U33" i="19" s="1"/>
  <c r="R161" i="19"/>
  <c r="U161" i="19" s="1"/>
  <c r="R146" i="19"/>
  <c r="U146" i="19" s="1"/>
  <c r="R49" i="19"/>
  <c r="U49" i="19" s="1"/>
  <c r="R12" i="19"/>
  <c r="U12" i="19" s="1"/>
  <c r="R302" i="19"/>
  <c r="U302" i="19" s="1"/>
  <c r="R155" i="19"/>
  <c r="U155" i="19" s="1"/>
  <c r="R129" i="19"/>
  <c r="U129" i="19" s="1"/>
  <c r="R231" i="19"/>
  <c r="U231" i="19" s="1"/>
  <c r="R122" i="19"/>
  <c r="U122" i="19" s="1"/>
  <c r="R169" i="19"/>
  <c r="U169" i="19" s="1"/>
  <c r="R199" i="19"/>
  <c r="U199" i="19" s="1"/>
  <c r="R86" i="19"/>
  <c r="U86" i="19" s="1"/>
  <c r="R150" i="19"/>
  <c r="U150" i="19" s="1"/>
  <c r="R214" i="19"/>
  <c r="U214" i="19" s="1"/>
  <c r="R151" i="19"/>
  <c r="U151" i="19" s="1"/>
  <c r="R211" i="19"/>
  <c r="U211" i="19" s="1"/>
  <c r="R94" i="19"/>
  <c r="U94" i="19" s="1"/>
  <c r="R305" i="19"/>
  <c r="U305" i="19" s="1"/>
  <c r="R79" i="19"/>
  <c r="U79" i="19" s="1"/>
  <c r="R289" i="19"/>
  <c r="U289" i="19" s="1"/>
  <c r="R272" i="19"/>
  <c r="U272" i="19" s="1"/>
  <c r="R28" i="19"/>
  <c r="U28" i="19" s="1"/>
  <c r="R168" i="19"/>
  <c r="U168" i="19" s="1"/>
  <c r="R227" i="19"/>
  <c r="U227" i="19" s="1"/>
  <c r="R295" i="19"/>
  <c r="U295" i="19" s="1"/>
  <c r="R114" i="19"/>
  <c r="U114" i="19" s="1"/>
  <c r="R298" i="19"/>
  <c r="U298" i="19" s="1"/>
  <c r="R110" i="19"/>
  <c r="U110" i="19" s="1"/>
  <c r="R301" i="19"/>
  <c r="U301" i="19" s="1"/>
  <c r="R228" i="19"/>
  <c r="U228" i="19" s="1"/>
  <c r="R304" i="19"/>
  <c r="U304" i="19" s="1"/>
  <c r="R222" i="19"/>
  <c r="U222" i="19" s="1"/>
  <c r="R19" i="19"/>
  <c r="U19" i="19" s="1"/>
  <c r="R102" i="19"/>
  <c r="U102" i="19" s="1"/>
  <c r="R256" i="19"/>
  <c r="U256" i="19" s="1"/>
  <c r="T272" i="19"/>
  <c r="T49" i="19"/>
  <c r="R235" i="19"/>
  <c r="U235" i="19" s="1"/>
  <c r="T12" i="19"/>
  <c r="R27" i="19"/>
  <c r="U27" i="19" s="1"/>
  <c r="T115" i="19"/>
  <c r="T183" i="19"/>
  <c r="T283" i="19"/>
  <c r="R128" i="19"/>
  <c r="U128" i="19" s="1"/>
  <c r="T129" i="19"/>
  <c r="R118" i="19"/>
  <c r="U118" i="19" s="1"/>
  <c r="T74" i="19"/>
  <c r="R262" i="19"/>
  <c r="U262" i="19" s="1"/>
  <c r="R178" i="19"/>
  <c r="U178" i="19" s="1"/>
  <c r="R242" i="19"/>
  <c r="U242" i="19" s="1"/>
  <c r="R306" i="19"/>
  <c r="U306" i="19" s="1"/>
  <c r="R8" i="19"/>
  <c r="U8" i="19" s="1"/>
  <c r="R72" i="19"/>
  <c r="U72" i="19" s="1"/>
  <c r="R163" i="19"/>
  <c r="U163" i="19" s="1"/>
  <c r="R18" i="19"/>
  <c r="U18" i="19" s="1"/>
  <c r="R200" i="19"/>
  <c r="U200" i="19" s="1"/>
  <c r="R257" i="19"/>
  <c r="U257" i="19" s="1"/>
  <c r="R40" i="19"/>
  <c r="U40" i="19" s="1"/>
  <c r="R310" i="19"/>
  <c r="U310" i="19" s="1"/>
  <c r="R249" i="19"/>
  <c r="U249" i="19" s="1"/>
  <c r="R77" i="19"/>
  <c r="U77" i="19" s="1"/>
  <c r="R83" i="19"/>
  <c r="U83" i="19" s="1"/>
  <c r="R224" i="19"/>
  <c r="U224" i="19" s="1"/>
  <c r="R180" i="19"/>
  <c r="U180" i="19" s="1"/>
  <c r="R175" i="19"/>
  <c r="U175" i="19" s="1"/>
  <c r="T157" i="19"/>
  <c r="R105" i="19"/>
  <c r="U105" i="19" s="1"/>
  <c r="R130" i="19"/>
  <c r="U130" i="19" s="1"/>
  <c r="R312" i="19"/>
  <c r="U312" i="19" s="1"/>
  <c r="T305" i="19"/>
  <c r="T114" i="19"/>
  <c r="R138" i="19"/>
  <c r="U138" i="19" s="1"/>
  <c r="T109" i="19"/>
  <c r="R136" i="19"/>
  <c r="U136" i="19" s="1"/>
  <c r="R134" i="19"/>
  <c r="U134" i="19" s="1"/>
  <c r="R198" i="19"/>
  <c r="U198" i="19" s="1"/>
  <c r="R125" i="19"/>
  <c r="U125" i="19" s="1"/>
  <c r="R167" i="19"/>
  <c r="U167" i="19" s="1"/>
  <c r="R26" i="19"/>
  <c r="U26" i="19" s="1"/>
  <c r="R291" i="19"/>
  <c r="U291" i="19" s="1"/>
  <c r="R273" i="19"/>
  <c r="U273" i="19" s="1"/>
  <c r="R96" i="19"/>
  <c r="U96" i="19" s="1"/>
  <c r="R158" i="19"/>
  <c r="U158" i="19" s="1"/>
  <c r="R294" i="19"/>
  <c r="U294" i="19" s="1"/>
  <c r="R42" i="19"/>
  <c r="U42" i="19" s="1"/>
  <c r="T135" i="19"/>
  <c r="T26" i="19"/>
  <c r="R284" i="19"/>
  <c r="U284" i="19" s="1"/>
  <c r="R116" i="19"/>
  <c r="U116" i="19" s="1"/>
  <c r="R244" i="19"/>
  <c r="U244" i="19" s="1"/>
  <c r="T211" i="19"/>
  <c r="T243" i="19"/>
  <c r="R250" i="19"/>
  <c r="U250" i="19" s="1"/>
  <c r="R314" i="19"/>
  <c r="U314" i="19" s="1"/>
  <c r="R137" i="19"/>
  <c r="U137" i="19" s="1"/>
  <c r="T151" i="19"/>
  <c r="R233" i="19"/>
  <c r="U233" i="19" s="1"/>
  <c r="R68" i="19"/>
  <c r="U68" i="19" s="1"/>
  <c r="R55" i="19"/>
  <c r="U55" i="19" s="1"/>
  <c r="T289" i="19"/>
  <c r="T224" i="19"/>
  <c r="T158" i="19"/>
  <c r="R52" i="19"/>
  <c r="U52" i="19" s="1"/>
  <c r="R99" i="19"/>
  <c r="U99" i="19" s="1"/>
  <c r="T201" i="19"/>
  <c r="T77" i="19"/>
  <c r="R111" i="19"/>
  <c r="U111" i="19" s="1"/>
  <c r="T295" i="19"/>
  <c r="T79" i="19"/>
  <c r="R160" i="19"/>
  <c r="U160" i="19" s="1"/>
  <c r="R37" i="19"/>
  <c r="U37" i="19" s="1"/>
  <c r="R148" i="19"/>
  <c r="U148" i="19" s="1"/>
  <c r="R189" i="19"/>
  <c r="U189" i="19" s="1"/>
  <c r="R311" i="19"/>
  <c r="U311" i="19" s="1"/>
  <c r="T294" i="19"/>
  <c r="T83" i="19"/>
  <c r="R131" i="19"/>
  <c r="U131" i="19" s="1"/>
  <c r="T94" i="19"/>
  <c r="T227" i="19"/>
  <c r="R36" i="19"/>
  <c r="U36" i="19" s="1"/>
  <c r="R164" i="19"/>
  <c r="U164" i="19" s="1"/>
  <c r="R292" i="19"/>
  <c r="U292" i="19" s="1"/>
  <c r="R104" i="19"/>
  <c r="U104" i="19" s="1"/>
  <c r="R296" i="19"/>
  <c r="U296" i="19" s="1"/>
  <c r="R53" i="19"/>
  <c r="U53" i="19" s="1"/>
  <c r="R181" i="19"/>
  <c r="U181" i="19" s="1"/>
  <c r="R13" i="19"/>
  <c r="U13" i="19" s="1"/>
  <c r="R59" i="19"/>
  <c r="U59" i="19" s="1"/>
  <c r="R107" i="19"/>
  <c r="U107" i="19" s="1"/>
  <c r="R173" i="19"/>
  <c r="U173" i="19" s="1"/>
  <c r="R209" i="19"/>
  <c r="U209" i="19" s="1"/>
  <c r="R70" i="19"/>
  <c r="U70" i="19" s="1"/>
  <c r="R92" i="19"/>
  <c r="U92" i="19" s="1"/>
  <c r="R188" i="19"/>
  <c r="U188" i="19" s="1"/>
  <c r="R251" i="19"/>
  <c r="U251" i="19" s="1"/>
  <c r="R278" i="19"/>
  <c r="U278" i="19" s="1"/>
  <c r="R248" i="19"/>
  <c r="U248" i="19" s="1"/>
  <c r="R166" i="19"/>
  <c r="U166" i="19" s="1"/>
  <c r="R11" i="19"/>
  <c r="U11" i="19" s="1"/>
  <c r="R275" i="19"/>
  <c r="U275" i="19" s="1"/>
  <c r="R90" i="19"/>
  <c r="U90" i="19" s="1"/>
  <c r="R98" i="19"/>
  <c r="U98" i="19" s="1"/>
  <c r="R297" i="19"/>
  <c r="U297" i="19" s="1"/>
  <c r="R73" i="19"/>
  <c r="U73" i="19" s="1"/>
  <c r="R45" i="19"/>
  <c r="U45" i="19" s="1"/>
  <c r="R210" i="19"/>
  <c r="U210" i="19" s="1"/>
  <c r="R17" i="19"/>
  <c r="U17" i="19" s="1"/>
  <c r="R51" i="19"/>
  <c r="U51" i="19" s="1"/>
  <c r="R219" i="19"/>
  <c r="U219" i="19" s="1"/>
  <c r="R259" i="19"/>
  <c r="U259" i="19" s="1"/>
  <c r="R78" i="19"/>
  <c r="U78" i="19" s="1"/>
  <c r="R266" i="19"/>
  <c r="U266" i="19" s="1"/>
  <c r="R85" i="19"/>
  <c r="U85" i="19" s="1"/>
  <c r="R216" i="19"/>
  <c r="U216" i="19" s="1"/>
  <c r="R106" i="19"/>
  <c r="U106" i="19" s="1"/>
  <c r="R75" i="19"/>
  <c r="U75" i="19" s="1"/>
  <c r="R192" i="19"/>
  <c r="U192" i="19" s="1"/>
  <c r="R205" i="19"/>
  <c r="U205" i="19" s="1"/>
  <c r="R230" i="19"/>
  <c r="U230" i="19" s="1"/>
  <c r="R194" i="19"/>
  <c r="U194" i="19" s="1"/>
  <c r="R226" i="19"/>
  <c r="U226" i="19" s="1"/>
  <c r="R204" i="19"/>
  <c r="U204" i="19" s="1"/>
  <c r="T249" i="19"/>
  <c r="T189" i="19"/>
  <c r="R290" i="19"/>
  <c r="U290" i="19" s="1"/>
  <c r="T19" i="19"/>
  <c r="R103" i="19"/>
  <c r="U103" i="19" s="1"/>
  <c r="T125" i="19"/>
  <c r="R267" i="19"/>
  <c r="U267" i="19" s="1"/>
  <c r="T291" i="19"/>
  <c r="R63" i="19"/>
  <c r="U63" i="19" s="1"/>
  <c r="R144" i="19"/>
  <c r="U144" i="19" s="1"/>
  <c r="R39" i="19"/>
  <c r="U39" i="19" s="1"/>
  <c r="R132" i="19"/>
  <c r="U132" i="19" s="1"/>
  <c r="R190" i="19"/>
  <c r="U190" i="19" s="1"/>
  <c r="R246" i="19"/>
  <c r="U246" i="19" s="1"/>
  <c r="T40" i="19"/>
  <c r="R186" i="19"/>
  <c r="U186" i="19" s="1"/>
  <c r="R156" i="19"/>
  <c r="U156" i="19" s="1"/>
  <c r="R177" i="19"/>
  <c r="U177" i="19" s="1"/>
  <c r="R58" i="19"/>
  <c r="U58" i="19" s="1"/>
  <c r="R236" i="19"/>
  <c r="U236" i="19" s="1"/>
  <c r="R277" i="19"/>
  <c r="U277" i="19" s="1"/>
  <c r="R218" i="19"/>
  <c r="U218" i="19" s="1"/>
  <c r="R282" i="19"/>
  <c r="U282" i="19" s="1"/>
  <c r="R20" i="19"/>
  <c r="U20" i="19" s="1"/>
  <c r="R152" i="19"/>
  <c r="U152" i="19" s="1"/>
  <c r="R280" i="19"/>
  <c r="U280" i="19" s="1"/>
  <c r="R229" i="19"/>
  <c r="U229" i="19" s="1"/>
  <c r="R254" i="19"/>
  <c r="U254" i="19" s="1"/>
  <c r="R9" i="19"/>
  <c r="U9" i="19" s="1"/>
  <c r="R123" i="19"/>
  <c r="U123" i="19" s="1"/>
  <c r="R44" i="19"/>
  <c r="U44" i="19" s="1"/>
  <c r="R66" i="19"/>
  <c r="U66" i="19" s="1"/>
  <c r="R176" i="19"/>
  <c r="U176" i="19" s="1"/>
  <c r="R202" i="19"/>
  <c r="U202" i="19" s="1"/>
  <c r="R61" i="19"/>
  <c r="U61" i="19" s="1"/>
  <c r="R187" i="19"/>
  <c r="U187" i="19" s="1"/>
  <c r="R149" i="19"/>
  <c r="U149" i="19" s="1"/>
  <c r="T209" i="19"/>
  <c r="T225" i="19"/>
  <c r="R293" i="19"/>
  <c r="U293" i="19" s="1"/>
  <c r="T50" i="19"/>
  <c r="T92" i="19"/>
  <c r="R97" i="19"/>
  <c r="U97" i="19" s="1"/>
  <c r="T107" i="19"/>
  <c r="R67" i="19"/>
  <c r="U67" i="19" s="1"/>
  <c r="R270" i="19"/>
  <c r="U270" i="19" s="1"/>
  <c r="R261" i="19"/>
  <c r="U261" i="19" s="1"/>
  <c r="T123" i="19"/>
  <c r="T70" i="19"/>
  <c r="T187" i="19"/>
  <c r="T257" i="19"/>
  <c r="T13" i="19"/>
  <c r="T173" i="19"/>
  <c r="T54" i="19"/>
  <c r="R54" i="19"/>
  <c r="U54" i="19" s="1"/>
  <c r="R208" i="19"/>
  <c r="U208" i="19" s="1"/>
  <c r="R252" i="19"/>
  <c r="U252" i="19" s="1"/>
  <c r="R124" i="19"/>
  <c r="U124" i="19" s="1"/>
  <c r="T121" i="19"/>
  <c r="R25" i="19"/>
  <c r="U25" i="19" s="1"/>
  <c r="R269" i="19"/>
  <c r="U269" i="19" s="1"/>
  <c r="T61" i="19"/>
  <c r="T274" i="19"/>
  <c r="R260" i="19"/>
  <c r="U260" i="19" s="1"/>
  <c r="R140" i="19"/>
  <c r="U140" i="19" s="1"/>
  <c r="R21" i="19"/>
  <c r="U21" i="19" s="1"/>
  <c r="R217" i="19"/>
  <c r="U217" i="19" s="1"/>
  <c r="T21" i="19"/>
  <c r="R220" i="19"/>
  <c r="U220" i="19" s="1"/>
  <c r="R171" i="19"/>
  <c r="F170" i="49" s="1"/>
  <c r="R245" i="19"/>
  <c r="F244" i="49" s="1"/>
  <c r="C175" i="12" l="1"/>
  <c r="C175" i="33"/>
  <c r="E175" i="33" s="1"/>
  <c r="C175" i="39"/>
  <c r="F175" i="32"/>
  <c r="G175" i="32" s="1"/>
  <c r="C49" i="39"/>
  <c r="C49" i="33"/>
  <c r="E49" i="33" s="1"/>
  <c r="C49" i="12"/>
  <c r="F49" i="32"/>
  <c r="G49" i="32" s="1"/>
  <c r="C294" i="12"/>
  <c r="C294" i="39"/>
  <c r="C294" i="33"/>
  <c r="E294" i="33" s="1"/>
  <c r="F294" i="32"/>
  <c r="G294" i="32" s="1"/>
  <c r="C292" i="39"/>
  <c r="C292" i="12"/>
  <c r="C292" i="33"/>
  <c r="E292" i="33" s="1"/>
  <c r="F292" i="32"/>
  <c r="G292" i="32" s="1"/>
  <c r="C6" i="12"/>
  <c r="C6" i="33"/>
  <c r="E6" i="33" s="1"/>
  <c r="C6" i="39"/>
  <c r="F6" i="32"/>
  <c r="G6" i="32" s="1"/>
  <c r="C287" i="39"/>
  <c r="C287" i="12"/>
  <c r="C287" i="33"/>
  <c r="E287" i="33" s="1"/>
  <c r="F287" i="32"/>
  <c r="G287" i="32" s="1"/>
  <c r="C311" i="39"/>
  <c r="C311" i="12"/>
  <c r="C311" i="33"/>
  <c r="E311" i="33" s="1"/>
  <c r="F311" i="32"/>
  <c r="G311" i="32" s="1"/>
  <c r="C110" i="12"/>
  <c r="C110" i="39"/>
  <c r="C110" i="33"/>
  <c r="E110" i="33" s="1"/>
  <c r="F110" i="32"/>
  <c r="G110" i="32" s="1"/>
  <c r="C261" i="12"/>
  <c r="C261" i="39"/>
  <c r="C261" i="33"/>
  <c r="E261" i="33" s="1"/>
  <c r="F261" i="32"/>
  <c r="G261" i="32" s="1"/>
  <c r="C138" i="39"/>
  <c r="C138" i="12"/>
  <c r="C138" i="33"/>
  <c r="E138" i="33" s="1"/>
  <c r="F138" i="32"/>
  <c r="G138" i="32" s="1"/>
  <c r="C250" i="12"/>
  <c r="C250" i="33"/>
  <c r="E250" i="33" s="1"/>
  <c r="F250" i="32"/>
  <c r="G250" i="32" s="1"/>
  <c r="C250" i="39"/>
  <c r="C174" i="12"/>
  <c r="C174" i="39"/>
  <c r="C174" i="33"/>
  <c r="E174" i="33" s="1"/>
  <c r="F174" i="32"/>
  <c r="G174" i="32" s="1"/>
  <c r="C150" i="12"/>
  <c r="C150" i="33"/>
  <c r="E150" i="33" s="1"/>
  <c r="C150" i="39"/>
  <c r="F150" i="32"/>
  <c r="G150" i="32" s="1"/>
  <c r="C154" i="39"/>
  <c r="C154" i="12"/>
  <c r="C154" i="33"/>
  <c r="E154" i="33" s="1"/>
  <c r="F154" i="32"/>
  <c r="G154" i="32" s="1"/>
  <c r="C61" i="39"/>
  <c r="F61" i="32"/>
  <c r="G61" i="32" s="1"/>
  <c r="C61" i="33"/>
  <c r="E61" i="33" s="1"/>
  <c r="C61" i="12"/>
  <c r="C104" i="39"/>
  <c r="C104" i="12"/>
  <c r="C104" i="33"/>
  <c r="E104" i="33" s="1"/>
  <c r="F104" i="32"/>
  <c r="G104" i="32" s="1"/>
  <c r="C15" i="12"/>
  <c r="C15" i="39"/>
  <c r="F15" i="32"/>
  <c r="G15" i="32" s="1"/>
  <c r="C15" i="33"/>
  <c r="E15" i="33" s="1"/>
  <c r="C9" i="39"/>
  <c r="C9" i="12"/>
  <c r="C9" i="33"/>
  <c r="E9" i="33" s="1"/>
  <c r="F9" i="32"/>
  <c r="G9" i="32" s="1"/>
  <c r="C207" i="12"/>
  <c r="C207" i="39"/>
  <c r="C207" i="33"/>
  <c r="E207" i="33" s="1"/>
  <c r="F207" i="32"/>
  <c r="G207" i="32" s="1"/>
  <c r="C102" i="12"/>
  <c r="C102" i="33"/>
  <c r="E102" i="33" s="1"/>
  <c r="C102" i="39"/>
  <c r="F102" i="32"/>
  <c r="G102" i="32" s="1"/>
  <c r="C109" i="39"/>
  <c r="C109" i="12"/>
  <c r="F109" i="32"/>
  <c r="G109" i="32" s="1"/>
  <c r="C109" i="33"/>
  <c r="E109" i="33" s="1"/>
  <c r="C53" i="39"/>
  <c r="C53" i="33"/>
  <c r="E53" i="33" s="1"/>
  <c r="F53" i="32"/>
  <c r="G53" i="32" s="1"/>
  <c r="C53" i="12"/>
  <c r="C156" i="12"/>
  <c r="C156" i="39"/>
  <c r="F156" i="32"/>
  <c r="G156" i="32" s="1"/>
  <c r="C156" i="33"/>
  <c r="E156" i="33" s="1"/>
  <c r="F132" i="32"/>
  <c r="G132" i="32" s="1"/>
  <c r="C132" i="33"/>
  <c r="E132" i="33" s="1"/>
  <c r="C132" i="39"/>
  <c r="C132" i="12"/>
  <c r="C103" i="12"/>
  <c r="C103" i="39"/>
  <c r="F103" i="32"/>
  <c r="G103" i="32" s="1"/>
  <c r="C103" i="33"/>
  <c r="E103" i="33" s="1"/>
  <c r="C308" i="39"/>
  <c r="C308" i="12"/>
  <c r="C308" i="33"/>
  <c r="E308" i="33" s="1"/>
  <c r="F308" i="32"/>
  <c r="G308" i="32" s="1"/>
  <c r="C304" i="39"/>
  <c r="C304" i="12"/>
  <c r="C304" i="33"/>
  <c r="E304" i="33" s="1"/>
  <c r="F304" i="32"/>
  <c r="G304" i="32" s="1"/>
  <c r="C254" i="12"/>
  <c r="C254" i="39"/>
  <c r="C254" i="33"/>
  <c r="E254" i="33" s="1"/>
  <c r="F254" i="32"/>
  <c r="G254" i="32" s="1"/>
  <c r="C296" i="39"/>
  <c r="C296" i="12"/>
  <c r="C296" i="33"/>
  <c r="E296" i="33" s="1"/>
  <c r="F296" i="32"/>
  <c r="G296" i="32" s="1"/>
  <c r="C77" i="39"/>
  <c r="C77" i="33"/>
  <c r="E77" i="33" s="1"/>
  <c r="C77" i="12"/>
  <c r="F77" i="32"/>
  <c r="G77" i="32" s="1"/>
  <c r="C197" i="39"/>
  <c r="C197" i="33"/>
  <c r="E197" i="33" s="1"/>
  <c r="F197" i="32"/>
  <c r="G197" i="32" s="1"/>
  <c r="C197" i="12"/>
  <c r="C47" i="12"/>
  <c r="C47" i="33"/>
  <c r="E47" i="33" s="1"/>
  <c r="C47" i="39"/>
  <c r="F47" i="32"/>
  <c r="G47" i="32" s="1"/>
  <c r="C12" i="33"/>
  <c r="E12" i="33" s="1"/>
  <c r="C12" i="12"/>
  <c r="C12" i="39"/>
  <c r="F12" i="32"/>
  <c r="G12" i="32" s="1"/>
  <c r="C152" i="39"/>
  <c r="C152" i="12"/>
  <c r="C152" i="33"/>
  <c r="E152" i="33" s="1"/>
  <c r="F152" i="32"/>
  <c r="G152" i="32" s="1"/>
  <c r="C307" i="39"/>
  <c r="C307" i="33"/>
  <c r="E307" i="33" s="1"/>
  <c r="C307" i="12"/>
  <c r="F307" i="32"/>
  <c r="G307" i="32" s="1"/>
  <c r="C79" i="12"/>
  <c r="C79" i="39"/>
  <c r="C79" i="33"/>
  <c r="E79" i="33" s="1"/>
  <c r="F79" i="32"/>
  <c r="G79" i="32" s="1"/>
  <c r="C283" i="12"/>
  <c r="C283" i="33"/>
  <c r="E283" i="33" s="1"/>
  <c r="F283" i="32"/>
  <c r="G283" i="32" s="1"/>
  <c r="C283" i="39"/>
  <c r="C181" i="39"/>
  <c r="C181" i="33"/>
  <c r="E181" i="33" s="1"/>
  <c r="F181" i="32"/>
  <c r="G181" i="32" s="1"/>
  <c r="C181" i="12"/>
  <c r="C245" i="12"/>
  <c r="C245" i="33"/>
  <c r="E245" i="33" s="1"/>
  <c r="C245" i="39"/>
  <c r="F245" i="32"/>
  <c r="G245" i="32" s="1"/>
  <c r="C22" i="12"/>
  <c r="C22" i="33"/>
  <c r="E22" i="33" s="1"/>
  <c r="C22" i="39"/>
  <c r="F22" i="32"/>
  <c r="G22" i="32" s="1"/>
  <c r="C21" i="39"/>
  <c r="C21" i="12"/>
  <c r="C21" i="33"/>
  <c r="E21" i="33" s="1"/>
  <c r="F21" i="32"/>
  <c r="G21" i="32" s="1"/>
  <c r="C41" i="39"/>
  <c r="C41" i="12"/>
  <c r="F41" i="32"/>
  <c r="G41" i="32" s="1"/>
  <c r="C41" i="33"/>
  <c r="E41" i="33" s="1"/>
  <c r="C30" i="12"/>
  <c r="C30" i="33"/>
  <c r="E30" i="33" s="1"/>
  <c r="C30" i="39"/>
  <c r="F30" i="32"/>
  <c r="G30" i="32" s="1"/>
  <c r="C262" i="12"/>
  <c r="C262" i="39"/>
  <c r="C262" i="33"/>
  <c r="E262" i="33" s="1"/>
  <c r="F262" i="32"/>
  <c r="G262" i="32" s="1"/>
  <c r="C72" i="39"/>
  <c r="C72" i="12"/>
  <c r="F72" i="32"/>
  <c r="G72" i="32" s="1"/>
  <c r="C72" i="33"/>
  <c r="E72" i="33" s="1"/>
  <c r="C194" i="39"/>
  <c r="C194" i="12"/>
  <c r="C194" i="33"/>
  <c r="E194" i="33" s="1"/>
  <c r="F194" i="32"/>
  <c r="G194" i="32" s="1"/>
  <c r="C46" i="12"/>
  <c r="C46" i="39"/>
  <c r="F46" i="32"/>
  <c r="G46" i="32" s="1"/>
  <c r="C46" i="33"/>
  <c r="E46" i="33" s="1"/>
  <c r="C285" i="12"/>
  <c r="C285" i="39"/>
  <c r="F285" i="32"/>
  <c r="G285" i="32" s="1"/>
  <c r="C285" i="33"/>
  <c r="E285" i="33" s="1"/>
  <c r="C258" i="12"/>
  <c r="C258" i="39"/>
  <c r="C258" i="33"/>
  <c r="E258" i="33" s="1"/>
  <c r="F258" i="32"/>
  <c r="G258" i="32" s="1"/>
  <c r="C206" i="12"/>
  <c r="C206" i="39"/>
  <c r="C206" i="33"/>
  <c r="E206" i="33" s="1"/>
  <c r="F206" i="32"/>
  <c r="G206" i="32" s="1"/>
  <c r="C291" i="39"/>
  <c r="C291" i="33"/>
  <c r="E291" i="33" s="1"/>
  <c r="F291" i="32"/>
  <c r="G291" i="32" s="1"/>
  <c r="C291" i="12"/>
  <c r="C64" i="39"/>
  <c r="C64" i="12"/>
  <c r="C64" i="33"/>
  <c r="E64" i="33" s="1"/>
  <c r="F64" i="32"/>
  <c r="G64" i="32" s="1"/>
  <c r="C18" i="39"/>
  <c r="C18" i="33"/>
  <c r="E18" i="33" s="1"/>
  <c r="C18" i="12"/>
  <c r="F18" i="32"/>
  <c r="G18" i="32" s="1"/>
  <c r="C184" i="39"/>
  <c r="C184" i="12"/>
  <c r="C184" i="33"/>
  <c r="E184" i="33" s="1"/>
  <c r="F184" i="32"/>
  <c r="G184" i="32" s="1"/>
  <c r="C202" i="39"/>
  <c r="C202" i="12"/>
  <c r="C202" i="33"/>
  <c r="E202" i="33" s="1"/>
  <c r="F202" i="32"/>
  <c r="G202" i="32" s="1"/>
  <c r="C214" i="12"/>
  <c r="C214" i="39"/>
  <c r="C214" i="33"/>
  <c r="E214" i="33" s="1"/>
  <c r="F214" i="32"/>
  <c r="G214" i="32" s="1"/>
  <c r="C208" i="39"/>
  <c r="C208" i="12"/>
  <c r="C208" i="33"/>
  <c r="E208" i="33" s="1"/>
  <c r="F208" i="32"/>
  <c r="G208" i="32" s="1"/>
  <c r="C164" i="33"/>
  <c r="E164" i="33" s="1"/>
  <c r="C164" i="12"/>
  <c r="C164" i="39"/>
  <c r="F164" i="32"/>
  <c r="G164" i="32" s="1"/>
  <c r="C171" i="12"/>
  <c r="C171" i="33"/>
  <c r="E171" i="33" s="1"/>
  <c r="F171" i="32"/>
  <c r="G171" i="32" s="1"/>
  <c r="C171" i="39"/>
  <c r="C290" i="12"/>
  <c r="C290" i="39"/>
  <c r="C290" i="33"/>
  <c r="E290" i="33" s="1"/>
  <c r="F290" i="32"/>
  <c r="G290" i="32" s="1"/>
  <c r="C309" i="12"/>
  <c r="C309" i="39"/>
  <c r="C309" i="33"/>
  <c r="E309" i="33" s="1"/>
  <c r="F309" i="32"/>
  <c r="G309" i="32" s="1"/>
  <c r="C66" i="39"/>
  <c r="C66" i="12"/>
  <c r="C66" i="33"/>
  <c r="E66" i="33" s="1"/>
  <c r="F66" i="32"/>
  <c r="G66" i="32" s="1"/>
  <c r="C242" i="39"/>
  <c r="C242" i="12"/>
  <c r="F242" i="32"/>
  <c r="G242" i="32" s="1"/>
  <c r="C242" i="33"/>
  <c r="E242" i="33" s="1"/>
  <c r="C94" i="12"/>
  <c r="C94" i="39"/>
  <c r="F94" i="32"/>
  <c r="G94" i="32" s="1"/>
  <c r="C94" i="33"/>
  <c r="E94" i="33" s="1"/>
  <c r="C134" i="12"/>
  <c r="C134" i="33"/>
  <c r="E134" i="33" s="1"/>
  <c r="C134" i="39"/>
  <c r="F134" i="32"/>
  <c r="G134" i="32" s="1"/>
  <c r="C38" i="12"/>
  <c r="C38" i="33"/>
  <c r="E38" i="33" s="1"/>
  <c r="F38" i="32"/>
  <c r="G38" i="32" s="1"/>
  <c r="C38" i="39"/>
  <c r="C240" i="39"/>
  <c r="C240" i="12"/>
  <c r="C240" i="33"/>
  <c r="E240" i="33" s="1"/>
  <c r="F240" i="32"/>
  <c r="G240" i="32" s="1"/>
  <c r="F100" i="32"/>
  <c r="G100" i="32" s="1"/>
  <c r="C100" i="33"/>
  <c r="E100" i="33" s="1"/>
  <c r="C100" i="12"/>
  <c r="C100" i="39"/>
  <c r="C112" i="39"/>
  <c r="C112" i="12"/>
  <c r="C112" i="33"/>
  <c r="E112" i="33" s="1"/>
  <c r="F112" i="32"/>
  <c r="G112" i="32" s="1"/>
  <c r="C303" i="39"/>
  <c r="C303" i="12"/>
  <c r="C303" i="33"/>
  <c r="E303" i="33" s="1"/>
  <c r="F303" i="32"/>
  <c r="G303" i="32" s="1"/>
  <c r="C167" i="12"/>
  <c r="C167" i="39"/>
  <c r="C167" i="33"/>
  <c r="E167" i="33" s="1"/>
  <c r="F167" i="32"/>
  <c r="G167" i="32" s="1"/>
  <c r="C144" i="39"/>
  <c r="C144" i="12"/>
  <c r="C144" i="33"/>
  <c r="E144" i="33" s="1"/>
  <c r="F144" i="32"/>
  <c r="G144" i="32" s="1"/>
  <c r="C286" i="12"/>
  <c r="C286" i="39"/>
  <c r="C286" i="33"/>
  <c r="E286" i="33" s="1"/>
  <c r="F286" i="32"/>
  <c r="G286" i="32" s="1"/>
  <c r="C143" i="12"/>
  <c r="C143" i="39"/>
  <c r="C143" i="33"/>
  <c r="E143" i="33" s="1"/>
  <c r="F143" i="32"/>
  <c r="G143" i="32" s="1"/>
  <c r="C235" i="12"/>
  <c r="C235" i="33"/>
  <c r="E235" i="33" s="1"/>
  <c r="C235" i="39"/>
  <c r="F235" i="32"/>
  <c r="G235" i="32" s="1"/>
  <c r="C172" i="12"/>
  <c r="C172" i="33"/>
  <c r="E172" i="33" s="1"/>
  <c r="F172" i="32"/>
  <c r="G172" i="32" s="1"/>
  <c r="C172" i="39"/>
  <c r="C62" i="12"/>
  <c r="C62" i="39"/>
  <c r="F62" i="32"/>
  <c r="G62" i="32" s="1"/>
  <c r="C62" i="33"/>
  <c r="E62" i="33" s="1"/>
  <c r="C155" i="12"/>
  <c r="C155" i="33"/>
  <c r="E155" i="33" s="1"/>
  <c r="C155" i="39"/>
  <c r="F155" i="32"/>
  <c r="G155" i="32" s="1"/>
  <c r="C117" i="39"/>
  <c r="C117" i="33"/>
  <c r="E117" i="33" s="1"/>
  <c r="F117" i="32"/>
  <c r="G117" i="32" s="1"/>
  <c r="C117" i="12"/>
  <c r="C137" i="39"/>
  <c r="C137" i="12"/>
  <c r="C137" i="33"/>
  <c r="E137" i="33" s="1"/>
  <c r="F137" i="32"/>
  <c r="G137" i="32" s="1"/>
  <c r="C58" i="39"/>
  <c r="C58" i="12"/>
  <c r="C58" i="33"/>
  <c r="E58" i="33" s="1"/>
  <c r="F58" i="32"/>
  <c r="G58" i="32" s="1"/>
  <c r="C78" i="12"/>
  <c r="C78" i="39"/>
  <c r="C78" i="33"/>
  <c r="E78" i="33" s="1"/>
  <c r="F78" i="32"/>
  <c r="G78" i="32" s="1"/>
  <c r="C20" i="33"/>
  <c r="E20" i="33" s="1"/>
  <c r="C20" i="39"/>
  <c r="C20" i="12"/>
  <c r="F20" i="32"/>
  <c r="G20" i="32" s="1"/>
  <c r="C263" i="39"/>
  <c r="C263" i="12"/>
  <c r="C263" i="33"/>
  <c r="E263" i="33" s="1"/>
  <c r="F263" i="32"/>
  <c r="G263" i="32" s="1"/>
  <c r="C213" i="39"/>
  <c r="C213" i="33"/>
  <c r="E213" i="33" s="1"/>
  <c r="C213" i="12"/>
  <c r="F213" i="32"/>
  <c r="G213" i="32" s="1"/>
  <c r="C45" i="39"/>
  <c r="C45" i="12"/>
  <c r="C45" i="33"/>
  <c r="E45" i="33" s="1"/>
  <c r="F45" i="32"/>
  <c r="G45" i="32" s="1"/>
  <c r="C237" i="39"/>
  <c r="C237" i="12"/>
  <c r="C237" i="33"/>
  <c r="E237" i="33" s="1"/>
  <c r="F237" i="32"/>
  <c r="G237" i="32" s="1"/>
  <c r="C122" i="39"/>
  <c r="C122" i="33"/>
  <c r="E122" i="33" s="1"/>
  <c r="C122" i="12"/>
  <c r="F122" i="32"/>
  <c r="G122" i="32" s="1"/>
  <c r="C278" i="12"/>
  <c r="C278" i="39"/>
  <c r="C278" i="33"/>
  <c r="E278" i="33" s="1"/>
  <c r="F278" i="32"/>
  <c r="G278" i="32" s="1"/>
  <c r="C73" i="39"/>
  <c r="C73" i="12"/>
  <c r="C73" i="33"/>
  <c r="E73" i="33" s="1"/>
  <c r="F73" i="32"/>
  <c r="G73" i="32" s="1"/>
  <c r="C128" i="39"/>
  <c r="C128" i="12"/>
  <c r="C128" i="33"/>
  <c r="E128" i="33" s="1"/>
  <c r="F128" i="32"/>
  <c r="G128" i="32" s="1"/>
  <c r="C108" i="12"/>
  <c r="C108" i="33"/>
  <c r="E108" i="33" s="1"/>
  <c r="F108" i="32"/>
  <c r="G108" i="32" s="1"/>
  <c r="C108" i="39"/>
  <c r="C125" i="39"/>
  <c r="C125" i="33"/>
  <c r="E125" i="33" s="1"/>
  <c r="C125" i="12"/>
  <c r="F125" i="32"/>
  <c r="G125" i="32" s="1"/>
  <c r="C89" i="39"/>
  <c r="C89" i="12"/>
  <c r="F89" i="32"/>
  <c r="G89" i="32" s="1"/>
  <c r="C89" i="33"/>
  <c r="E89" i="33" s="1"/>
  <c r="C266" i="12"/>
  <c r="C266" i="33"/>
  <c r="E266" i="33" s="1"/>
  <c r="C266" i="39"/>
  <c r="F266" i="32"/>
  <c r="G266" i="32" s="1"/>
  <c r="C168" i="39"/>
  <c r="C168" i="12"/>
  <c r="C168" i="33"/>
  <c r="E168" i="33" s="1"/>
  <c r="F168" i="32"/>
  <c r="G168" i="32" s="1"/>
  <c r="C52" i="39"/>
  <c r="C52" i="12"/>
  <c r="F52" i="32"/>
  <c r="G52" i="32" s="1"/>
  <c r="C52" i="33"/>
  <c r="E52" i="33" s="1"/>
  <c r="C280" i="39"/>
  <c r="C280" i="12"/>
  <c r="C280" i="33"/>
  <c r="E280" i="33" s="1"/>
  <c r="F280" i="32"/>
  <c r="G280" i="32" s="1"/>
  <c r="C83" i="12"/>
  <c r="C83" i="33"/>
  <c r="E83" i="33" s="1"/>
  <c r="C83" i="39"/>
  <c r="F83" i="32"/>
  <c r="G83" i="32" s="1"/>
  <c r="C162" i="39"/>
  <c r="C162" i="12"/>
  <c r="C162" i="33"/>
  <c r="E162" i="33" s="1"/>
  <c r="F162" i="32"/>
  <c r="G162" i="32" s="1"/>
  <c r="C231" i="12"/>
  <c r="C231" i="39"/>
  <c r="F231" i="32"/>
  <c r="G231" i="32" s="1"/>
  <c r="C231" i="33"/>
  <c r="E231" i="33" s="1"/>
  <c r="C176" i="39"/>
  <c r="C176" i="12"/>
  <c r="C176" i="33"/>
  <c r="E176" i="33" s="1"/>
  <c r="F176" i="32"/>
  <c r="G176" i="32" s="1"/>
  <c r="C92" i="12"/>
  <c r="C92" i="33"/>
  <c r="E92" i="33" s="1"/>
  <c r="C92" i="39"/>
  <c r="F92" i="32"/>
  <c r="G92" i="32" s="1"/>
  <c r="C124" i="33"/>
  <c r="E124" i="33" s="1"/>
  <c r="C124" i="12"/>
  <c r="F124" i="32"/>
  <c r="G124" i="32" s="1"/>
  <c r="C124" i="39"/>
  <c r="C139" i="12"/>
  <c r="C139" i="33"/>
  <c r="E139" i="33" s="1"/>
  <c r="F139" i="32"/>
  <c r="G139" i="32" s="1"/>
  <c r="C139" i="39"/>
  <c r="C48" i="39"/>
  <c r="C48" i="12"/>
  <c r="C48" i="33"/>
  <c r="E48" i="33" s="1"/>
  <c r="F48" i="32"/>
  <c r="G48" i="32" s="1"/>
  <c r="C93" i="39"/>
  <c r="C93" i="12"/>
  <c r="C93" i="33"/>
  <c r="E93" i="33" s="1"/>
  <c r="F93" i="32"/>
  <c r="G93" i="32" s="1"/>
  <c r="C191" i="12"/>
  <c r="C191" i="33"/>
  <c r="E191" i="33" s="1"/>
  <c r="C191" i="39"/>
  <c r="F191" i="32"/>
  <c r="G191" i="32" s="1"/>
  <c r="C55" i="12"/>
  <c r="C55" i="39"/>
  <c r="C55" i="33"/>
  <c r="E55" i="33" s="1"/>
  <c r="F55" i="32"/>
  <c r="G55" i="32" s="1"/>
  <c r="C268" i="39"/>
  <c r="C268" i="12"/>
  <c r="C268" i="33"/>
  <c r="E268" i="33" s="1"/>
  <c r="F268" i="32"/>
  <c r="G268" i="32" s="1"/>
  <c r="C216" i="39"/>
  <c r="C216" i="12"/>
  <c r="F216" i="32"/>
  <c r="G216" i="32" s="1"/>
  <c r="C216" i="33"/>
  <c r="E216" i="33" s="1"/>
  <c r="C71" i="12"/>
  <c r="C71" i="33"/>
  <c r="E71" i="33" s="1"/>
  <c r="C71" i="39"/>
  <c r="F71" i="32"/>
  <c r="G71" i="32" s="1"/>
  <c r="C34" i="39"/>
  <c r="C34" i="33"/>
  <c r="E34" i="33" s="1"/>
  <c r="C34" i="12"/>
  <c r="F34" i="32"/>
  <c r="G34" i="32" s="1"/>
  <c r="C136" i="39"/>
  <c r="C136" i="12"/>
  <c r="C136" i="33"/>
  <c r="E136" i="33" s="1"/>
  <c r="F136" i="32"/>
  <c r="G136" i="32" s="1"/>
  <c r="C260" i="39"/>
  <c r="C260" i="12"/>
  <c r="C260" i="33"/>
  <c r="E260" i="33" s="1"/>
  <c r="F260" i="32"/>
  <c r="G260" i="32" s="1"/>
  <c r="C225" i="39"/>
  <c r="C225" i="12"/>
  <c r="C225" i="33"/>
  <c r="E225" i="33" s="1"/>
  <c r="F225" i="32"/>
  <c r="G225" i="32" s="1"/>
  <c r="C31" i="12"/>
  <c r="C31" i="33"/>
  <c r="E31" i="33" s="1"/>
  <c r="C31" i="39"/>
  <c r="F31" i="32"/>
  <c r="G31" i="32" s="1"/>
  <c r="C219" i="12"/>
  <c r="C219" i="33"/>
  <c r="E219" i="33" s="1"/>
  <c r="C219" i="39"/>
  <c r="F219" i="32"/>
  <c r="G219" i="32" s="1"/>
  <c r="C182" i="12"/>
  <c r="C182" i="33"/>
  <c r="E182" i="33" s="1"/>
  <c r="C182" i="39"/>
  <c r="F182" i="32"/>
  <c r="G182" i="32" s="1"/>
  <c r="C113" i="39"/>
  <c r="C113" i="33"/>
  <c r="E113" i="33" s="1"/>
  <c r="C113" i="12"/>
  <c r="F113" i="32"/>
  <c r="G113" i="32" s="1"/>
  <c r="C163" i="12"/>
  <c r="C163" i="39"/>
  <c r="C163" i="33"/>
  <c r="E163" i="33" s="1"/>
  <c r="F163" i="32"/>
  <c r="G163" i="32" s="1"/>
  <c r="C13" i="39"/>
  <c r="C13" i="33"/>
  <c r="E13" i="33" s="1"/>
  <c r="C13" i="12"/>
  <c r="F13" i="32"/>
  <c r="G13" i="32" s="1"/>
  <c r="C218" i="39"/>
  <c r="C218" i="12"/>
  <c r="C218" i="33"/>
  <c r="E218" i="33" s="1"/>
  <c r="F218" i="32"/>
  <c r="G218" i="32" s="1"/>
  <c r="C267" i="12"/>
  <c r="C267" i="39"/>
  <c r="F267" i="32"/>
  <c r="G267" i="32" s="1"/>
  <c r="C267" i="33"/>
  <c r="E267" i="33" s="1"/>
  <c r="C65" i="39"/>
  <c r="C65" i="33"/>
  <c r="E65" i="33" s="1"/>
  <c r="F65" i="32"/>
  <c r="G65" i="32" s="1"/>
  <c r="C65" i="12"/>
  <c r="C147" i="12"/>
  <c r="C147" i="39"/>
  <c r="C147" i="33"/>
  <c r="E147" i="33" s="1"/>
  <c r="F147" i="32"/>
  <c r="G147" i="32" s="1"/>
  <c r="C7" i="12"/>
  <c r="C7" i="39"/>
  <c r="F7" i="32"/>
  <c r="G7" i="32" s="1"/>
  <c r="C7" i="33"/>
  <c r="E7" i="33" s="1"/>
  <c r="C275" i="33"/>
  <c r="E275" i="33" s="1"/>
  <c r="C275" i="39"/>
  <c r="F275" i="32"/>
  <c r="G275" i="32" s="1"/>
  <c r="C275" i="12"/>
  <c r="C188" i="12"/>
  <c r="C188" i="33"/>
  <c r="E188" i="33" s="1"/>
  <c r="F188" i="32"/>
  <c r="G188" i="32" s="1"/>
  <c r="C188" i="39"/>
  <c r="C101" i="39"/>
  <c r="F101" i="32"/>
  <c r="G101" i="32" s="1"/>
  <c r="C101" i="12"/>
  <c r="C101" i="33"/>
  <c r="E101" i="33" s="1"/>
  <c r="C228" i="33"/>
  <c r="E228" i="33" s="1"/>
  <c r="C228" i="12"/>
  <c r="C228" i="39"/>
  <c r="F228" i="32"/>
  <c r="G228" i="32" s="1"/>
  <c r="C76" i="33"/>
  <c r="E76" i="33" s="1"/>
  <c r="C76" i="12"/>
  <c r="C76" i="39"/>
  <c r="F76" i="32"/>
  <c r="G76" i="32" s="1"/>
  <c r="C295" i="39"/>
  <c r="C295" i="12"/>
  <c r="C295" i="33"/>
  <c r="E295" i="33" s="1"/>
  <c r="F295" i="32"/>
  <c r="G295" i="32" s="1"/>
  <c r="C249" i="39"/>
  <c r="C249" i="12"/>
  <c r="C249" i="33"/>
  <c r="E249" i="33" s="1"/>
  <c r="F249" i="32"/>
  <c r="G249" i="32" s="1"/>
  <c r="C11" i="12"/>
  <c r="C11" i="33"/>
  <c r="E11" i="33" s="1"/>
  <c r="F11" i="32"/>
  <c r="G11" i="32" s="1"/>
  <c r="C11" i="39"/>
  <c r="C35" i="12"/>
  <c r="C35" i="39"/>
  <c r="C35" i="33"/>
  <c r="E35" i="33" s="1"/>
  <c r="F35" i="32"/>
  <c r="G35" i="32" s="1"/>
  <c r="C50" i="39"/>
  <c r="C50" i="12"/>
  <c r="F50" i="32"/>
  <c r="G50" i="32" s="1"/>
  <c r="C50" i="33"/>
  <c r="E50" i="33" s="1"/>
  <c r="C135" i="12"/>
  <c r="C135" i="33"/>
  <c r="E135" i="33" s="1"/>
  <c r="C135" i="39"/>
  <c r="F135" i="32"/>
  <c r="G135" i="32" s="1"/>
  <c r="C24" i="39"/>
  <c r="C24" i="12"/>
  <c r="C24" i="33"/>
  <c r="E24" i="33" s="1"/>
  <c r="F24" i="32"/>
  <c r="G24" i="32" s="1"/>
  <c r="C222" i="12"/>
  <c r="C222" i="39"/>
  <c r="C222" i="33"/>
  <c r="E222" i="33" s="1"/>
  <c r="F222" i="32"/>
  <c r="G222" i="32" s="1"/>
  <c r="C16" i="39"/>
  <c r="C16" i="12"/>
  <c r="C16" i="33"/>
  <c r="E16" i="33" s="1"/>
  <c r="F16" i="32"/>
  <c r="G16" i="32" s="1"/>
  <c r="C302" i="12"/>
  <c r="C302" i="39"/>
  <c r="C302" i="33"/>
  <c r="E302" i="33" s="1"/>
  <c r="F302" i="32"/>
  <c r="G302" i="32" s="1"/>
  <c r="C166" i="12"/>
  <c r="C166" i="33"/>
  <c r="E166" i="33" s="1"/>
  <c r="C166" i="39"/>
  <c r="F166" i="32"/>
  <c r="G166" i="32" s="1"/>
  <c r="C149" i="39"/>
  <c r="C149" i="12"/>
  <c r="C149" i="33"/>
  <c r="E149" i="33" s="1"/>
  <c r="F149" i="32"/>
  <c r="G149" i="32" s="1"/>
  <c r="C127" i="12"/>
  <c r="C127" i="39"/>
  <c r="F127" i="32"/>
  <c r="G127" i="32" s="1"/>
  <c r="C127" i="33"/>
  <c r="E127" i="33" s="1"/>
  <c r="C272" i="39"/>
  <c r="C272" i="12"/>
  <c r="F272" i="32"/>
  <c r="G272" i="32" s="1"/>
  <c r="C272" i="33"/>
  <c r="E272" i="33" s="1"/>
  <c r="C306" i="12"/>
  <c r="C306" i="39"/>
  <c r="F306" i="32"/>
  <c r="G306" i="32" s="1"/>
  <c r="C306" i="33"/>
  <c r="E306" i="33" s="1"/>
  <c r="C87" i="12"/>
  <c r="C87" i="33"/>
  <c r="E87" i="33" s="1"/>
  <c r="C87" i="39"/>
  <c r="F87" i="32"/>
  <c r="G87" i="32" s="1"/>
  <c r="C193" i="39"/>
  <c r="C193" i="33"/>
  <c r="E193" i="33" s="1"/>
  <c r="C193" i="12"/>
  <c r="F193" i="32"/>
  <c r="G193" i="32" s="1"/>
  <c r="C99" i="12"/>
  <c r="C99" i="39"/>
  <c r="C99" i="33"/>
  <c r="E99" i="33" s="1"/>
  <c r="F99" i="32"/>
  <c r="G99" i="32" s="1"/>
  <c r="C54" i="12"/>
  <c r="C54" i="33"/>
  <c r="E54" i="33" s="1"/>
  <c r="C54" i="39"/>
  <c r="F54" i="32"/>
  <c r="G54" i="32" s="1"/>
  <c r="C107" i="12"/>
  <c r="F107" i="32"/>
  <c r="G107" i="32" s="1"/>
  <c r="C107" i="39"/>
  <c r="C107" i="33"/>
  <c r="E107" i="33" s="1"/>
  <c r="C251" i="39"/>
  <c r="C251" i="33"/>
  <c r="E251" i="33" s="1"/>
  <c r="F251" i="32"/>
  <c r="G251" i="32" s="1"/>
  <c r="C251" i="12"/>
  <c r="C36" i="33"/>
  <c r="E36" i="33" s="1"/>
  <c r="C36" i="12"/>
  <c r="C36" i="39"/>
  <c r="F36" i="32"/>
  <c r="G36" i="32" s="1"/>
  <c r="C131" i="12"/>
  <c r="C131" i="39"/>
  <c r="C131" i="33"/>
  <c r="E131" i="33" s="1"/>
  <c r="F131" i="32"/>
  <c r="G131" i="32" s="1"/>
  <c r="C141" i="39"/>
  <c r="C141" i="12"/>
  <c r="F141" i="32"/>
  <c r="G141" i="32" s="1"/>
  <c r="C141" i="33"/>
  <c r="E141" i="33" s="1"/>
  <c r="C201" i="39"/>
  <c r="C201" i="12"/>
  <c r="C201" i="33"/>
  <c r="E201" i="33" s="1"/>
  <c r="F201" i="32"/>
  <c r="G201" i="32" s="1"/>
  <c r="C28" i="33"/>
  <c r="E28" i="33" s="1"/>
  <c r="C28" i="12"/>
  <c r="F28" i="32"/>
  <c r="G28" i="32" s="1"/>
  <c r="C28" i="39"/>
  <c r="C8" i="39"/>
  <c r="C8" i="33"/>
  <c r="E8" i="33" s="1"/>
  <c r="C8" i="12"/>
  <c r="F8" i="32"/>
  <c r="G8" i="32" s="1"/>
  <c r="C86" i="12"/>
  <c r="C86" i="39"/>
  <c r="F86" i="32"/>
  <c r="G86" i="32" s="1"/>
  <c r="C86" i="33"/>
  <c r="E86" i="33" s="1"/>
  <c r="C277" i="12"/>
  <c r="C277" i="33"/>
  <c r="E277" i="33" s="1"/>
  <c r="C277" i="39"/>
  <c r="F277" i="32"/>
  <c r="G277" i="32" s="1"/>
  <c r="C238" i="12"/>
  <c r="C238" i="39"/>
  <c r="C238" i="33"/>
  <c r="E238" i="33" s="1"/>
  <c r="F238" i="32"/>
  <c r="G238" i="32" s="1"/>
  <c r="C142" i="12"/>
  <c r="C142" i="39"/>
  <c r="C142" i="33"/>
  <c r="E142" i="33" s="1"/>
  <c r="F142" i="32"/>
  <c r="G142" i="32" s="1"/>
  <c r="C273" i="39"/>
  <c r="C273" i="12"/>
  <c r="C273" i="33"/>
  <c r="E273" i="33" s="1"/>
  <c r="F273" i="32"/>
  <c r="G273" i="32" s="1"/>
  <c r="C247" i="39"/>
  <c r="C247" i="12"/>
  <c r="C247" i="33"/>
  <c r="E247" i="33" s="1"/>
  <c r="F247" i="32"/>
  <c r="G247" i="32" s="1"/>
  <c r="C10" i="39"/>
  <c r="C10" i="33"/>
  <c r="E10" i="33" s="1"/>
  <c r="C10" i="12"/>
  <c r="F10" i="32"/>
  <c r="G10" i="32" s="1"/>
  <c r="C74" i="39"/>
  <c r="C74" i="33"/>
  <c r="E74" i="33" s="1"/>
  <c r="C74" i="12"/>
  <c r="F74" i="32"/>
  <c r="G74" i="32" s="1"/>
  <c r="C151" i="12"/>
  <c r="C151" i="39"/>
  <c r="F151" i="32"/>
  <c r="G151" i="32" s="1"/>
  <c r="C151" i="33"/>
  <c r="E151" i="33" s="1"/>
  <c r="C265" i="39"/>
  <c r="C265" i="12"/>
  <c r="C265" i="33"/>
  <c r="E265" i="33" s="1"/>
  <c r="F265" i="32"/>
  <c r="G265" i="32" s="1"/>
  <c r="C43" i="12"/>
  <c r="C43" i="33"/>
  <c r="E43" i="33" s="1"/>
  <c r="F43" i="32"/>
  <c r="G43" i="32" s="1"/>
  <c r="C43" i="39"/>
  <c r="C105" i="39"/>
  <c r="C105" i="12"/>
  <c r="C105" i="33"/>
  <c r="E105" i="33" s="1"/>
  <c r="F105" i="32"/>
  <c r="G105" i="32" s="1"/>
  <c r="C271" i="39"/>
  <c r="C271" i="12"/>
  <c r="F271" i="32"/>
  <c r="G271" i="32" s="1"/>
  <c r="C271" i="33"/>
  <c r="E271" i="33" s="1"/>
  <c r="C255" i="39"/>
  <c r="C255" i="12"/>
  <c r="F255" i="32"/>
  <c r="G255" i="32" s="1"/>
  <c r="C255" i="33"/>
  <c r="E255" i="33" s="1"/>
  <c r="C17" i="39"/>
  <c r="C17" i="12"/>
  <c r="C17" i="33"/>
  <c r="E17" i="33" s="1"/>
  <c r="F17" i="32"/>
  <c r="G17" i="32" s="1"/>
  <c r="C120" i="39"/>
  <c r="C120" i="12"/>
  <c r="F120" i="32"/>
  <c r="G120" i="32" s="1"/>
  <c r="C120" i="33"/>
  <c r="E120" i="33" s="1"/>
  <c r="C274" i="12"/>
  <c r="C274" i="39"/>
  <c r="C274" i="33"/>
  <c r="E274" i="33" s="1"/>
  <c r="F274" i="32"/>
  <c r="G274" i="32" s="1"/>
  <c r="C305" i="39"/>
  <c r="C305" i="12"/>
  <c r="C305" i="33"/>
  <c r="E305" i="33" s="1"/>
  <c r="F305" i="32"/>
  <c r="G305" i="32" s="1"/>
  <c r="C177" i="39"/>
  <c r="C177" i="33"/>
  <c r="E177" i="33" s="1"/>
  <c r="C177" i="12"/>
  <c r="F177" i="32"/>
  <c r="G177" i="32" s="1"/>
  <c r="C230" i="12"/>
  <c r="C230" i="33"/>
  <c r="E230" i="33" s="1"/>
  <c r="C230" i="39"/>
  <c r="F230" i="32"/>
  <c r="G230" i="32" s="1"/>
  <c r="C157" i="39"/>
  <c r="C157" i="33"/>
  <c r="E157" i="33" s="1"/>
  <c r="F157" i="32"/>
  <c r="G157" i="32" s="1"/>
  <c r="C157" i="12"/>
  <c r="C121" i="39"/>
  <c r="C121" i="12"/>
  <c r="C121" i="33"/>
  <c r="E121" i="33" s="1"/>
  <c r="F121" i="32"/>
  <c r="G121" i="32" s="1"/>
  <c r="C192" i="39"/>
  <c r="C192" i="12"/>
  <c r="F192" i="32"/>
  <c r="G192" i="32" s="1"/>
  <c r="C192" i="33"/>
  <c r="E192" i="33" s="1"/>
  <c r="C276" i="39"/>
  <c r="C276" i="12"/>
  <c r="C276" i="33"/>
  <c r="E276" i="33" s="1"/>
  <c r="F276" i="32"/>
  <c r="G276" i="32" s="1"/>
  <c r="C97" i="39"/>
  <c r="C97" i="33"/>
  <c r="E97" i="33" s="1"/>
  <c r="F97" i="32"/>
  <c r="G97" i="32" s="1"/>
  <c r="C97" i="12"/>
  <c r="C289" i="39"/>
  <c r="C289" i="33"/>
  <c r="E289" i="33" s="1"/>
  <c r="F289" i="32"/>
  <c r="G289" i="32" s="1"/>
  <c r="C289" i="12"/>
  <c r="C198" i="12"/>
  <c r="C198" i="33"/>
  <c r="E198" i="33" s="1"/>
  <c r="C198" i="39"/>
  <c r="F198" i="32"/>
  <c r="G198" i="32" s="1"/>
  <c r="C220" i="12"/>
  <c r="C220" i="33"/>
  <c r="E220" i="33" s="1"/>
  <c r="F220" i="32"/>
  <c r="G220" i="32" s="1"/>
  <c r="C220" i="39"/>
  <c r="C229" i="39"/>
  <c r="C229" i="33"/>
  <c r="E229" i="33" s="1"/>
  <c r="F229" i="32"/>
  <c r="G229" i="32" s="1"/>
  <c r="C229" i="12"/>
  <c r="C297" i="39"/>
  <c r="C297" i="12"/>
  <c r="C297" i="33"/>
  <c r="E297" i="33" s="1"/>
  <c r="F297" i="32"/>
  <c r="G297" i="32" s="1"/>
  <c r="C269" i="12"/>
  <c r="C269" i="39"/>
  <c r="F269" i="32"/>
  <c r="G269" i="32" s="1"/>
  <c r="C269" i="33"/>
  <c r="E269" i="33" s="1"/>
  <c r="C204" i="12"/>
  <c r="C204" i="39"/>
  <c r="F204" i="32"/>
  <c r="G204" i="32" s="1"/>
  <c r="C204" i="33"/>
  <c r="E204" i="33" s="1"/>
  <c r="C39" i="12"/>
  <c r="C39" i="39"/>
  <c r="C39" i="33"/>
  <c r="E39" i="33" s="1"/>
  <c r="F39" i="32"/>
  <c r="G39" i="32" s="1"/>
  <c r="C44" i="12"/>
  <c r="F44" i="32"/>
  <c r="G44" i="32" s="1"/>
  <c r="C44" i="33"/>
  <c r="E44" i="33" s="1"/>
  <c r="C44" i="39"/>
  <c r="C85" i="39"/>
  <c r="C85" i="33"/>
  <c r="E85" i="33" s="1"/>
  <c r="C85" i="12"/>
  <c r="F85" i="32"/>
  <c r="G85" i="32" s="1"/>
  <c r="C23" i="33"/>
  <c r="E23" i="33" s="1"/>
  <c r="C23" i="12"/>
  <c r="C23" i="39"/>
  <c r="F23" i="32"/>
  <c r="G23" i="32" s="1"/>
  <c r="C185" i="39"/>
  <c r="C185" i="12"/>
  <c r="C185" i="33"/>
  <c r="E185" i="33" s="1"/>
  <c r="F185" i="32"/>
  <c r="G185" i="32" s="1"/>
  <c r="C252" i="39"/>
  <c r="C252" i="12"/>
  <c r="F252" i="32"/>
  <c r="G252" i="32" s="1"/>
  <c r="C252" i="33"/>
  <c r="E252" i="33" s="1"/>
  <c r="C234" i="39"/>
  <c r="C234" i="12"/>
  <c r="C234" i="33"/>
  <c r="E234" i="33" s="1"/>
  <c r="F234" i="32"/>
  <c r="G234" i="32" s="1"/>
  <c r="C130" i="39"/>
  <c r="C130" i="33"/>
  <c r="E130" i="33" s="1"/>
  <c r="C130" i="12"/>
  <c r="F130" i="32"/>
  <c r="G130" i="32" s="1"/>
  <c r="C203" i="12"/>
  <c r="C203" i="33"/>
  <c r="E203" i="33" s="1"/>
  <c r="F203" i="32"/>
  <c r="G203" i="32" s="1"/>
  <c r="C203" i="39"/>
  <c r="C257" i="39"/>
  <c r="F257" i="32"/>
  <c r="G257" i="32" s="1"/>
  <c r="C257" i="33"/>
  <c r="E257" i="33" s="1"/>
  <c r="C257" i="12"/>
  <c r="C96" i="39"/>
  <c r="C96" i="12"/>
  <c r="C96" i="33"/>
  <c r="E96" i="33" s="1"/>
  <c r="F96" i="32"/>
  <c r="G96" i="32" s="1"/>
  <c r="C186" i="39"/>
  <c r="C186" i="12"/>
  <c r="C186" i="33"/>
  <c r="E186" i="33" s="1"/>
  <c r="F186" i="32"/>
  <c r="G186" i="32" s="1"/>
  <c r="C179" i="12"/>
  <c r="C179" i="39"/>
  <c r="C179" i="33"/>
  <c r="E179" i="33" s="1"/>
  <c r="F179" i="32"/>
  <c r="G179" i="32" s="1"/>
  <c r="C158" i="12"/>
  <c r="C158" i="39"/>
  <c r="C158" i="33"/>
  <c r="E158" i="33" s="1"/>
  <c r="F158" i="32"/>
  <c r="G158" i="32" s="1"/>
  <c r="C312" i="39"/>
  <c r="C312" i="12"/>
  <c r="C312" i="33"/>
  <c r="E312" i="33" s="1"/>
  <c r="F312" i="32"/>
  <c r="G312" i="32" s="1"/>
  <c r="C165" i="39"/>
  <c r="C165" i="33"/>
  <c r="E165" i="33" s="1"/>
  <c r="F165" i="32"/>
  <c r="G165" i="32" s="1"/>
  <c r="C165" i="12"/>
  <c r="C81" i="39"/>
  <c r="C81" i="33"/>
  <c r="E81" i="33" s="1"/>
  <c r="C81" i="12"/>
  <c r="F81" i="32"/>
  <c r="G81" i="32" s="1"/>
  <c r="C161" i="39"/>
  <c r="C161" i="33"/>
  <c r="E161" i="33" s="1"/>
  <c r="C161" i="12"/>
  <c r="F161" i="32"/>
  <c r="G161" i="32" s="1"/>
  <c r="C116" i="33"/>
  <c r="E116" i="33" s="1"/>
  <c r="C116" i="39"/>
  <c r="C116" i="12"/>
  <c r="F116" i="32"/>
  <c r="G116" i="32" s="1"/>
  <c r="C233" i="39"/>
  <c r="C233" i="12"/>
  <c r="C233" i="33"/>
  <c r="E233" i="33" s="1"/>
  <c r="F233" i="32"/>
  <c r="G233" i="32" s="1"/>
  <c r="C226" i="39"/>
  <c r="C226" i="12"/>
  <c r="C226" i="33"/>
  <c r="E226" i="33" s="1"/>
  <c r="F226" i="32"/>
  <c r="G226" i="32" s="1"/>
  <c r="C26" i="39"/>
  <c r="C26" i="33"/>
  <c r="E26" i="33" s="1"/>
  <c r="C26" i="12"/>
  <c r="F26" i="32"/>
  <c r="G26" i="32" s="1"/>
  <c r="C212" i="39"/>
  <c r="C212" i="12"/>
  <c r="C212" i="33"/>
  <c r="E212" i="33" s="1"/>
  <c r="F212" i="32"/>
  <c r="G212" i="32" s="1"/>
  <c r="C153" i="39"/>
  <c r="C153" i="12"/>
  <c r="C153" i="33"/>
  <c r="E153" i="33" s="1"/>
  <c r="F153" i="32"/>
  <c r="G153" i="32" s="1"/>
  <c r="C199" i="12"/>
  <c r="C199" i="33"/>
  <c r="E199" i="33" s="1"/>
  <c r="C199" i="39"/>
  <c r="F199" i="32"/>
  <c r="G199" i="32" s="1"/>
  <c r="C60" i="12"/>
  <c r="C60" i="33"/>
  <c r="E60" i="33" s="1"/>
  <c r="F60" i="32"/>
  <c r="G60" i="32" s="1"/>
  <c r="C60" i="39"/>
  <c r="C111" i="12"/>
  <c r="C111" i="33"/>
  <c r="E111" i="33" s="1"/>
  <c r="C111" i="39"/>
  <c r="F111" i="32"/>
  <c r="G111" i="32" s="1"/>
  <c r="C27" i="33"/>
  <c r="E27" i="33" s="1"/>
  <c r="C27" i="12"/>
  <c r="C27" i="39"/>
  <c r="F27" i="32"/>
  <c r="G27" i="32" s="1"/>
  <c r="C160" i="39"/>
  <c r="C160" i="12"/>
  <c r="F160" i="32"/>
  <c r="G160" i="32" s="1"/>
  <c r="C160" i="33"/>
  <c r="E160" i="33" s="1"/>
  <c r="C253" i="12"/>
  <c r="C253" i="39"/>
  <c r="C253" i="33"/>
  <c r="E253" i="33" s="1"/>
  <c r="F253" i="32"/>
  <c r="G253" i="32" s="1"/>
  <c r="C298" i="12"/>
  <c r="C298" i="33"/>
  <c r="E298" i="33" s="1"/>
  <c r="C298" i="39"/>
  <c r="F298" i="32"/>
  <c r="G298" i="32" s="1"/>
  <c r="C115" i="12"/>
  <c r="C115" i="33"/>
  <c r="E115" i="33" s="1"/>
  <c r="C115" i="39"/>
  <c r="F115" i="32"/>
  <c r="G115" i="32" s="1"/>
  <c r="C118" i="12"/>
  <c r="C118" i="39"/>
  <c r="C118" i="33"/>
  <c r="E118" i="33" s="1"/>
  <c r="F118" i="32"/>
  <c r="G118" i="32" s="1"/>
  <c r="C284" i="39"/>
  <c r="C284" i="12"/>
  <c r="F284" i="32"/>
  <c r="G284" i="32" s="1"/>
  <c r="C284" i="33"/>
  <c r="E284" i="33" s="1"/>
  <c r="C145" i="39"/>
  <c r="C145" i="12"/>
  <c r="C145" i="33"/>
  <c r="E145" i="33" s="1"/>
  <c r="F145" i="32"/>
  <c r="G145" i="32" s="1"/>
  <c r="C140" i="12"/>
  <c r="C140" i="33"/>
  <c r="E140" i="33" s="1"/>
  <c r="C140" i="39"/>
  <c r="F140" i="32"/>
  <c r="G140" i="32" s="1"/>
  <c r="C211" i="12"/>
  <c r="C211" i="39"/>
  <c r="C211" i="33"/>
  <c r="E211" i="33" s="1"/>
  <c r="F211" i="32"/>
  <c r="G211" i="32" s="1"/>
  <c r="C313" i="39"/>
  <c r="C313" i="12"/>
  <c r="C313" i="33"/>
  <c r="E313" i="33" s="1"/>
  <c r="F313" i="32"/>
  <c r="G313" i="32" s="1"/>
  <c r="C29" i="33"/>
  <c r="E29" i="33" s="1"/>
  <c r="C29" i="39"/>
  <c r="F29" i="32"/>
  <c r="G29" i="32" s="1"/>
  <c r="C29" i="12"/>
  <c r="C239" i="12"/>
  <c r="C239" i="39"/>
  <c r="F239" i="32"/>
  <c r="G239" i="32" s="1"/>
  <c r="C239" i="33"/>
  <c r="E239" i="33" s="1"/>
  <c r="C19" i="12"/>
  <c r="C19" i="39"/>
  <c r="F19" i="32"/>
  <c r="G19" i="32" s="1"/>
  <c r="C19" i="33"/>
  <c r="E19" i="33" s="1"/>
  <c r="C200" i="39"/>
  <c r="C200" i="12"/>
  <c r="C200" i="33"/>
  <c r="E200" i="33" s="1"/>
  <c r="F200" i="32"/>
  <c r="G200" i="32" s="1"/>
  <c r="C68" i="33"/>
  <c r="E68" i="33" s="1"/>
  <c r="C68" i="12"/>
  <c r="C68" i="39"/>
  <c r="F68" i="32"/>
  <c r="G68" i="32" s="1"/>
  <c r="C196" i="33"/>
  <c r="E196" i="33" s="1"/>
  <c r="F196" i="32"/>
  <c r="G196" i="32" s="1"/>
  <c r="C196" i="12"/>
  <c r="C196" i="39"/>
  <c r="C126" i="12"/>
  <c r="C126" i="39"/>
  <c r="C126" i="33"/>
  <c r="E126" i="33" s="1"/>
  <c r="F126" i="32"/>
  <c r="G126" i="32" s="1"/>
  <c r="C84" i="33"/>
  <c r="E84" i="33" s="1"/>
  <c r="C84" i="39"/>
  <c r="C84" i="12"/>
  <c r="F84" i="32"/>
  <c r="G84" i="32" s="1"/>
  <c r="C205" i="39"/>
  <c r="C205" i="12"/>
  <c r="C205" i="33"/>
  <c r="E205" i="33" s="1"/>
  <c r="F205" i="32"/>
  <c r="G205" i="32" s="1"/>
  <c r="C98" i="39"/>
  <c r="C98" i="12"/>
  <c r="F98" i="32"/>
  <c r="G98" i="32" s="1"/>
  <c r="C98" i="33"/>
  <c r="E98" i="33" s="1"/>
  <c r="C106" i="39"/>
  <c r="C106" i="12"/>
  <c r="C106" i="33"/>
  <c r="E106" i="33" s="1"/>
  <c r="F106" i="32"/>
  <c r="G106" i="32" s="1"/>
  <c r="C91" i="12"/>
  <c r="C91" i="33"/>
  <c r="E91" i="33" s="1"/>
  <c r="F91" i="32"/>
  <c r="G91" i="32" s="1"/>
  <c r="C91" i="39"/>
  <c r="C14" i="12"/>
  <c r="C14" i="33"/>
  <c r="E14" i="33" s="1"/>
  <c r="C14" i="39"/>
  <c r="F14" i="32"/>
  <c r="G14" i="32" s="1"/>
  <c r="C259" i="39"/>
  <c r="C259" i="12"/>
  <c r="F259" i="32"/>
  <c r="G259" i="32" s="1"/>
  <c r="C259" i="33"/>
  <c r="E259" i="33" s="1"/>
  <c r="C42" i="39"/>
  <c r="C42" i="12"/>
  <c r="C42" i="33"/>
  <c r="E42" i="33" s="1"/>
  <c r="F42" i="32"/>
  <c r="G42" i="32" s="1"/>
  <c r="C224" i="39"/>
  <c r="C224" i="12"/>
  <c r="C224" i="33"/>
  <c r="E224" i="33" s="1"/>
  <c r="F224" i="32"/>
  <c r="G224" i="32" s="1"/>
  <c r="C246" i="12"/>
  <c r="C246" i="39"/>
  <c r="F246" i="32"/>
  <c r="G246" i="32" s="1"/>
  <c r="C246" i="33"/>
  <c r="E246" i="33" s="1"/>
  <c r="C187" i="12"/>
  <c r="C187" i="33"/>
  <c r="E187" i="33" s="1"/>
  <c r="C187" i="39"/>
  <c r="F187" i="32"/>
  <c r="G187" i="32" s="1"/>
  <c r="C114" i="39"/>
  <c r="C114" i="12"/>
  <c r="F114" i="32"/>
  <c r="G114" i="32" s="1"/>
  <c r="C114" i="33"/>
  <c r="E114" i="33" s="1"/>
  <c r="C173" i="39"/>
  <c r="C173" i="12"/>
  <c r="F173" i="32"/>
  <c r="G173" i="32" s="1"/>
  <c r="C173" i="33"/>
  <c r="E173" i="33" s="1"/>
  <c r="C293" i="12"/>
  <c r="C293" i="33"/>
  <c r="E293" i="33" s="1"/>
  <c r="F293" i="32"/>
  <c r="G293" i="32" s="1"/>
  <c r="C293" i="39"/>
  <c r="C159" i="12"/>
  <c r="C159" i="39"/>
  <c r="C159" i="33"/>
  <c r="E159" i="33" s="1"/>
  <c r="F159" i="32"/>
  <c r="G159" i="32" s="1"/>
  <c r="C256" i="39"/>
  <c r="C256" i="12"/>
  <c r="C256" i="33"/>
  <c r="E256" i="33" s="1"/>
  <c r="F256" i="32"/>
  <c r="G256" i="32" s="1"/>
  <c r="C232" i="39"/>
  <c r="C232" i="12"/>
  <c r="C232" i="33"/>
  <c r="E232" i="33" s="1"/>
  <c r="F232" i="32"/>
  <c r="G232" i="32" s="1"/>
  <c r="C183" i="12"/>
  <c r="C183" i="39"/>
  <c r="C183" i="33"/>
  <c r="E183" i="33" s="1"/>
  <c r="F183" i="32"/>
  <c r="G183" i="32" s="1"/>
  <c r="C301" i="12"/>
  <c r="C301" i="39"/>
  <c r="F301" i="32"/>
  <c r="G301" i="32" s="1"/>
  <c r="C301" i="33"/>
  <c r="E301" i="33" s="1"/>
  <c r="C223" i="12"/>
  <c r="C223" i="39"/>
  <c r="F223" i="32"/>
  <c r="G223" i="32" s="1"/>
  <c r="C223" i="33"/>
  <c r="E223" i="33" s="1"/>
  <c r="C244" i="39"/>
  <c r="C244" i="12"/>
  <c r="F244" i="32"/>
  <c r="G244" i="32" s="1"/>
  <c r="C244" i="33"/>
  <c r="E244" i="33" s="1"/>
  <c r="C264" i="39"/>
  <c r="C264" i="12"/>
  <c r="C264" i="33"/>
  <c r="E264" i="33" s="1"/>
  <c r="F264" i="32"/>
  <c r="G264" i="32" s="1"/>
  <c r="C57" i="39"/>
  <c r="C57" i="12"/>
  <c r="C57" i="33"/>
  <c r="E57" i="33" s="1"/>
  <c r="F57" i="32"/>
  <c r="G57" i="32" s="1"/>
  <c r="C146" i="39"/>
  <c r="C146" i="33"/>
  <c r="E146" i="33" s="1"/>
  <c r="C146" i="12"/>
  <c r="F146" i="32"/>
  <c r="G146" i="32" s="1"/>
  <c r="C282" i="12"/>
  <c r="F282" i="32"/>
  <c r="G282" i="32" s="1"/>
  <c r="C282" i="39"/>
  <c r="C282" i="33"/>
  <c r="E282" i="33" s="1"/>
  <c r="C178" i="39"/>
  <c r="C178" i="12"/>
  <c r="C178" i="33"/>
  <c r="E178" i="33" s="1"/>
  <c r="F178" i="32"/>
  <c r="G178" i="32" s="1"/>
  <c r="C25" i="39"/>
  <c r="C25" i="33"/>
  <c r="E25" i="33" s="1"/>
  <c r="C25" i="12"/>
  <c r="F25" i="32"/>
  <c r="G25" i="32" s="1"/>
  <c r="C209" i="39"/>
  <c r="C209" i="33"/>
  <c r="E209" i="33" s="1"/>
  <c r="C209" i="12"/>
  <c r="F209" i="32"/>
  <c r="G209" i="32" s="1"/>
  <c r="C82" i="39"/>
  <c r="C82" i="12"/>
  <c r="F82" i="32"/>
  <c r="G82" i="32" s="1"/>
  <c r="C82" i="33"/>
  <c r="E82" i="33" s="1"/>
  <c r="C33" i="39"/>
  <c r="C33" i="33"/>
  <c r="E33" i="33" s="1"/>
  <c r="C33" i="12"/>
  <c r="F33" i="32"/>
  <c r="G33" i="32" s="1"/>
  <c r="C236" i="12"/>
  <c r="C236" i="33"/>
  <c r="E236" i="33" s="1"/>
  <c r="F236" i="32"/>
  <c r="G236" i="32" s="1"/>
  <c r="C236" i="39"/>
  <c r="C221" i="39"/>
  <c r="C221" i="12"/>
  <c r="C221" i="33"/>
  <c r="E221" i="33" s="1"/>
  <c r="F221" i="32"/>
  <c r="G221" i="32" s="1"/>
  <c r="C80" i="39"/>
  <c r="C80" i="12"/>
  <c r="F80" i="32"/>
  <c r="G80" i="32" s="1"/>
  <c r="C80" i="33"/>
  <c r="E80" i="33" s="1"/>
  <c r="C215" i="12"/>
  <c r="C215" i="33"/>
  <c r="E215" i="33" s="1"/>
  <c r="C215" i="39"/>
  <c r="F215" i="32"/>
  <c r="G215" i="32" s="1"/>
  <c r="C95" i="12"/>
  <c r="C95" i="33"/>
  <c r="E95" i="33" s="1"/>
  <c r="C95" i="39"/>
  <c r="F95" i="32"/>
  <c r="G95" i="32" s="1"/>
  <c r="C59" i="12"/>
  <c r="C59" i="39"/>
  <c r="F59" i="32"/>
  <c r="G59" i="32" s="1"/>
  <c r="C59" i="33"/>
  <c r="E59" i="33" s="1"/>
  <c r="C227" i="12"/>
  <c r="C227" i="39"/>
  <c r="F227" i="32"/>
  <c r="G227" i="32" s="1"/>
  <c r="C227" i="33"/>
  <c r="E227" i="33" s="1"/>
  <c r="C56" i="39"/>
  <c r="C56" i="12"/>
  <c r="C56" i="33"/>
  <c r="E56" i="33" s="1"/>
  <c r="F56" i="32"/>
  <c r="G56" i="32" s="1"/>
  <c r="C37" i="39"/>
  <c r="C37" i="33"/>
  <c r="E37" i="33" s="1"/>
  <c r="F37" i="32"/>
  <c r="G37" i="32" s="1"/>
  <c r="C37" i="12"/>
  <c r="C288" i="39"/>
  <c r="C288" i="12"/>
  <c r="C288" i="33"/>
  <c r="E288" i="33" s="1"/>
  <c r="F288" i="32"/>
  <c r="G288" i="32" s="1"/>
  <c r="C190" i="12"/>
  <c r="C190" i="39"/>
  <c r="F190" i="32"/>
  <c r="G190" i="32" s="1"/>
  <c r="C190" i="33"/>
  <c r="E190" i="33" s="1"/>
  <c r="C217" i="39"/>
  <c r="C217" i="12"/>
  <c r="C217" i="33"/>
  <c r="E217" i="33" s="1"/>
  <c r="F217" i="32"/>
  <c r="G217" i="32" s="1"/>
  <c r="C88" i="39"/>
  <c r="C88" i="12"/>
  <c r="F88" i="32"/>
  <c r="G88" i="32" s="1"/>
  <c r="C88" i="33"/>
  <c r="E88" i="33" s="1"/>
  <c r="C90" i="39"/>
  <c r="C90" i="12"/>
  <c r="C90" i="33"/>
  <c r="E90" i="33" s="1"/>
  <c r="F90" i="32"/>
  <c r="G90" i="32" s="1"/>
  <c r="C51" i="12"/>
  <c r="C51" i="39"/>
  <c r="C51" i="33"/>
  <c r="E51" i="33" s="1"/>
  <c r="F51" i="32"/>
  <c r="G51" i="32" s="1"/>
  <c r="C129" i="39"/>
  <c r="F129" i="32"/>
  <c r="G129" i="32" s="1"/>
  <c r="C129" i="12"/>
  <c r="C129" i="33"/>
  <c r="E129" i="33" s="1"/>
  <c r="C248" i="39"/>
  <c r="C248" i="12"/>
  <c r="F248" i="32"/>
  <c r="G248" i="32" s="1"/>
  <c r="C248" i="33"/>
  <c r="E248" i="33" s="1"/>
  <c r="C40" i="39"/>
  <c r="C40" i="12"/>
  <c r="C40" i="33"/>
  <c r="E40" i="33" s="1"/>
  <c r="F40" i="32"/>
  <c r="G40" i="32" s="1"/>
  <c r="C123" i="12"/>
  <c r="F123" i="32"/>
  <c r="G123" i="32" s="1"/>
  <c r="C123" i="39"/>
  <c r="C123" i="33"/>
  <c r="E123" i="33" s="1"/>
  <c r="C310" i="12"/>
  <c r="C310" i="39"/>
  <c r="C310" i="33"/>
  <c r="E310" i="33" s="1"/>
  <c r="F310" i="32"/>
  <c r="G310" i="32" s="1"/>
  <c r="C75" i="12"/>
  <c r="C75" i="33"/>
  <c r="E75" i="33" s="1"/>
  <c r="F75" i="32"/>
  <c r="G75" i="32" s="1"/>
  <c r="C75" i="39"/>
  <c r="C70" i="12"/>
  <c r="C70" i="39"/>
  <c r="C70" i="33"/>
  <c r="E70" i="33" s="1"/>
  <c r="F70" i="32"/>
  <c r="G70" i="32" s="1"/>
  <c r="C299" i="12"/>
  <c r="C299" i="39"/>
  <c r="C299" i="33"/>
  <c r="E299" i="33" s="1"/>
  <c r="F299" i="32"/>
  <c r="G299" i="32" s="1"/>
  <c r="C270" i="12"/>
  <c r="C270" i="39"/>
  <c r="C270" i="33"/>
  <c r="E270" i="33" s="1"/>
  <c r="F270" i="32"/>
  <c r="G270" i="32" s="1"/>
  <c r="C148" i="33"/>
  <c r="E148" i="33" s="1"/>
  <c r="C148" i="39"/>
  <c r="C148" i="12"/>
  <c r="F148" i="32"/>
  <c r="G148" i="32" s="1"/>
  <c r="C300" i="39"/>
  <c r="C300" i="12"/>
  <c r="C300" i="33"/>
  <c r="E300" i="33" s="1"/>
  <c r="F300" i="32"/>
  <c r="G300" i="32" s="1"/>
  <c r="C119" i="12"/>
  <c r="C119" i="39"/>
  <c r="C119" i="33"/>
  <c r="E119" i="33" s="1"/>
  <c r="F119" i="32"/>
  <c r="G119" i="32" s="1"/>
  <c r="C241" i="39"/>
  <c r="C241" i="12"/>
  <c r="F241" i="32"/>
  <c r="G241" i="32" s="1"/>
  <c r="C241" i="33"/>
  <c r="E241" i="33" s="1"/>
  <c r="C279" i="39"/>
  <c r="C279" i="12"/>
  <c r="C279" i="33"/>
  <c r="E279" i="33" s="1"/>
  <c r="F279" i="32"/>
  <c r="G279" i="32" s="1"/>
  <c r="C63" i="12"/>
  <c r="C63" i="33"/>
  <c r="E63" i="33" s="1"/>
  <c r="C63" i="39"/>
  <c r="F63" i="32"/>
  <c r="G63" i="32" s="1"/>
  <c r="C189" i="39"/>
  <c r="C189" i="33"/>
  <c r="E189" i="33" s="1"/>
  <c r="C189" i="12"/>
  <c r="F189" i="32"/>
  <c r="G189" i="32" s="1"/>
  <c r="C32" i="39"/>
  <c r="C32" i="12"/>
  <c r="C32" i="33"/>
  <c r="E32" i="33" s="1"/>
  <c r="F32" i="32"/>
  <c r="G32" i="32" s="1"/>
  <c r="C170" i="39"/>
  <c r="C170" i="12"/>
  <c r="C170" i="33"/>
  <c r="E170" i="33" s="1"/>
  <c r="F170" i="32"/>
  <c r="G170" i="32" s="1"/>
  <c r="C195" i="12"/>
  <c r="C195" i="33"/>
  <c r="E195" i="33" s="1"/>
  <c r="C195" i="39"/>
  <c r="F195" i="32"/>
  <c r="G195" i="32" s="1"/>
  <c r="C67" i="12"/>
  <c r="C67" i="33"/>
  <c r="E67" i="33" s="1"/>
  <c r="C67" i="39"/>
  <c r="F67" i="32"/>
  <c r="G67" i="32" s="1"/>
  <c r="C180" i="39"/>
  <c r="C180" i="12"/>
  <c r="F180" i="32"/>
  <c r="G180" i="32" s="1"/>
  <c r="C180" i="33"/>
  <c r="E180" i="33" s="1"/>
  <c r="C69" i="39"/>
  <c r="C69" i="33"/>
  <c r="E69" i="33" s="1"/>
  <c r="F69" i="32"/>
  <c r="G69" i="32" s="1"/>
  <c r="C69" i="12"/>
  <c r="C133" i="39"/>
  <c r="F133" i="32"/>
  <c r="G133" i="32" s="1"/>
  <c r="C133" i="33"/>
  <c r="E133" i="33" s="1"/>
  <c r="C133" i="12"/>
  <c r="C281" i="39"/>
  <c r="C281" i="12"/>
  <c r="C281" i="33"/>
  <c r="E281" i="33" s="1"/>
  <c r="F281" i="32"/>
  <c r="G281" i="32" s="1"/>
  <c r="C210" i="39"/>
  <c r="C210" i="33"/>
  <c r="E210" i="33" s="1"/>
  <c r="C210" i="12"/>
  <c r="F210" i="32"/>
  <c r="G210" i="32" s="1"/>
  <c r="G219" i="49"/>
  <c r="F219" i="49"/>
  <c r="U245" i="19"/>
  <c r="U171" i="19"/>
  <c r="J219" i="13"/>
  <c r="A219" i="49"/>
  <c r="B219" i="49"/>
  <c r="A170" i="49"/>
  <c r="B170" i="49"/>
  <c r="A219" i="13"/>
  <c r="B219" i="13"/>
  <c r="A170" i="13"/>
  <c r="B170" i="13"/>
  <c r="A218" i="39"/>
  <c r="B218" i="39"/>
  <c r="A169" i="39"/>
  <c r="B169" i="39"/>
  <c r="C169" i="39" l="1"/>
  <c r="C169" i="12"/>
  <c r="C169" i="33"/>
  <c r="E169" i="33" s="1"/>
  <c r="F169" i="32"/>
  <c r="G169" i="32" s="1"/>
  <c r="C243" i="39"/>
  <c r="C243" i="12"/>
  <c r="F243" i="32"/>
  <c r="G243" i="32" s="1"/>
  <c r="C243" i="33"/>
  <c r="E243" i="33" s="1"/>
  <c r="J244" i="13"/>
  <c r="G244" i="49"/>
  <c r="J170" i="13"/>
  <c r="G170" i="49"/>
  <c r="M4" i="11"/>
  <c r="I4" i="11"/>
  <c r="I315" i="13" l="1"/>
  <c r="M8" i="42" l="1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7" i="42"/>
  <c r="S17" i="42" s="1"/>
  <c r="M18" i="42"/>
  <c r="S18" i="42" s="1"/>
  <c r="M19" i="42"/>
  <c r="S19" i="42" s="1"/>
  <c r="M20" i="42"/>
  <c r="S20" i="42" s="1"/>
  <c r="M21" i="42"/>
  <c r="S21" i="42" s="1"/>
  <c r="M22" i="42"/>
  <c r="S22" i="42" s="1"/>
  <c r="M23" i="42"/>
  <c r="S23" i="42" s="1"/>
  <c r="M24" i="42"/>
  <c r="S24" i="42" s="1"/>
  <c r="M25" i="42"/>
  <c r="S25" i="42" s="1"/>
  <c r="M26" i="42"/>
  <c r="S26" i="42" s="1"/>
  <c r="M27" i="42"/>
  <c r="S27" i="42" s="1"/>
  <c r="M28" i="42"/>
  <c r="S28" i="42" s="1"/>
  <c r="M29" i="42"/>
  <c r="S29" i="42" s="1"/>
  <c r="M30" i="42"/>
  <c r="S30" i="42" s="1"/>
  <c r="M31" i="42"/>
  <c r="S31" i="42" s="1"/>
  <c r="M32" i="42"/>
  <c r="S32" i="42" s="1"/>
  <c r="M33" i="42"/>
  <c r="S33" i="42" s="1"/>
  <c r="M34" i="42"/>
  <c r="S34" i="42" s="1"/>
  <c r="M35" i="42"/>
  <c r="S35" i="42" s="1"/>
  <c r="M36" i="42"/>
  <c r="S36" i="42" s="1"/>
  <c r="M37" i="42"/>
  <c r="S37" i="42" s="1"/>
  <c r="M38" i="42"/>
  <c r="S38" i="42" s="1"/>
  <c r="M39" i="42"/>
  <c r="S39" i="42" s="1"/>
  <c r="M40" i="42"/>
  <c r="S40" i="42" s="1"/>
  <c r="M41" i="42"/>
  <c r="S41" i="42" s="1"/>
  <c r="M42" i="42"/>
  <c r="S42" i="42" s="1"/>
  <c r="M43" i="42"/>
  <c r="S43" i="42" s="1"/>
  <c r="M44" i="42"/>
  <c r="S44" i="42" s="1"/>
  <c r="M45" i="42"/>
  <c r="S45" i="42" s="1"/>
  <c r="M46" i="42"/>
  <c r="S46" i="42" s="1"/>
  <c r="M47" i="42"/>
  <c r="S47" i="42" s="1"/>
  <c r="M48" i="42"/>
  <c r="S48" i="42" s="1"/>
  <c r="M49" i="42"/>
  <c r="S49" i="42" s="1"/>
  <c r="M50" i="42"/>
  <c r="S50" i="42" s="1"/>
  <c r="M51" i="42"/>
  <c r="S51" i="42" s="1"/>
  <c r="M52" i="42"/>
  <c r="S52" i="42" s="1"/>
  <c r="M53" i="42"/>
  <c r="S53" i="42" s="1"/>
  <c r="M54" i="42"/>
  <c r="S54" i="42" s="1"/>
  <c r="M55" i="42"/>
  <c r="S55" i="42" s="1"/>
  <c r="M56" i="42"/>
  <c r="S56" i="42" s="1"/>
  <c r="M57" i="42"/>
  <c r="S57" i="42" s="1"/>
  <c r="M58" i="42"/>
  <c r="S58" i="42" s="1"/>
  <c r="M59" i="42"/>
  <c r="S59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9" i="42"/>
  <c r="S69" i="42" s="1"/>
  <c r="M70" i="42"/>
  <c r="S70" i="42" s="1"/>
  <c r="M71" i="42"/>
  <c r="S71" i="42" s="1"/>
  <c r="M72" i="42"/>
  <c r="S72" i="42" s="1"/>
  <c r="M73" i="42"/>
  <c r="S73" i="42" s="1"/>
  <c r="M74" i="42"/>
  <c r="S74" i="42" s="1"/>
  <c r="M75" i="42"/>
  <c r="S75" i="42" s="1"/>
  <c r="M76" i="42"/>
  <c r="S76" i="42" s="1"/>
  <c r="M77" i="42"/>
  <c r="S77" i="42" s="1"/>
  <c r="M78" i="42"/>
  <c r="S78" i="42" s="1"/>
  <c r="M79" i="42"/>
  <c r="S79" i="42" s="1"/>
  <c r="M80" i="42"/>
  <c r="S80" i="42" s="1"/>
  <c r="M81" i="42"/>
  <c r="S81" i="42" s="1"/>
  <c r="M82" i="42"/>
  <c r="S82" i="42" s="1"/>
  <c r="M83" i="42"/>
  <c r="S83" i="42" s="1"/>
  <c r="M84" i="42"/>
  <c r="S84" i="42" s="1"/>
  <c r="M85" i="42"/>
  <c r="S85" i="42" s="1"/>
  <c r="M86" i="42"/>
  <c r="S86" i="42" s="1"/>
  <c r="M87" i="42"/>
  <c r="S87" i="42" s="1"/>
  <c r="M88" i="42"/>
  <c r="S88" i="42" s="1"/>
  <c r="M89" i="42"/>
  <c r="S89" i="42" s="1"/>
  <c r="M90" i="42"/>
  <c r="S90" i="42" s="1"/>
  <c r="M91" i="42"/>
  <c r="S91" i="42" s="1"/>
  <c r="M92" i="42"/>
  <c r="S92" i="42" s="1"/>
  <c r="M93" i="42"/>
  <c r="S93" i="42" s="1"/>
  <c r="M94" i="42"/>
  <c r="S94" i="42" s="1"/>
  <c r="M95" i="42"/>
  <c r="S95" i="42" s="1"/>
  <c r="M96" i="42"/>
  <c r="S96" i="42" s="1"/>
  <c r="M97" i="42"/>
  <c r="S97" i="42" s="1"/>
  <c r="M98" i="42"/>
  <c r="S98" i="42" s="1"/>
  <c r="M99" i="42"/>
  <c r="S99" i="42" s="1"/>
  <c r="M100" i="42"/>
  <c r="S100" i="42" s="1"/>
  <c r="M101" i="42"/>
  <c r="S101" i="42" s="1"/>
  <c r="M102" i="42"/>
  <c r="S102" i="42" s="1"/>
  <c r="M103" i="42"/>
  <c r="S103" i="42" s="1"/>
  <c r="M104" i="42"/>
  <c r="S104" i="42" s="1"/>
  <c r="M105" i="42"/>
  <c r="S105" i="42" s="1"/>
  <c r="M106" i="42"/>
  <c r="S106" i="42" s="1"/>
  <c r="M107" i="42"/>
  <c r="S107" i="42" s="1"/>
  <c r="M108" i="42"/>
  <c r="S108" i="42" s="1"/>
  <c r="M109" i="42"/>
  <c r="S109" i="42" s="1"/>
  <c r="M110" i="42"/>
  <c r="S110" i="42" s="1"/>
  <c r="M111" i="42"/>
  <c r="S111" i="42" s="1"/>
  <c r="M112" i="42"/>
  <c r="S112" i="42" s="1"/>
  <c r="M113" i="42"/>
  <c r="S113" i="42" s="1"/>
  <c r="M114" i="42"/>
  <c r="S114" i="42" s="1"/>
  <c r="M115" i="42"/>
  <c r="S115" i="42" s="1"/>
  <c r="M116" i="42"/>
  <c r="S116" i="42" s="1"/>
  <c r="M117" i="42"/>
  <c r="S117" i="42" s="1"/>
  <c r="M118" i="42"/>
  <c r="S118" i="42" s="1"/>
  <c r="M119" i="42"/>
  <c r="S119" i="42" s="1"/>
  <c r="M120" i="42"/>
  <c r="S120" i="42" s="1"/>
  <c r="M121" i="42"/>
  <c r="S121" i="42" s="1"/>
  <c r="M122" i="42"/>
  <c r="S122" i="42" s="1"/>
  <c r="M123" i="42"/>
  <c r="S123" i="42" s="1"/>
  <c r="M124" i="42"/>
  <c r="S124" i="42" s="1"/>
  <c r="M125" i="42"/>
  <c r="S125" i="42" s="1"/>
  <c r="M126" i="42"/>
  <c r="S126" i="42" s="1"/>
  <c r="M127" i="42"/>
  <c r="S127" i="42" s="1"/>
  <c r="M128" i="42"/>
  <c r="S128" i="42" s="1"/>
  <c r="M129" i="42"/>
  <c r="S129" i="42" s="1"/>
  <c r="M130" i="42"/>
  <c r="S130" i="42" s="1"/>
  <c r="M131" i="42"/>
  <c r="S131" i="42" s="1"/>
  <c r="M132" i="42"/>
  <c r="S132" i="42" s="1"/>
  <c r="M133" i="42"/>
  <c r="S133" i="42" s="1"/>
  <c r="M134" i="42"/>
  <c r="S134" i="42" s="1"/>
  <c r="M135" i="42"/>
  <c r="S135" i="42" s="1"/>
  <c r="M137" i="42"/>
  <c r="S137" i="42" s="1"/>
  <c r="M138" i="42"/>
  <c r="S138" i="42" s="1"/>
  <c r="M139" i="42"/>
  <c r="S139" i="42" s="1"/>
  <c r="M140" i="42"/>
  <c r="S140" i="42" s="1"/>
  <c r="M141" i="42"/>
  <c r="S141" i="42" s="1"/>
  <c r="M142" i="42"/>
  <c r="S142" i="42" s="1"/>
  <c r="M143" i="42"/>
  <c r="S143" i="42" s="1"/>
  <c r="M144" i="42"/>
  <c r="S144" i="42" s="1"/>
  <c r="M145" i="42"/>
  <c r="S145" i="42" s="1"/>
  <c r="M146" i="42"/>
  <c r="S146" i="42" s="1"/>
  <c r="M147" i="42"/>
  <c r="S147" i="42" s="1"/>
  <c r="M148" i="42"/>
  <c r="S148" i="42" s="1"/>
  <c r="M149" i="42"/>
  <c r="S149" i="42" s="1"/>
  <c r="M150" i="42"/>
  <c r="S150" i="42" s="1"/>
  <c r="M151" i="42"/>
  <c r="S151" i="42" s="1"/>
  <c r="M152" i="42"/>
  <c r="S152" i="42" s="1"/>
  <c r="M153" i="42"/>
  <c r="S153" i="42" s="1"/>
  <c r="M154" i="42"/>
  <c r="S154" i="42" s="1"/>
  <c r="M155" i="42"/>
  <c r="S155" i="42" s="1"/>
  <c r="M156" i="42"/>
  <c r="S156" i="42" s="1"/>
  <c r="M157" i="42"/>
  <c r="S157" i="42" s="1"/>
  <c r="M158" i="42"/>
  <c r="S158" i="42" s="1"/>
  <c r="M159" i="42"/>
  <c r="S159" i="42" s="1"/>
  <c r="M160" i="42"/>
  <c r="S160" i="42" s="1"/>
  <c r="M161" i="42"/>
  <c r="S161" i="42" s="1"/>
  <c r="M162" i="42"/>
  <c r="S162" i="42" s="1"/>
  <c r="M163" i="42"/>
  <c r="S163" i="42" s="1"/>
  <c r="M164" i="42"/>
  <c r="S164" i="42" s="1"/>
  <c r="M165" i="42"/>
  <c r="S165" i="42" s="1"/>
  <c r="M166" i="42"/>
  <c r="S166" i="42" s="1"/>
  <c r="M167" i="42"/>
  <c r="S167" i="42" s="1"/>
  <c r="M168" i="42"/>
  <c r="S168" i="42" s="1"/>
  <c r="M169" i="42"/>
  <c r="S169" i="42" s="1"/>
  <c r="M170" i="42"/>
  <c r="S170" i="42" s="1"/>
  <c r="M172" i="42"/>
  <c r="S172" i="42" s="1"/>
  <c r="M173" i="42"/>
  <c r="S173" i="42" s="1"/>
  <c r="M174" i="42"/>
  <c r="S174" i="42" s="1"/>
  <c r="M175" i="42"/>
  <c r="S175" i="42" s="1"/>
  <c r="M176" i="42"/>
  <c r="S176" i="42" s="1"/>
  <c r="M177" i="42"/>
  <c r="S177" i="42" s="1"/>
  <c r="M178" i="42"/>
  <c r="S178" i="42" s="1"/>
  <c r="M179" i="42"/>
  <c r="S179" i="42" s="1"/>
  <c r="M180" i="42"/>
  <c r="S180" i="42" s="1"/>
  <c r="M181" i="42"/>
  <c r="S181" i="42" s="1"/>
  <c r="M182" i="42"/>
  <c r="S182" i="42" s="1"/>
  <c r="M183" i="42"/>
  <c r="S183" i="42" s="1"/>
  <c r="M184" i="42"/>
  <c r="S184" i="42" s="1"/>
  <c r="M185" i="42"/>
  <c r="S185" i="42" s="1"/>
  <c r="M186" i="42"/>
  <c r="S186" i="42" s="1"/>
  <c r="M187" i="42"/>
  <c r="S187" i="42" s="1"/>
  <c r="M188" i="42"/>
  <c r="S188" i="42" s="1"/>
  <c r="M189" i="42"/>
  <c r="S189" i="42" s="1"/>
  <c r="M190" i="42"/>
  <c r="S190" i="42" s="1"/>
  <c r="M191" i="42"/>
  <c r="S191" i="42" s="1"/>
  <c r="M192" i="42"/>
  <c r="S192" i="42" s="1"/>
  <c r="M193" i="42"/>
  <c r="S193" i="42" s="1"/>
  <c r="M194" i="42"/>
  <c r="S194" i="42" s="1"/>
  <c r="M195" i="42"/>
  <c r="S195" i="42" s="1"/>
  <c r="M196" i="42"/>
  <c r="S196" i="42" s="1"/>
  <c r="M197" i="42"/>
  <c r="S197" i="42" s="1"/>
  <c r="M198" i="42"/>
  <c r="S198" i="42" s="1"/>
  <c r="M199" i="42"/>
  <c r="S199" i="42" s="1"/>
  <c r="M200" i="42"/>
  <c r="S200" i="42" s="1"/>
  <c r="M201" i="42"/>
  <c r="S201" i="42" s="1"/>
  <c r="M202" i="42"/>
  <c r="S202" i="42" s="1"/>
  <c r="M203" i="42"/>
  <c r="S203" i="42" s="1"/>
  <c r="M204" i="42"/>
  <c r="S204" i="42" s="1"/>
  <c r="M205" i="42"/>
  <c r="S205" i="42" s="1"/>
  <c r="M206" i="42"/>
  <c r="S206" i="42" s="1"/>
  <c r="M207" i="42"/>
  <c r="S207" i="42" s="1"/>
  <c r="M208" i="42"/>
  <c r="S208" i="42" s="1"/>
  <c r="M209" i="42"/>
  <c r="S209" i="42" s="1"/>
  <c r="M210" i="42"/>
  <c r="S210" i="42" s="1"/>
  <c r="M211" i="42"/>
  <c r="S211" i="42" s="1"/>
  <c r="M212" i="42"/>
  <c r="S212" i="42" s="1"/>
  <c r="M213" i="42"/>
  <c r="S213" i="42" s="1"/>
  <c r="M214" i="42"/>
  <c r="S214" i="42" s="1"/>
  <c r="M215" i="42"/>
  <c r="S215" i="42" s="1"/>
  <c r="M216" i="42"/>
  <c r="S216" i="42" s="1"/>
  <c r="M217" i="42"/>
  <c r="S217" i="42" s="1"/>
  <c r="M218" i="42"/>
  <c r="S218" i="42" s="1"/>
  <c r="M219" i="42"/>
  <c r="S219" i="42" s="1"/>
  <c r="M221" i="42"/>
  <c r="S221" i="42" s="1"/>
  <c r="M222" i="42"/>
  <c r="S222" i="42" s="1"/>
  <c r="M223" i="42"/>
  <c r="S223" i="42" s="1"/>
  <c r="M224" i="42"/>
  <c r="S224" i="42" s="1"/>
  <c r="M225" i="42"/>
  <c r="S225" i="42" s="1"/>
  <c r="M226" i="42"/>
  <c r="S226" i="42" s="1"/>
  <c r="M227" i="42"/>
  <c r="S227" i="42" s="1"/>
  <c r="M228" i="42"/>
  <c r="S228" i="42" s="1"/>
  <c r="M229" i="42"/>
  <c r="S229" i="42" s="1"/>
  <c r="M230" i="42"/>
  <c r="S230" i="42" s="1"/>
  <c r="M231" i="42"/>
  <c r="S231" i="42" s="1"/>
  <c r="M232" i="42"/>
  <c r="S232" i="42" s="1"/>
  <c r="M233" i="42"/>
  <c r="S233" i="42" s="1"/>
  <c r="M234" i="42"/>
  <c r="S234" i="42" s="1"/>
  <c r="M235" i="42"/>
  <c r="S235" i="42" s="1"/>
  <c r="M236" i="42"/>
  <c r="S236" i="42" s="1"/>
  <c r="M237" i="42"/>
  <c r="S237" i="42" s="1"/>
  <c r="M238" i="42"/>
  <c r="S238" i="42" s="1"/>
  <c r="S239" i="42"/>
  <c r="M240" i="42"/>
  <c r="S240" i="42" s="1"/>
  <c r="M241" i="42"/>
  <c r="S241" i="42" s="1"/>
  <c r="M242" i="42"/>
  <c r="S242" i="42" s="1"/>
  <c r="M243" i="42"/>
  <c r="S243" i="42" s="1"/>
  <c r="M244" i="42"/>
  <c r="S244" i="42" s="1"/>
  <c r="M247" i="42"/>
  <c r="S247" i="42" s="1"/>
  <c r="M248" i="42"/>
  <c r="S248" i="42" s="1"/>
  <c r="M249" i="42"/>
  <c r="S249" i="42" s="1"/>
  <c r="M250" i="42"/>
  <c r="S250" i="42" s="1"/>
  <c r="M251" i="42"/>
  <c r="S251" i="42" s="1"/>
  <c r="M252" i="42"/>
  <c r="S252" i="42" s="1"/>
  <c r="M253" i="42"/>
  <c r="S253" i="42" s="1"/>
  <c r="M254" i="42"/>
  <c r="S254" i="42" s="1"/>
  <c r="M255" i="42"/>
  <c r="S255" i="42" s="1"/>
  <c r="M256" i="42"/>
  <c r="S256" i="42" s="1"/>
  <c r="M257" i="42"/>
  <c r="S257" i="42" s="1"/>
  <c r="M258" i="42"/>
  <c r="S258" i="42" s="1"/>
  <c r="M259" i="42"/>
  <c r="S259" i="42" s="1"/>
  <c r="M260" i="42"/>
  <c r="S260" i="42" s="1"/>
  <c r="M261" i="42"/>
  <c r="S261" i="42" s="1"/>
  <c r="M263" i="42"/>
  <c r="S263" i="42" s="1"/>
  <c r="M264" i="42"/>
  <c r="S264" i="42" s="1"/>
  <c r="M265" i="42"/>
  <c r="S265" i="42" s="1"/>
  <c r="M266" i="42"/>
  <c r="S266" i="42" s="1"/>
  <c r="M267" i="42"/>
  <c r="S267" i="42" s="1"/>
  <c r="M268" i="42"/>
  <c r="S268" i="42" s="1"/>
  <c r="M269" i="42"/>
  <c r="S269" i="42" s="1"/>
  <c r="M270" i="42"/>
  <c r="S270" i="42" s="1"/>
  <c r="M271" i="42"/>
  <c r="S271" i="42" s="1"/>
  <c r="M272" i="42"/>
  <c r="S272" i="42" s="1"/>
  <c r="M273" i="42"/>
  <c r="S273" i="42" s="1"/>
  <c r="M275" i="42"/>
  <c r="S275" i="42" s="1"/>
  <c r="M276" i="42"/>
  <c r="S276" i="42" s="1"/>
  <c r="M277" i="42"/>
  <c r="S277" i="42" s="1"/>
  <c r="M278" i="42"/>
  <c r="S278" i="42" s="1"/>
  <c r="M279" i="42"/>
  <c r="S279" i="42" s="1"/>
  <c r="M280" i="42"/>
  <c r="S280" i="42" s="1"/>
  <c r="M281" i="42"/>
  <c r="S281" i="42" s="1"/>
  <c r="M282" i="42"/>
  <c r="S282" i="42" s="1"/>
  <c r="M283" i="42"/>
  <c r="S283" i="42" s="1"/>
  <c r="M284" i="42"/>
  <c r="S284" i="42" s="1"/>
  <c r="M285" i="42"/>
  <c r="S285" i="42" s="1"/>
  <c r="M286" i="42"/>
  <c r="S286" i="42" s="1"/>
  <c r="M287" i="42"/>
  <c r="S287" i="42" s="1"/>
  <c r="M288" i="42"/>
  <c r="S288" i="42" s="1"/>
  <c r="M289" i="42"/>
  <c r="S289" i="42" s="1"/>
  <c r="M290" i="42"/>
  <c r="S290" i="42" s="1"/>
  <c r="M291" i="42"/>
  <c r="S291" i="42" s="1"/>
  <c r="M292" i="42"/>
  <c r="S292" i="42" s="1"/>
  <c r="M293" i="42"/>
  <c r="S293" i="42" s="1"/>
  <c r="M294" i="42"/>
  <c r="S294" i="42" s="1"/>
  <c r="M295" i="42"/>
  <c r="S295" i="42" s="1"/>
  <c r="M296" i="42"/>
  <c r="S296" i="42" s="1"/>
  <c r="M297" i="42"/>
  <c r="S297" i="42" s="1"/>
  <c r="M298" i="42"/>
  <c r="S298" i="42" s="1"/>
  <c r="M299" i="42"/>
  <c r="S299" i="42" s="1"/>
  <c r="M300" i="42"/>
  <c r="S300" i="42" s="1"/>
  <c r="M301" i="42"/>
  <c r="S301" i="42" s="1"/>
  <c r="M302" i="42"/>
  <c r="S302" i="42" s="1"/>
  <c r="M303" i="42"/>
  <c r="S303" i="42" s="1"/>
  <c r="M304" i="42"/>
  <c r="S304" i="42" s="1"/>
  <c r="M305" i="42"/>
  <c r="S305" i="42" s="1"/>
  <c r="M306" i="42"/>
  <c r="S306" i="42" s="1"/>
  <c r="M307" i="42"/>
  <c r="S307" i="42" s="1"/>
  <c r="M308" i="42"/>
  <c r="S308" i="42" s="1"/>
  <c r="M309" i="42"/>
  <c r="S309" i="42" s="1"/>
  <c r="M310" i="42"/>
  <c r="S310" i="42" s="1"/>
  <c r="M311" i="42"/>
  <c r="S311" i="42" s="1"/>
  <c r="M312" i="42"/>
  <c r="S312" i="42" s="1"/>
  <c r="M313" i="42"/>
  <c r="S313" i="42" s="1"/>
  <c r="M314" i="42"/>
  <c r="S314" i="42" s="1"/>
  <c r="M315" i="42"/>
  <c r="S315" i="42" s="1"/>
  <c r="M136" i="42" l="1"/>
  <c r="S136" i="42" s="1"/>
  <c r="B6" i="48" l="1"/>
  <c r="D67" i="40" l="1"/>
  <c r="D68" i="40" s="1"/>
  <c r="F66" i="40" s="1"/>
  <c r="F67" i="40" s="1"/>
  <c r="F68" i="40" s="1"/>
  <c r="B29" i="40" l="1"/>
  <c r="M7" i="42" l="1"/>
  <c r="S7" i="42" s="1"/>
  <c r="M262" i="42" l="1"/>
  <c r="S262" i="42" s="1"/>
  <c r="M68" i="42" l="1"/>
  <c r="S68" i="42" s="1"/>
  <c r="M274" i="42" l="1"/>
  <c r="S274" i="42" s="1"/>
  <c r="I5" i="13" l="1"/>
  <c r="Q7" i="19" l="1"/>
  <c r="AA6" i="19"/>
  <c r="S6" i="19"/>
  <c r="T6" i="42"/>
  <c r="B61" i="40" l="1"/>
  <c r="K14" i="49" l="1"/>
  <c r="K112" i="49"/>
  <c r="K114" i="49"/>
  <c r="K117" i="49"/>
  <c r="K119" i="49"/>
  <c r="K120" i="49"/>
  <c r="K121" i="49"/>
  <c r="K122" i="49"/>
  <c r="K124" i="49"/>
  <c r="K126" i="49"/>
  <c r="K127" i="49"/>
  <c r="K128" i="49"/>
  <c r="K129" i="49"/>
  <c r="K130" i="49"/>
  <c r="K131" i="49"/>
  <c r="K134" i="49"/>
  <c r="K135" i="49"/>
  <c r="K137" i="49"/>
  <c r="K144" i="49"/>
  <c r="K149" i="49"/>
  <c r="K150" i="49"/>
  <c r="K151" i="49"/>
  <c r="K154" i="49"/>
  <c r="K155" i="49"/>
  <c r="K156" i="49"/>
  <c r="K158" i="49"/>
  <c r="K191" i="49"/>
  <c r="K202" i="49"/>
  <c r="K203" i="49"/>
  <c r="K224" i="49"/>
  <c r="K225" i="49"/>
  <c r="K275" i="49"/>
  <c r="K276" i="49"/>
  <c r="K277" i="49"/>
  <c r="K278" i="49"/>
  <c r="K279" i="49"/>
  <c r="K280" i="49"/>
  <c r="K281" i="49"/>
  <c r="K282" i="49"/>
  <c r="K283" i="49"/>
  <c r="K284" i="49"/>
  <c r="K296" i="49"/>
  <c r="K305" i="49"/>
  <c r="K313" i="49"/>
  <c r="K7" i="49"/>
  <c r="K6" i="49"/>
  <c r="I5" i="49"/>
  <c r="A2" i="49"/>
  <c r="C315" i="49"/>
  <c r="A7" i="49"/>
  <c r="B7" i="49"/>
  <c r="A8" i="49"/>
  <c r="B8" i="49"/>
  <c r="A9" i="49"/>
  <c r="B9" i="49"/>
  <c r="A10" i="49"/>
  <c r="B10" i="49"/>
  <c r="A11" i="49"/>
  <c r="B11" i="49"/>
  <c r="A12" i="49"/>
  <c r="B12" i="49"/>
  <c r="A13" i="49"/>
  <c r="B13" i="49"/>
  <c r="A14" i="49"/>
  <c r="B14" i="49"/>
  <c r="A15" i="49"/>
  <c r="B15" i="49"/>
  <c r="A16" i="49"/>
  <c r="B16" i="49"/>
  <c r="A17" i="49"/>
  <c r="B17" i="49"/>
  <c r="A18" i="49"/>
  <c r="B18" i="49"/>
  <c r="A19" i="49"/>
  <c r="B19" i="49"/>
  <c r="A20" i="49"/>
  <c r="B20" i="49"/>
  <c r="A21" i="49"/>
  <c r="B21" i="49"/>
  <c r="A22" i="49"/>
  <c r="B22" i="49"/>
  <c r="A23" i="49"/>
  <c r="B23" i="49"/>
  <c r="A24" i="49"/>
  <c r="B24" i="49"/>
  <c r="A25" i="49"/>
  <c r="B25" i="49"/>
  <c r="A26" i="49"/>
  <c r="B26" i="49"/>
  <c r="A27" i="49"/>
  <c r="B27" i="49"/>
  <c r="A28" i="49"/>
  <c r="B28" i="49"/>
  <c r="A29" i="49"/>
  <c r="B29" i="49"/>
  <c r="A30" i="49"/>
  <c r="B30" i="49"/>
  <c r="A31" i="49"/>
  <c r="B31" i="49"/>
  <c r="A32" i="49"/>
  <c r="B32" i="49"/>
  <c r="A33" i="49"/>
  <c r="B33" i="49"/>
  <c r="A34" i="49"/>
  <c r="B34" i="49"/>
  <c r="A35" i="49"/>
  <c r="B35" i="49"/>
  <c r="A36" i="49"/>
  <c r="B36" i="49"/>
  <c r="A37" i="49"/>
  <c r="B37" i="49"/>
  <c r="A38" i="49"/>
  <c r="B38" i="49"/>
  <c r="A39" i="49"/>
  <c r="B39" i="49"/>
  <c r="A40" i="49"/>
  <c r="B40" i="49"/>
  <c r="A41" i="49"/>
  <c r="B41" i="49"/>
  <c r="A42" i="49"/>
  <c r="B42" i="49"/>
  <c r="A43" i="49"/>
  <c r="B43" i="49"/>
  <c r="A44" i="49"/>
  <c r="B44" i="49"/>
  <c r="A45" i="49"/>
  <c r="B45" i="49"/>
  <c r="A46" i="49"/>
  <c r="B46" i="49"/>
  <c r="A47" i="49"/>
  <c r="B47" i="49"/>
  <c r="A48" i="49"/>
  <c r="B48" i="49"/>
  <c r="A49" i="49"/>
  <c r="B49" i="49"/>
  <c r="A50" i="49"/>
  <c r="B50" i="49"/>
  <c r="A51" i="49"/>
  <c r="B51" i="49"/>
  <c r="A52" i="49"/>
  <c r="B52" i="49"/>
  <c r="A53" i="49"/>
  <c r="B53" i="49"/>
  <c r="A54" i="49"/>
  <c r="B54" i="49"/>
  <c r="A55" i="49"/>
  <c r="B55" i="49"/>
  <c r="A56" i="49"/>
  <c r="B56" i="49"/>
  <c r="A57" i="49"/>
  <c r="B57" i="49"/>
  <c r="A58" i="49"/>
  <c r="B58" i="49"/>
  <c r="A59" i="49"/>
  <c r="B59" i="49"/>
  <c r="A60" i="49"/>
  <c r="B60" i="49"/>
  <c r="A61" i="49"/>
  <c r="B61" i="49"/>
  <c r="A62" i="49"/>
  <c r="B62" i="49"/>
  <c r="A63" i="49"/>
  <c r="B63" i="49"/>
  <c r="A64" i="49"/>
  <c r="B64" i="49"/>
  <c r="A65" i="49"/>
  <c r="B65" i="49"/>
  <c r="A66" i="49"/>
  <c r="B66" i="49"/>
  <c r="A67" i="49"/>
  <c r="B67" i="49"/>
  <c r="A68" i="49"/>
  <c r="B68" i="49"/>
  <c r="A69" i="49"/>
  <c r="B69" i="49"/>
  <c r="A70" i="49"/>
  <c r="B70" i="49"/>
  <c r="A71" i="49"/>
  <c r="B71" i="49"/>
  <c r="A72" i="49"/>
  <c r="B72" i="49"/>
  <c r="A73" i="49"/>
  <c r="B73" i="49"/>
  <c r="A74" i="49"/>
  <c r="B74" i="49"/>
  <c r="A75" i="49"/>
  <c r="B75" i="49"/>
  <c r="A76" i="49"/>
  <c r="B76" i="49"/>
  <c r="A77" i="49"/>
  <c r="B77" i="49"/>
  <c r="A78" i="49"/>
  <c r="B78" i="49"/>
  <c r="A79" i="49"/>
  <c r="B79" i="49"/>
  <c r="A80" i="49"/>
  <c r="B80" i="49"/>
  <c r="A81" i="49"/>
  <c r="B81" i="49"/>
  <c r="A82" i="49"/>
  <c r="B82" i="49"/>
  <c r="A83" i="49"/>
  <c r="B83" i="49"/>
  <c r="A84" i="49"/>
  <c r="B84" i="49"/>
  <c r="A85" i="49"/>
  <c r="B85" i="49"/>
  <c r="A86" i="49"/>
  <c r="B86" i="49"/>
  <c r="A87" i="49"/>
  <c r="B87" i="49"/>
  <c r="A88" i="49"/>
  <c r="B88" i="49"/>
  <c r="A89" i="49"/>
  <c r="B89" i="49"/>
  <c r="A90" i="49"/>
  <c r="B90" i="49"/>
  <c r="A91" i="49"/>
  <c r="B91" i="49"/>
  <c r="A92" i="49"/>
  <c r="B92" i="49"/>
  <c r="A93" i="49"/>
  <c r="B93" i="49"/>
  <c r="A94" i="49"/>
  <c r="B94" i="49"/>
  <c r="A95" i="49"/>
  <c r="B95" i="49"/>
  <c r="A96" i="49"/>
  <c r="B96" i="49"/>
  <c r="A97" i="49"/>
  <c r="B97" i="49"/>
  <c r="A98" i="49"/>
  <c r="B98" i="49"/>
  <c r="A99" i="49"/>
  <c r="B99" i="49"/>
  <c r="A100" i="49"/>
  <c r="B100" i="49"/>
  <c r="A101" i="49"/>
  <c r="B101" i="49"/>
  <c r="A102" i="49"/>
  <c r="B102" i="49"/>
  <c r="A103" i="49"/>
  <c r="B103" i="49"/>
  <c r="A104" i="49"/>
  <c r="B104" i="49"/>
  <c r="A105" i="49"/>
  <c r="B105" i="49"/>
  <c r="A106" i="49"/>
  <c r="B106" i="49"/>
  <c r="A107" i="49"/>
  <c r="B107" i="49"/>
  <c r="A108" i="49"/>
  <c r="B108" i="49"/>
  <c r="A109" i="49"/>
  <c r="B109" i="49"/>
  <c r="A110" i="49"/>
  <c r="B110" i="49"/>
  <c r="A111" i="49"/>
  <c r="B111" i="49"/>
  <c r="A112" i="49"/>
  <c r="B112" i="49"/>
  <c r="A113" i="49"/>
  <c r="B113" i="49"/>
  <c r="A114" i="49"/>
  <c r="B114" i="49"/>
  <c r="A115" i="49"/>
  <c r="B115" i="49"/>
  <c r="A116" i="49"/>
  <c r="B116" i="49"/>
  <c r="A117" i="49"/>
  <c r="B117" i="49"/>
  <c r="A118" i="49"/>
  <c r="B118" i="49"/>
  <c r="A119" i="49"/>
  <c r="B119" i="49"/>
  <c r="A120" i="49"/>
  <c r="B120" i="49"/>
  <c r="A121" i="49"/>
  <c r="B121" i="49"/>
  <c r="A122" i="49"/>
  <c r="B122" i="49"/>
  <c r="A123" i="49"/>
  <c r="B123" i="49"/>
  <c r="A124" i="49"/>
  <c r="B124" i="49"/>
  <c r="A125" i="49"/>
  <c r="B125" i="49"/>
  <c r="A126" i="49"/>
  <c r="B126" i="49"/>
  <c r="A127" i="49"/>
  <c r="B127" i="49"/>
  <c r="A128" i="49"/>
  <c r="B128" i="49"/>
  <c r="A129" i="49"/>
  <c r="B129" i="49"/>
  <c r="A130" i="49"/>
  <c r="B130" i="49"/>
  <c r="A131" i="49"/>
  <c r="B131" i="49"/>
  <c r="A132" i="49"/>
  <c r="B132" i="49"/>
  <c r="A133" i="49"/>
  <c r="B133" i="49"/>
  <c r="A134" i="49"/>
  <c r="B134" i="49"/>
  <c r="A135" i="49"/>
  <c r="B135" i="49"/>
  <c r="A136" i="49"/>
  <c r="B136" i="49"/>
  <c r="A137" i="49"/>
  <c r="B137" i="49"/>
  <c r="A138" i="49"/>
  <c r="B138" i="49"/>
  <c r="A139" i="49"/>
  <c r="B139" i="49"/>
  <c r="A140" i="49"/>
  <c r="B140" i="49"/>
  <c r="A141" i="49"/>
  <c r="B141" i="49"/>
  <c r="A142" i="49"/>
  <c r="B142" i="49"/>
  <c r="A143" i="49"/>
  <c r="B143" i="49"/>
  <c r="A144" i="49"/>
  <c r="B144" i="49"/>
  <c r="A145" i="49"/>
  <c r="B145" i="49"/>
  <c r="A146" i="49"/>
  <c r="B146" i="49"/>
  <c r="A147" i="49"/>
  <c r="B147" i="49"/>
  <c r="A148" i="49"/>
  <c r="B148" i="49"/>
  <c r="A149" i="49"/>
  <c r="B149" i="49"/>
  <c r="A150" i="49"/>
  <c r="B150" i="49"/>
  <c r="A151" i="49"/>
  <c r="B151" i="49"/>
  <c r="A152" i="49"/>
  <c r="B152" i="49"/>
  <c r="A153" i="49"/>
  <c r="B153" i="49"/>
  <c r="A154" i="49"/>
  <c r="B154" i="49"/>
  <c r="A155" i="49"/>
  <c r="B155" i="49"/>
  <c r="A156" i="49"/>
  <c r="B156" i="49"/>
  <c r="A157" i="49"/>
  <c r="B157" i="49"/>
  <c r="A158" i="49"/>
  <c r="B158" i="49"/>
  <c r="A159" i="49"/>
  <c r="B159" i="49"/>
  <c r="A160" i="49"/>
  <c r="B160" i="49"/>
  <c r="A161" i="49"/>
  <c r="B161" i="49"/>
  <c r="A162" i="49"/>
  <c r="B162" i="49"/>
  <c r="A163" i="49"/>
  <c r="B163" i="49"/>
  <c r="A164" i="49"/>
  <c r="B164" i="49"/>
  <c r="A165" i="49"/>
  <c r="B165" i="49"/>
  <c r="A166" i="49"/>
  <c r="B166" i="49"/>
  <c r="A167" i="49"/>
  <c r="B167" i="49"/>
  <c r="A168" i="49"/>
  <c r="B168" i="49"/>
  <c r="A169" i="49"/>
  <c r="B169" i="49"/>
  <c r="A171" i="49"/>
  <c r="B171" i="49"/>
  <c r="A172" i="49"/>
  <c r="B172" i="49"/>
  <c r="A173" i="49"/>
  <c r="B173" i="49"/>
  <c r="A174" i="49"/>
  <c r="B174" i="49"/>
  <c r="A175" i="49"/>
  <c r="B175" i="49"/>
  <c r="A176" i="49"/>
  <c r="B176" i="49"/>
  <c r="A177" i="49"/>
  <c r="B177" i="49"/>
  <c r="A178" i="49"/>
  <c r="B178" i="49"/>
  <c r="A179" i="49"/>
  <c r="B179" i="49"/>
  <c r="A180" i="49"/>
  <c r="B180" i="49"/>
  <c r="A181" i="49"/>
  <c r="B181" i="49"/>
  <c r="A182" i="49"/>
  <c r="B182" i="49"/>
  <c r="A183" i="49"/>
  <c r="B183" i="49"/>
  <c r="A184" i="49"/>
  <c r="B184" i="49"/>
  <c r="A185" i="49"/>
  <c r="B185" i="49"/>
  <c r="A186" i="49"/>
  <c r="B186" i="49"/>
  <c r="A187" i="49"/>
  <c r="B187" i="49"/>
  <c r="A188" i="49"/>
  <c r="B188" i="49"/>
  <c r="A189" i="49"/>
  <c r="B189" i="49"/>
  <c r="A190" i="49"/>
  <c r="B190" i="49"/>
  <c r="A191" i="49"/>
  <c r="B191" i="49"/>
  <c r="A192" i="49"/>
  <c r="B192" i="49"/>
  <c r="A193" i="49"/>
  <c r="B193" i="49"/>
  <c r="A194" i="49"/>
  <c r="B194" i="49"/>
  <c r="A195" i="49"/>
  <c r="B195" i="49"/>
  <c r="A196" i="49"/>
  <c r="B196" i="49"/>
  <c r="A197" i="49"/>
  <c r="B197" i="49"/>
  <c r="A198" i="49"/>
  <c r="B198" i="49"/>
  <c r="A199" i="49"/>
  <c r="B199" i="49"/>
  <c r="A200" i="49"/>
  <c r="B200" i="49"/>
  <c r="A201" i="49"/>
  <c r="B201" i="49"/>
  <c r="A202" i="49"/>
  <c r="B202" i="49"/>
  <c r="A203" i="49"/>
  <c r="B203" i="49"/>
  <c r="A204" i="49"/>
  <c r="B204" i="49"/>
  <c r="A205" i="49"/>
  <c r="B205" i="49"/>
  <c r="A206" i="49"/>
  <c r="B206" i="49"/>
  <c r="A207" i="49"/>
  <c r="B207" i="49"/>
  <c r="A208" i="49"/>
  <c r="B208" i="49"/>
  <c r="A209" i="49"/>
  <c r="B209" i="49"/>
  <c r="A210" i="49"/>
  <c r="B210" i="49"/>
  <c r="A211" i="49"/>
  <c r="B211" i="49"/>
  <c r="A212" i="49"/>
  <c r="B212" i="49"/>
  <c r="A213" i="49"/>
  <c r="B213" i="49"/>
  <c r="A214" i="49"/>
  <c r="B214" i="49"/>
  <c r="A215" i="49"/>
  <c r="B215" i="49"/>
  <c r="A216" i="49"/>
  <c r="B216" i="49"/>
  <c r="A217" i="49"/>
  <c r="B217" i="49"/>
  <c r="A218" i="49"/>
  <c r="B218" i="49"/>
  <c r="A220" i="49"/>
  <c r="B220" i="49"/>
  <c r="A221" i="49"/>
  <c r="B221" i="49"/>
  <c r="A222" i="49"/>
  <c r="B222" i="49"/>
  <c r="A223" i="49"/>
  <c r="B223" i="49"/>
  <c r="A224" i="49"/>
  <c r="B224" i="49"/>
  <c r="A225" i="49"/>
  <c r="B225" i="49"/>
  <c r="A226" i="49"/>
  <c r="B226" i="49"/>
  <c r="A227" i="49"/>
  <c r="B227" i="49"/>
  <c r="A228" i="49"/>
  <c r="B228" i="49"/>
  <c r="A229" i="49"/>
  <c r="B229" i="49"/>
  <c r="A230" i="49"/>
  <c r="B230" i="49"/>
  <c r="A231" i="49"/>
  <c r="B231" i="49"/>
  <c r="A232" i="49"/>
  <c r="B232" i="49"/>
  <c r="A233" i="49"/>
  <c r="B233" i="49"/>
  <c r="A234" i="49"/>
  <c r="B234" i="49"/>
  <c r="A235" i="49"/>
  <c r="B235" i="49"/>
  <c r="A236" i="49"/>
  <c r="B236" i="49"/>
  <c r="A237" i="49"/>
  <c r="B237" i="49"/>
  <c r="A238" i="49"/>
  <c r="B238" i="49"/>
  <c r="A239" i="49"/>
  <c r="B239" i="49"/>
  <c r="A240" i="49"/>
  <c r="B240" i="49"/>
  <c r="A241" i="49"/>
  <c r="B241" i="49"/>
  <c r="A242" i="49"/>
  <c r="B242" i="49"/>
  <c r="B243" i="49"/>
  <c r="B245" i="49"/>
  <c r="B246" i="49"/>
  <c r="B247" i="49"/>
  <c r="A248" i="49"/>
  <c r="B248" i="49"/>
  <c r="A249" i="49"/>
  <c r="B249" i="49"/>
  <c r="A250" i="49"/>
  <c r="B250" i="49"/>
  <c r="A251" i="49"/>
  <c r="B251" i="49"/>
  <c r="A252" i="49"/>
  <c r="B252" i="49"/>
  <c r="A253" i="49"/>
  <c r="B253" i="49"/>
  <c r="A254" i="49"/>
  <c r="B254" i="49"/>
  <c r="A255" i="49"/>
  <c r="B255" i="49"/>
  <c r="A256" i="49"/>
  <c r="B256" i="49"/>
  <c r="A257" i="49"/>
  <c r="B257" i="49"/>
  <c r="A258" i="49"/>
  <c r="B258" i="49"/>
  <c r="A259" i="49"/>
  <c r="B259" i="49"/>
  <c r="A260" i="49"/>
  <c r="B260" i="49"/>
  <c r="A261" i="49"/>
  <c r="B261" i="49"/>
  <c r="A262" i="49"/>
  <c r="B262" i="49"/>
  <c r="A263" i="49"/>
  <c r="B263" i="49"/>
  <c r="A264" i="49"/>
  <c r="B264" i="49"/>
  <c r="A265" i="49"/>
  <c r="B265" i="49"/>
  <c r="A266" i="49"/>
  <c r="B266" i="49"/>
  <c r="A267" i="49"/>
  <c r="B267" i="49"/>
  <c r="A268" i="49"/>
  <c r="B268" i="49"/>
  <c r="A269" i="49"/>
  <c r="B269" i="49"/>
  <c r="A270" i="49"/>
  <c r="B270" i="49"/>
  <c r="A271" i="49"/>
  <c r="B271" i="49"/>
  <c r="A272" i="49"/>
  <c r="B272" i="49"/>
  <c r="A273" i="49"/>
  <c r="B273" i="49"/>
  <c r="A274" i="49"/>
  <c r="B274" i="49"/>
  <c r="A275" i="49"/>
  <c r="B275" i="49"/>
  <c r="A276" i="49"/>
  <c r="B276" i="49"/>
  <c r="A277" i="49"/>
  <c r="B277" i="49"/>
  <c r="A278" i="49"/>
  <c r="B278" i="49"/>
  <c r="A279" i="49"/>
  <c r="B279" i="49"/>
  <c r="A280" i="49"/>
  <c r="B280" i="49"/>
  <c r="A281" i="49"/>
  <c r="B281" i="49"/>
  <c r="A282" i="49"/>
  <c r="B282" i="49"/>
  <c r="A283" i="49"/>
  <c r="B283" i="49"/>
  <c r="A284" i="49"/>
  <c r="B284" i="49"/>
  <c r="A285" i="49"/>
  <c r="B285" i="49"/>
  <c r="A286" i="49"/>
  <c r="B286" i="49"/>
  <c r="A287" i="49"/>
  <c r="B287" i="49"/>
  <c r="A288" i="49"/>
  <c r="B288" i="49"/>
  <c r="A289" i="49"/>
  <c r="B289" i="49"/>
  <c r="A290" i="49"/>
  <c r="B290" i="49"/>
  <c r="A291" i="49"/>
  <c r="B291" i="49"/>
  <c r="A292" i="49"/>
  <c r="B292" i="49"/>
  <c r="A293" i="49"/>
  <c r="B293" i="49"/>
  <c r="A294" i="49"/>
  <c r="B294" i="49"/>
  <c r="A295" i="49"/>
  <c r="B295" i="49"/>
  <c r="A296" i="49"/>
  <c r="B296" i="49"/>
  <c r="A297" i="49"/>
  <c r="B297" i="49"/>
  <c r="A298" i="49"/>
  <c r="B298" i="49"/>
  <c r="A299" i="49"/>
  <c r="B299" i="49"/>
  <c r="A300" i="49"/>
  <c r="B300" i="49"/>
  <c r="A301" i="49"/>
  <c r="B301" i="49"/>
  <c r="A302" i="49"/>
  <c r="B302" i="49"/>
  <c r="A303" i="49"/>
  <c r="B303" i="49"/>
  <c r="A304" i="49"/>
  <c r="B304" i="49"/>
  <c r="A305" i="49"/>
  <c r="B305" i="49"/>
  <c r="A306" i="49"/>
  <c r="B306" i="49"/>
  <c r="A307" i="49"/>
  <c r="B307" i="49"/>
  <c r="A308" i="49"/>
  <c r="B308" i="49"/>
  <c r="A309" i="49"/>
  <c r="B309" i="49"/>
  <c r="A310" i="49"/>
  <c r="B310" i="49"/>
  <c r="A311" i="49"/>
  <c r="B311" i="49"/>
  <c r="A312" i="49"/>
  <c r="B312" i="49"/>
  <c r="A313" i="49"/>
  <c r="B313" i="49"/>
  <c r="A314" i="49"/>
  <c r="B314" i="49"/>
  <c r="B6" i="49"/>
  <c r="A6" i="49"/>
  <c r="I170" i="49" l="1"/>
  <c r="I244" i="49"/>
  <c r="I219" i="49"/>
  <c r="B315" i="49"/>
  <c r="B7" i="48"/>
  <c r="F9" i="48" l="1"/>
  <c r="F10" i="48"/>
  <c r="B9" i="48"/>
  <c r="B8" i="48"/>
  <c r="F8" i="48"/>
  <c r="C8" i="34"/>
  <c r="U6" i="19" l="1"/>
  <c r="C29" i="40" l="1"/>
  <c r="A2" i="25"/>
  <c r="J5" i="13"/>
  <c r="A7" i="13"/>
  <c r="B7" i="13"/>
  <c r="A8" i="13"/>
  <c r="B8" i="13"/>
  <c r="A9" i="13"/>
  <c r="B9" i="13"/>
  <c r="A10" i="13"/>
  <c r="B10" i="13"/>
  <c r="A11" i="13"/>
  <c r="B11" i="13"/>
  <c r="A12" i="13"/>
  <c r="B12" i="13"/>
  <c r="A13" i="13"/>
  <c r="B13" i="13"/>
  <c r="A14" i="13"/>
  <c r="B1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B6" i="13"/>
  <c r="A6" i="13"/>
  <c r="A6" i="39"/>
  <c r="B6" i="39"/>
  <c r="A7" i="39"/>
  <c r="B7" i="39"/>
  <c r="A8" i="39"/>
  <c r="B8" i="39"/>
  <c r="A9" i="39"/>
  <c r="B9" i="39"/>
  <c r="A10" i="39"/>
  <c r="B10" i="39"/>
  <c r="A11" i="39"/>
  <c r="B11" i="39"/>
  <c r="A12" i="39"/>
  <c r="B12" i="39"/>
  <c r="A13" i="39"/>
  <c r="B13" i="39"/>
  <c r="A14" i="39"/>
  <c r="B14" i="39"/>
  <c r="A15" i="39"/>
  <c r="B15" i="39"/>
  <c r="A16" i="39"/>
  <c r="B16" i="39"/>
  <c r="A17" i="39"/>
  <c r="B17" i="39"/>
  <c r="A18" i="39"/>
  <c r="B18" i="39"/>
  <c r="A19" i="39"/>
  <c r="B19" i="39"/>
  <c r="A20" i="39"/>
  <c r="B20" i="39"/>
  <c r="A21" i="39"/>
  <c r="B21" i="39"/>
  <c r="A22" i="39"/>
  <c r="B22" i="39"/>
  <c r="A23" i="39"/>
  <c r="B23" i="39"/>
  <c r="A24" i="39"/>
  <c r="B24" i="39"/>
  <c r="A25" i="39"/>
  <c r="B25" i="39"/>
  <c r="A26" i="39"/>
  <c r="B26" i="39"/>
  <c r="A27" i="39"/>
  <c r="B27" i="39"/>
  <c r="A28" i="39"/>
  <c r="B28" i="39"/>
  <c r="A29" i="39"/>
  <c r="B29" i="39"/>
  <c r="A30" i="39"/>
  <c r="B30" i="39"/>
  <c r="A31" i="39"/>
  <c r="B31" i="39"/>
  <c r="A32" i="39"/>
  <c r="B32" i="39"/>
  <c r="A33" i="39"/>
  <c r="B33" i="39"/>
  <c r="A34" i="39"/>
  <c r="B34" i="39"/>
  <c r="A35" i="39"/>
  <c r="B35" i="39"/>
  <c r="A36" i="39"/>
  <c r="B36" i="39"/>
  <c r="A37" i="39"/>
  <c r="B37" i="39"/>
  <c r="A38" i="39"/>
  <c r="B38" i="39"/>
  <c r="A39" i="39"/>
  <c r="B39" i="39"/>
  <c r="A40" i="39"/>
  <c r="B40" i="39"/>
  <c r="A41" i="39"/>
  <c r="B41" i="39"/>
  <c r="A42" i="39"/>
  <c r="B42" i="39"/>
  <c r="A43" i="39"/>
  <c r="B43" i="39"/>
  <c r="A44" i="39"/>
  <c r="B44" i="39"/>
  <c r="A45" i="39"/>
  <c r="B45" i="39"/>
  <c r="A46" i="39"/>
  <c r="B46" i="39"/>
  <c r="A47" i="39"/>
  <c r="B47" i="39"/>
  <c r="A48" i="39"/>
  <c r="B48" i="39"/>
  <c r="A49" i="39"/>
  <c r="B49" i="39"/>
  <c r="A50" i="39"/>
  <c r="B50" i="39"/>
  <c r="A51" i="39"/>
  <c r="B51" i="39"/>
  <c r="A52" i="39"/>
  <c r="B52" i="39"/>
  <c r="A53" i="39"/>
  <c r="B53" i="39"/>
  <c r="A54" i="39"/>
  <c r="B54" i="39"/>
  <c r="A55" i="39"/>
  <c r="B55" i="39"/>
  <c r="A56" i="39"/>
  <c r="B56" i="39"/>
  <c r="A57" i="39"/>
  <c r="B57" i="39"/>
  <c r="A58" i="39"/>
  <c r="B58" i="39"/>
  <c r="A59" i="39"/>
  <c r="B59" i="39"/>
  <c r="A60" i="39"/>
  <c r="B60" i="39"/>
  <c r="A61" i="39"/>
  <c r="B61" i="39"/>
  <c r="A62" i="39"/>
  <c r="B62" i="39"/>
  <c r="A63" i="39"/>
  <c r="B63" i="39"/>
  <c r="A64" i="39"/>
  <c r="B64" i="39"/>
  <c r="A65" i="39"/>
  <c r="B65" i="39"/>
  <c r="A66" i="39"/>
  <c r="B66" i="39"/>
  <c r="A67" i="39"/>
  <c r="B67" i="39"/>
  <c r="A68" i="39"/>
  <c r="B68" i="39"/>
  <c r="A69" i="39"/>
  <c r="B69" i="39"/>
  <c r="A70" i="39"/>
  <c r="B70" i="39"/>
  <c r="A71" i="39"/>
  <c r="B71" i="39"/>
  <c r="A72" i="39"/>
  <c r="B72" i="39"/>
  <c r="A73" i="39"/>
  <c r="B73" i="39"/>
  <c r="A74" i="39"/>
  <c r="B74" i="39"/>
  <c r="A75" i="39"/>
  <c r="B75" i="39"/>
  <c r="A76" i="39"/>
  <c r="B76" i="39"/>
  <c r="A77" i="39"/>
  <c r="B77" i="39"/>
  <c r="A78" i="39"/>
  <c r="B78" i="39"/>
  <c r="A79" i="39"/>
  <c r="B79" i="39"/>
  <c r="A80" i="39"/>
  <c r="B80" i="39"/>
  <c r="A81" i="39"/>
  <c r="B81" i="39"/>
  <c r="A82" i="39"/>
  <c r="B82" i="39"/>
  <c r="A83" i="39"/>
  <c r="B83" i="39"/>
  <c r="A84" i="39"/>
  <c r="B84" i="39"/>
  <c r="A85" i="39"/>
  <c r="B85" i="39"/>
  <c r="A86" i="39"/>
  <c r="B86" i="39"/>
  <c r="A87" i="39"/>
  <c r="B87" i="39"/>
  <c r="A88" i="39"/>
  <c r="B88" i="39"/>
  <c r="A89" i="39"/>
  <c r="B89" i="39"/>
  <c r="A90" i="39"/>
  <c r="B90" i="39"/>
  <c r="A91" i="39"/>
  <c r="B91" i="39"/>
  <c r="A92" i="39"/>
  <c r="B92" i="39"/>
  <c r="A93" i="39"/>
  <c r="B93" i="39"/>
  <c r="A94" i="39"/>
  <c r="B94" i="39"/>
  <c r="A95" i="39"/>
  <c r="B95" i="39"/>
  <c r="A96" i="39"/>
  <c r="B96" i="39"/>
  <c r="A97" i="39"/>
  <c r="B97" i="39"/>
  <c r="A98" i="39"/>
  <c r="B98" i="39"/>
  <c r="A99" i="39"/>
  <c r="B99" i="39"/>
  <c r="A100" i="39"/>
  <c r="B100" i="39"/>
  <c r="A101" i="39"/>
  <c r="B101" i="39"/>
  <c r="A102" i="39"/>
  <c r="B102" i="39"/>
  <c r="A103" i="39"/>
  <c r="B103" i="39"/>
  <c r="A104" i="39"/>
  <c r="B104" i="39"/>
  <c r="A105" i="39"/>
  <c r="B105" i="39"/>
  <c r="A106" i="39"/>
  <c r="B106" i="39"/>
  <c r="A107" i="39"/>
  <c r="B107" i="39"/>
  <c r="A108" i="39"/>
  <c r="B108" i="39"/>
  <c r="A109" i="39"/>
  <c r="B109" i="39"/>
  <c r="A110" i="39"/>
  <c r="B110" i="39"/>
  <c r="A111" i="39"/>
  <c r="B111" i="39"/>
  <c r="A112" i="39"/>
  <c r="B112" i="39"/>
  <c r="A113" i="39"/>
  <c r="B113" i="39"/>
  <c r="A114" i="39"/>
  <c r="B114" i="39"/>
  <c r="A115" i="39"/>
  <c r="B115" i="39"/>
  <c r="A116" i="39"/>
  <c r="B116" i="39"/>
  <c r="A117" i="39"/>
  <c r="B117" i="39"/>
  <c r="A118" i="39"/>
  <c r="B118" i="39"/>
  <c r="A119" i="39"/>
  <c r="B119" i="39"/>
  <c r="A120" i="39"/>
  <c r="B120" i="39"/>
  <c r="A121" i="39"/>
  <c r="B121" i="39"/>
  <c r="A122" i="39"/>
  <c r="B122" i="39"/>
  <c r="A123" i="39"/>
  <c r="B123" i="39"/>
  <c r="A124" i="39"/>
  <c r="B124" i="39"/>
  <c r="A125" i="39"/>
  <c r="B125" i="39"/>
  <c r="A126" i="39"/>
  <c r="B126" i="39"/>
  <c r="A127" i="39"/>
  <c r="B127" i="39"/>
  <c r="A128" i="39"/>
  <c r="B128" i="39"/>
  <c r="A129" i="39"/>
  <c r="B129" i="39"/>
  <c r="A130" i="39"/>
  <c r="B130" i="39"/>
  <c r="A131" i="39"/>
  <c r="B131" i="39"/>
  <c r="A132" i="39"/>
  <c r="B132" i="39"/>
  <c r="A133" i="39"/>
  <c r="B133" i="39"/>
  <c r="A134" i="39"/>
  <c r="B134" i="39"/>
  <c r="A135" i="39"/>
  <c r="B135" i="39"/>
  <c r="A136" i="39"/>
  <c r="B136" i="39"/>
  <c r="A137" i="39"/>
  <c r="B137" i="39"/>
  <c r="A138" i="39"/>
  <c r="B138" i="39"/>
  <c r="A139" i="39"/>
  <c r="B139" i="39"/>
  <c r="A140" i="39"/>
  <c r="B140" i="39"/>
  <c r="A141" i="39"/>
  <c r="B141" i="39"/>
  <c r="A142" i="39"/>
  <c r="B142" i="39"/>
  <c r="A143" i="39"/>
  <c r="B143" i="39"/>
  <c r="A144" i="39"/>
  <c r="B144" i="39"/>
  <c r="A145" i="39"/>
  <c r="B145" i="39"/>
  <c r="A146" i="39"/>
  <c r="B146" i="39"/>
  <c r="A147" i="39"/>
  <c r="B147" i="39"/>
  <c r="A148" i="39"/>
  <c r="B148" i="39"/>
  <c r="A149" i="39"/>
  <c r="B149" i="39"/>
  <c r="A150" i="39"/>
  <c r="B150" i="39"/>
  <c r="A151" i="39"/>
  <c r="B151" i="39"/>
  <c r="A152" i="39"/>
  <c r="B152" i="39"/>
  <c r="A153" i="39"/>
  <c r="B153" i="39"/>
  <c r="A154" i="39"/>
  <c r="B154" i="39"/>
  <c r="A155" i="39"/>
  <c r="B155" i="39"/>
  <c r="A156" i="39"/>
  <c r="B156" i="39"/>
  <c r="A157" i="39"/>
  <c r="B157" i="39"/>
  <c r="A158" i="39"/>
  <c r="B158" i="39"/>
  <c r="A159" i="39"/>
  <c r="B159" i="39"/>
  <c r="A160" i="39"/>
  <c r="B160" i="39"/>
  <c r="A161" i="39"/>
  <c r="B161" i="39"/>
  <c r="A162" i="39"/>
  <c r="B162" i="39"/>
  <c r="A163" i="39"/>
  <c r="B163" i="39"/>
  <c r="A164" i="39"/>
  <c r="B164" i="39"/>
  <c r="A165" i="39"/>
  <c r="B165" i="39"/>
  <c r="A166" i="39"/>
  <c r="B166" i="39"/>
  <c r="A167" i="39"/>
  <c r="B167" i="39"/>
  <c r="A168" i="39"/>
  <c r="B168" i="39"/>
  <c r="A170" i="39"/>
  <c r="B170" i="39"/>
  <c r="A171" i="39"/>
  <c r="B171" i="39"/>
  <c r="A172" i="39"/>
  <c r="B172" i="39"/>
  <c r="A173" i="39"/>
  <c r="B173" i="39"/>
  <c r="A174" i="39"/>
  <c r="B174" i="39"/>
  <c r="A175" i="39"/>
  <c r="B175" i="39"/>
  <c r="A176" i="39"/>
  <c r="B176" i="39"/>
  <c r="A177" i="39"/>
  <c r="B177" i="39"/>
  <c r="A178" i="39"/>
  <c r="B178" i="39"/>
  <c r="A179" i="39"/>
  <c r="B179" i="39"/>
  <c r="A180" i="39"/>
  <c r="B180" i="39"/>
  <c r="A181" i="39"/>
  <c r="B181" i="39"/>
  <c r="A182" i="39"/>
  <c r="B182" i="39"/>
  <c r="A183" i="39"/>
  <c r="B183" i="39"/>
  <c r="A184" i="39"/>
  <c r="B184" i="39"/>
  <c r="A185" i="39"/>
  <c r="B185" i="39"/>
  <c r="A186" i="39"/>
  <c r="B186" i="39"/>
  <c r="A187" i="39"/>
  <c r="B187" i="39"/>
  <c r="A188" i="39"/>
  <c r="B188" i="39"/>
  <c r="A189" i="39"/>
  <c r="B189" i="39"/>
  <c r="A190" i="39"/>
  <c r="B190" i="39"/>
  <c r="A191" i="39"/>
  <c r="B191" i="39"/>
  <c r="A192" i="39"/>
  <c r="B192" i="39"/>
  <c r="A193" i="39"/>
  <c r="B193" i="39"/>
  <c r="A194" i="39"/>
  <c r="B194" i="39"/>
  <c r="A195" i="39"/>
  <c r="B195" i="39"/>
  <c r="A196" i="39"/>
  <c r="B196" i="39"/>
  <c r="A197" i="39"/>
  <c r="B197" i="39"/>
  <c r="A198" i="39"/>
  <c r="B198" i="39"/>
  <c r="A199" i="39"/>
  <c r="B199" i="39"/>
  <c r="A200" i="39"/>
  <c r="B200" i="39"/>
  <c r="A201" i="39"/>
  <c r="B201" i="39"/>
  <c r="A202" i="39"/>
  <c r="B202" i="39"/>
  <c r="A203" i="39"/>
  <c r="B203" i="39"/>
  <c r="A204" i="39"/>
  <c r="B204" i="39"/>
  <c r="A205" i="39"/>
  <c r="B205" i="39"/>
  <c r="A206" i="39"/>
  <c r="B206" i="39"/>
  <c r="A207" i="39"/>
  <c r="B207" i="39"/>
  <c r="A208" i="39"/>
  <c r="B208" i="39"/>
  <c r="A209" i="39"/>
  <c r="B209" i="39"/>
  <c r="A210" i="39"/>
  <c r="B210" i="39"/>
  <c r="A211" i="39"/>
  <c r="B211" i="39"/>
  <c r="A212" i="39"/>
  <c r="B212" i="39"/>
  <c r="A213" i="39"/>
  <c r="B213" i="39"/>
  <c r="A214" i="39"/>
  <c r="B214" i="39"/>
  <c r="A215" i="39"/>
  <c r="B215" i="39"/>
  <c r="A216" i="39"/>
  <c r="B216" i="39"/>
  <c r="A217" i="39"/>
  <c r="B217" i="39"/>
  <c r="A219" i="39"/>
  <c r="B219" i="39"/>
  <c r="A220" i="39"/>
  <c r="B220" i="39"/>
  <c r="A221" i="39"/>
  <c r="B221" i="39"/>
  <c r="A222" i="39"/>
  <c r="B222" i="39"/>
  <c r="A223" i="39"/>
  <c r="B223" i="39"/>
  <c r="A224" i="39"/>
  <c r="B224" i="39"/>
  <c r="A225" i="39"/>
  <c r="B225" i="39"/>
  <c r="A226" i="39"/>
  <c r="B226" i="39"/>
  <c r="A227" i="39"/>
  <c r="B227" i="39"/>
  <c r="A228" i="39"/>
  <c r="B228" i="39"/>
  <c r="A229" i="39"/>
  <c r="B229" i="39"/>
  <c r="A230" i="39"/>
  <c r="B230" i="39"/>
  <c r="A231" i="39"/>
  <c r="B231" i="39"/>
  <c r="A232" i="39"/>
  <c r="B232" i="39"/>
  <c r="A233" i="39"/>
  <c r="B233" i="39"/>
  <c r="A234" i="39"/>
  <c r="B234" i="39"/>
  <c r="A235" i="39"/>
  <c r="B235" i="39"/>
  <c r="A236" i="39"/>
  <c r="B236" i="39"/>
  <c r="A237" i="39"/>
  <c r="B237" i="39"/>
  <c r="A238" i="39"/>
  <c r="B238" i="39"/>
  <c r="A239" i="39"/>
  <c r="B239" i="39"/>
  <c r="A240" i="39"/>
  <c r="B240" i="39"/>
  <c r="A241" i="39"/>
  <c r="B241" i="39"/>
  <c r="A242" i="39"/>
  <c r="B242" i="39"/>
  <c r="A245" i="39"/>
  <c r="B245" i="39"/>
  <c r="A246" i="39"/>
  <c r="B246" i="39"/>
  <c r="A247" i="39"/>
  <c r="B247" i="39"/>
  <c r="A248" i="39"/>
  <c r="B248" i="39"/>
  <c r="A249" i="39"/>
  <c r="B249" i="39"/>
  <c r="A250" i="39"/>
  <c r="B250" i="39"/>
  <c r="A251" i="39"/>
  <c r="B251" i="39"/>
  <c r="A252" i="39"/>
  <c r="B252" i="39"/>
  <c r="A253" i="39"/>
  <c r="B253" i="39"/>
  <c r="A254" i="39"/>
  <c r="B254" i="39"/>
  <c r="A255" i="39"/>
  <c r="B255" i="39"/>
  <c r="A256" i="39"/>
  <c r="B256" i="39"/>
  <c r="A257" i="39"/>
  <c r="B257" i="39"/>
  <c r="A258" i="39"/>
  <c r="B258" i="39"/>
  <c r="A259" i="39"/>
  <c r="B259" i="39"/>
  <c r="A260" i="39"/>
  <c r="B260" i="39"/>
  <c r="A261" i="39"/>
  <c r="B261" i="39"/>
  <c r="A262" i="39"/>
  <c r="B262" i="39"/>
  <c r="A263" i="39"/>
  <c r="B263" i="39"/>
  <c r="A264" i="39"/>
  <c r="B264" i="39"/>
  <c r="A265" i="39"/>
  <c r="B265" i="39"/>
  <c r="A266" i="39"/>
  <c r="B266" i="39"/>
  <c r="A267" i="39"/>
  <c r="B267" i="39"/>
  <c r="A268" i="39"/>
  <c r="B268" i="39"/>
  <c r="A269" i="39"/>
  <c r="B269" i="39"/>
  <c r="A270" i="39"/>
  <c r="B270" i="39"/>
  <c r="A271" i="39"/>
  <c r="B271" i="39"/>
  <c r="A272" i="39"/>
  <c r="B272" i="39"/>
  <c r="A273" i="39"/>
  <c r="B273" i="39"/>
  <c r="A274" i="39"/>
  <c r="B274" i="39"/>
  <c r="A275" i="39"/>
  <c r="B275" i="39"/>
  <c r="A276" i="39"/>
  <c r="B276" i="39"/>
  <c r="A277" i="39"/>
  <c r="B277" i="39"/>
  <c r="A278" i="39"/>
  <c r="B278" i="39"/>
  <c r="A279" i="39"/>
  <c r="B279" i="39"/>
  <c r="A280" i="39"/>
  <c r="B280" i="39"/>
  <c r="A281" i="39"/>
  <c r="B281" i="39"/>
  <c r="A282" i="39"/>
  <c r="B282" i="39"/>
  <c r="A283" i="39"/>
  <c r="B283" i="39"/>
  <c r="A284" i="39"/>
  <c r="B284" i="39"/>
  <c r="A285" i="39"/>
  <c r="B285" i="39"/>
  <c r="A286" i="39"/>
  <c r="B286" i="39"/>
  <c r="A287" i="39"/>
  <c r="B287" i="39"/>
  <c r="A288" i="39"/>
  <c r="B288" i="39"/>
  <c r="A289" i="39"/>
  <c r="B289" i="39"/>
  <c r="A290" i="39"/>
  <c r="B290" i="39"/>
  <c r="A291" i="39"/>
  <c r="B291" i="39"/>
  <c r="A292" i="39"/>
  <c r="B292" i="39"/>
  <c r="A293" i="39"/>
  <c r="B293" i="39"/>
  <c r="A294" i="39"/>
  <c r="B294" i="39"/>
  <c r="A295" i="39"/>
  <c r="B295" i="39"/>
  <c r="A296" i="39"/>
  <c r="B296" i="39"/>
  <c r="A297" i="39"/>
  <c r="B297" i="39"/>
  <c r="A298" i="39"/>
  <c r="B298" i="39"/>
  <c r="A299" i="39"/>
  <c r="B299" i="39"/>
  <c r="A300" i="39"/>
  <c r="B300" i="39"/>
  <c r="A301" i="39"/>
  <c r="B301" i="39"/>
  <c r="A302" i="39"/>
  <c r="B302" i="39"/>
  <c r="A303" i="39"/>
  <c r="B303" i="39"/>
  <c r="A304" i="39"/>
  <c r="B304" i="39"/>
  <c r="A305" i="39"/>
  <c r="B305" i="39"/>
  <c r="A306" i="39"/>
  <c r="B306" i="39"/>
  <c r="A307" i="39"/>
  <c r="B307" i="39"/>
  <c r="A308" i="39"/>
  <c r="B308" i="39"/>
  <c r="A309" i="39"/>
  <c r="B309" i="39"/>
  <c r="A310" i="39"/>
  <c r="B310" i="39"/>
  <c r="A311" i="39"/>
  <c r="B311" i="39"/>
  <c r="A312" i="39"/>
  <c r="B312" i="39"/>
  <c r="A313" i="39"/>
  <c r="B313" i="39"/>
  <c r="B5" i="39"/>
  <c r="A5" i="39"/>
  <c r="B5" i="12"/>
  <c r="A5" i="12"/>
  <c r="K314" i="11"/>
  <c r="F314" i="11"/>
  <c r="E314" i="11"/>
  <c r="D314" i="11"/>
  <c r="D16" i="34"/>
  <c r="B16" i="34"/>
  <c r="A16" i="34"/>
  <c r="G5" i="37"/>
  <c r="C5" i="37"/>
  <c r="B5" i="37"/>
  <c r="A5" i="37"/>
  <c r="C8" i="36"/>
  <c r="B8" i="36"/>
  <c r="A8" i="36"/>
  <c r="C320" i="9"/>
  <c r="B11" i="9"/>
  <c r="A11" i="9"/>
  <c r="K6" i="13" l="1"/>
  <c r="D325" i="34"/>
  <c r="B314" i="37"/>
  <c r="C314" i="37"/>
  <c r="C317" i="36"/>
  <c r="B317" i="36"/>
  <c r="B314" i="12"/>
  <c r="B314" i="39"/>
  <c r="B315" i="13"/>
  <c r="B325" i="34"/>
  <c r="B320" i="9"/>
  <c r="H3" i="33" l="1"/>
  <c r="I3" i="33"/>
  <c r="J3" i="33"/>
  <c r="G3" i="33"/>
  <c r="J4" i="33"/>
  <c r="H4" i="33"/>
  <c r="I4" i="33"/>
  <c r="G4" i="33"/>
  <c r="C4" i="32" l="1"/>
  <c r="B5" i="33"/>
  <c r="A5" i="33"/>
  <c r="B5" i="32"/>
  <c r="A5" i="32"/>
  <c r="B7" i="19"/>
  <c r="A7" i="19"/>
  <c r="A2" i="19"/>
  <c r="A2" i="42"/>
  <c r="O7" i="19"/>
  <c r="R316" i="42"/>
  <c r="Q316" i="42"/>
  <c r="P316" i="42"/>
  <c r="O316" i="42"/>
  <c r="N316" i="42"/>
  <c r="V316" i="42"/>
  <c r="X316" i="42"/>
  <c r="J316" i="42"/>
  <c r="K316" i="42"/>
  <c r="L316" i="42"/>
  <c r="I316" i="42"/>
  <c r="F316" i="42"/>
  <c r="G316" i="42"/>
  <c r="H316" i="42"/>
  <c r="E316" i="42"/>
  <c r="D316" i="42"/>
  <c r="B316" i="42"/>
  <c r="B314" i="32" l="1"/>
  <c r="B316" i="19"/>
  <c r="B314" i="33"/>
  <c r="E4" i="37" l="1"/>
  <c r="E7" i="36"/>
  <c r="D29" i="40"/>
  <c r="F7" i="36" s="1"/>
  <c r="E29" i="40"/>
  <c r="G7" i="36" s="1"/>
  <c r="F29" i="40"/>
  <c r="H7" i="36" s="1"/>
  <c r="G29" i="40"/>
  <c r="I7" i="36" s="1"/>
  <c r="H29" i="40"/>
  <c r="J7" i="36" s="1"/>
  <c r="D7" i="36"/>
  <c r="C4" i="9" l="1"/>
  <c r="N316" i="19"/>
  <c r="C7" i="19"/>
  <c r="D7" i="19"/>
  <c r="E7" i="19"/>
  <c r="F7" i="19"/>
  <c r="S7" i="19"/>
  <c r="E11" i="49"/>
  <c r="E15" i="49"/>
  <c r="E19" i="49"/>
  <c r="E23" i="49"/>
  <c r="E24" i="49"/>
  <c r="E27" i="49"/>
  <c r="E28" i="49"/>
  <c r="E31" i="49"/>
  <c r="E35" i="49"/>
  <c r="E39" i="49"/>
  <c r="E43" i="49"/>
  <c r="E55" i="49"/>
  <c r="E63" i="49"/>
  <c r="E67" i="49"/>
  <c r="E71" i="49"/>
  <c r="E75" i="49"/>
  <c r="E79" i="49"/>
  <c r="E83" i="49"/>
  <c r="E86" i="49"/>
  <c r="E87" i="49"/>
  <c r="E91" i="49"/>
  <c r="E95" i="49"/>
  <c r="E96" i="49"/>
  <c r="E99" i="49"/>
  <c r="E103" i="49"/>
  <c r="E107" i="49"/>
  <c r="E111" i="49"/>
  <c r="E115" i="49"/>
  <c r="E118" i="49"/>
  <c r="E119" i="49"/>
  <c r="E120" i="49"/>
  <c r="E121" i="49"/>
  <c r="E123" i="49"/>
  <c r="E127" i="49"/>
  <c r="E128" i="49"/>
  <c r="E131" i="49"/>
  <c r="E132" i="49"/>
  <c r="E134" i="49"/>
  <c r="E136" i="49"/>
  <c r="E139" i="49"/>
  <c r="E142" i="49"/>
  <c r="E143" i="49"/>
  <c r="E146" i="49"/>
  <c r="E149" i="49"/>
  <c r="E152" i="49"/>
  <c r="E168" i="49"/>
  <c r="E171" i="49"/>
  <c r="E173" i="49"/>
  <c r="E180" i="49"/>
  <c r="E183" i="49"/>
  <c r="E195" i="49"/>
  <c r="E196" i="49"/>
  <c r="E197" i="49"/>
  <c r="E199" i="49"/>
  <c r="E215" i="49"/>
  <c r="E220" i="49"/>
  <c r="E221" i="49"/>
  <c r="E222" i="49"/>
  <c r="E227" i="49"/>
  <c r="E229" i="49"/>
  <c r="E234" i="49"/>
  <c r="E239" i="49"/>
  <c r="E242" i="49"/>
  <c r="E243" i="49"/>
  <c r="E245" i="49"/>
  <c r="E246" i="49"/>
  <c r="E256" i="49"/>
  <c r="E257" i="49"/>
  <c r="E261" i="49"/>
  <c r="E269" i="49"/>
  <c r="E270" i="49"/>
  <c r="E276" i="49"/>
  <c r="E288" i="49"/>
  <c r="E289" i="49"/>
  <c r="E293" i="49"/>
  <c r="E296" i="49"/>
  <c r="E297" i="49"/>
  <c r="E301" i="49"/>
  <c r="E304" i="49"/>
  <c r="E312" i="49"/>
  <c r="E313" i="49"/>
  <c r="D4" i="32"/>
  <c r="AA7" i="19"/>
  <c r="D6" i="49" s="1"/>
  <c r="D7" i="49"/>
  <c r="D8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D104" i="49"/>
  <c r="D105" i="49"/>
  <c r="D106" i="49"/>
  <c r="D107" i="49"/>
  <c r="D108" i="49"/>
  <c r="D109" i="49"/>
  <c r="D110" i="49"/>
  <c r="D111" i="49"/>
  <c r="D112" i="49"/>
  <c r="D113" i="49"/>
  <c r="D114" i="49"/>
  <c r="D115" i="49"/>
  <c r="D116" i="49"/>
  <c r="D117" i="49"/>
  <c r="D118" i="49"/>
  <c r="D119" i="49"/>
  <c r="D120" i="49"/>
  <c r="D121" i="49"/>
  <c r="D122" i="49"/>
  <c r="D123" i="49"/>
  <c r="D124" i="49"/>
  <c r="D125" i="49"/>
  <c r="D126" i="49"/>
  <c r="D127" i="49"/>
  <c r="D128" i="49"/>
  <c r="D129" i="49"/>
  <c r="D130" i="49"/>
  <c r="D131" i="49"/>
  <c r="D132" i="49"/>
  <c r="D133" i="49"/>
  <c r="D134" i="49"/>
  <c r="D135" i="49"/>
  <c r="D136" i="49"/>
  <c r="D137" i="49"/>
  <c r="D138" i="49"/>
  <c r="D139" i="49"/>
  <c r="D140" i="49"/>
  <c r="D141" i="49"/>
  <c r="D142" i="49"/>
  <c r="D143" i="49"/>
  <c r="D144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69" i="49"/>
  <c r="D171" i="49"/>
  <c r="D172" i="49"/>
  <c r="D173" i="49"/>
  <c r="D174" i="49"/>
  <c r="D175" i="49"/>
  <c r="D176" i="49"/>
  <c r="D177" i="49"/>
  <c r="D178" i="49"/>
  <c r="D179" i="49"/>
  <c r="D180" i="49"/>
  <c r="D181" i="49"/>
  <c r="D182" i="49"/>
  <c r="D183" i="49"/>
  <c r="D184" i="49"/>
  <c r="D185" i="49"/>
  <c r="D186" i="49"/>
  <c r="D187" i="49"/>
  <c r="D188" i="49"/>
  <c r="D189" i="49"/>
  <c r="D190" i="49"/>
  <c r="D191" i="49"/>
  <c r="D192" i="49"/>
  <c r="D193" i="49"/>
  <c r="D194" i="49"/>
  <c r="D195" i="49"/>
  <c r="D196" i="49"/>
  <c r="D197" i="49"/>
  <c r="D198" i="49"/>
  <c r="D199" i="49"/>
  <c r="D200" i="49"/>
  <c r="D201" i="49"/>
  <c r="D202" i="49"/>
  <c r="D203" i="49"/>
  <c r="D204" i="49"/>
  <c r="D205" i="49"/>
  <c r="D206" i="49"/>
  <c r="D207" i="49"/>
  <c r="D208" i="49"/>
  <c r="D209" i="49"/>
  <c r="D210" i="49"/>
  <c r="D211" i="49"/>
  <c r="D212" i="49"/>
  <c r="D213" i="49"/>
  <c r="D214" i="49"/>
  <c r="D215" i="49"/>
  <c r="D216" i="49"/>
  <c r="D217" i="49"/>
  <c r="D218" i="49"/>
  <c r="D220" i="49"/>
  <c r="D221" i="49"/>
  <c r="D222" i="49"/>
  <c r="D223" i="49"/>
  <c r="D224" i="49"/>
  <c r="D225" i="49"/>
  <c r="D226" i="49"/>
  <c r="D227" i="49"/>
  <c r="D228" i="49"/>
  <c r="D229" i="49"/>
  <c r="D230" i="49"/>
  <c r="D231" i="49"/>
  <c r="D232" i="49"/>
  <c r="D233" i="49"/>
  <c r="D234" i="49"/>
  <c r="D235" i="49"/>
  <c r="D236" i="49"/>
  <c r="D237" i="49"/>
  <c r="D238" i="49"/>
  <c r="D239" i="49"/>
  <c r="D240" i="49"/>
  <c r="D241" i="49"/>
  <c r="D242" i="49"/>
  <c r="D243" i="49"/>
  <c r="D245" i="49"/>
  <c r="D246" i="49"/>
  <c r="D247" i="49"/>
  <c r="D248" i="49"/>
  <c r="D249" i="49"/>
  <c r="D250" i="49"/>
  <c r="D251" i="49"/>
  <c r="D252" i="49"/>
  <c r="D253" i="49"/>
  <c r="D254" i="49"/>
  <c r="D255" i="49"/>
  <c r="D256" i="49"/>
  <c r="D257" i="49"/>
  <c r="D258" i="49"/>
  <c r="D259" i="49"/>
  <c r="D260" i="49"/>
  <c r="D261" i="49"/>
  <c r="D262" i="49"/>
  <c r="D263" i="49"/>
  <c r="D264" i="49"/>
  <c r="D265" i="49"/>
  <c r="D266" i="49"/>
  <c r="D267" i="49"/>
  <c r="D268" i="49"/>
  <c r="D269" i="49"/>
  <c r="D270" i="49"/>
  <c r="D271" i="49"/>
  <c r="D272" i="49"/>
  <c r="D273" i="49"/>
  <c r="D274" i="49"/>
  <c r="D275" i="49"/>
  <c r="D276" i="49"/>
  <c r="D277" i="49"/>
  <c r="D278" i="49"/>
  <c r="D279" i="49"/>
  <c r="D280" i="49"/>
  <c r="D281" i="49"/>
  <c r="D282" i="49"/>
  <c r="D283" i="49"/>
  <c r="D284" i="49"/>
  <c r="D285" i="49"/>
  <c r="D286" i="49"/>
  <c r="D287" i="49"/>
  <c r="D288" i="49"/>
  <c r="D289" i="49"/>
  <c r="D290" i="49"/>
  <c r="D291" i="49"/>
  <c r="D292" i="49"/>
  <c r="D293" i="49"/>
  <c r="D294" i="49"/>
  <c r="D295" i="49"/>
  <c r="D296" i="49"/>
  <c r="D297" i="49"/>
  <c r="D298" i="49"/>
  <c r="D299" i="49"/>
  <c r="D300" i="49"/>
  <c r="D301" i="49"/>
  <c r="D302" i="49"/>
  <c r="D303" i="49"/>
  <c r="D304" i="49"/>
  <c r="D305" i="49"/>
  <c r="D306" i="49"/>
  <c r="D307" i="49"/>
  <c r="D308" i="49"/>
  <c r="D309" i="49"/>
  <c r="D310" i="49"/>
  <c r="D311" i="49"/>
  <c r="D312" i="49"/>
  <c r="D313" i="49"/>
  <c r="D314" i="49"/>
  <c r="K14" i="13"/>
  <c r="K88" i="13"/>
  <c r="E4" i="36"/>
  <c r="G4" i="36"/>
  <c r="I4" i="36"/>
  <c r="H4" i="36"/>
  <c r="G5" i="36"/>
  <c r="C6" i="34"/>
  <c r="D4" i="36"/>
  <c r="D5" i="36"/>
  <c r="E5" i="36"/>
  <c r="F4" i="36"/>
  <c r="F5" i="36"/>
  <c r="H5" i="36"/>
  <c r="J4" i="36"/>
  <c r="I5" i="36"/>
  <c r="I4" i="39"/>
  <c r="K8" i="13"/>
  <c r="K9" i="13"/>
  <c r="K10" i="13"/>
  <c r="K11" i="13"/>
  <c r="K12" i="13"/>
  <c r="K13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A6" i="25"/>
  <c r="B6" i="25"/>
  <c r="I106" i="36" l="1"/>
  <c r="I139" i="36"/>
  <c r="I165" i="36"/>
  <c r="I247" i="36"/>
  <c r="I141" i="36"/>
  <c r="I244" i="36"/>
  <c r="I25" i="36"/>
  <c r="I110" i="36"/>
  <c r="I112" i="36"/>
  <c r="I31" i="36"/>
  <c r="I277" i="36"/>
  <c r="I17" i="36"/>
  <c r="I86" i="36"/>
  <c r="I152" i="36"/>
  <c r="I174" i="36"/>
  <c r="I301" i="36"/>
  <c r="I182" i="36"/>
  <c r="I63" i="36"/>
  <c r="I145" i="36"/>
  <c r="I256" i="36"/>
  <c r="I252" i="36"/>
  <c r="I293" i="36"/>
  <c r="I164" i="36"/>
  <c r="I125" i="36"/>
  <c r="I296" i="36"/>
  <c r="I114" i="36"/>
  <c r="I148" i="36"/>
  <c r="I280" i="36"/>
  <c r="I57" i="36"/>
  <c r="I129" i="36"/>
  <c r="I273" i="36"/>
  <c r="I196" i="36"/>
  <c r="I217" i="36"/>
  <c r="I97" i="36"/>
  <c r="I286" i="36"/>
  <c r="I311" i="36"/>
  <c r="I161" i="36"/>
  <c r="I144" i="36"/>
  <c r="I284" i="36"/>
  <c r="I302" i="36"/>
  <c r="I56" i="36"/>
  <c r="I253" i="36"/>
  <c r="I33" i="36"/>
  <c r="I254" i="36"/>
  <c r="I179" i="36"/>
  <c r="I297" i="36"/>
  <c r="I269" i="36"/>
  <c r="I73" i="36"/>
  <c r="I287" i="36"/>
  <c r="I237" i="36"/>
  <c r="I222" i="36"/>
  <c r="I212" i="36"/>
  <c r="I281" i="36"/>
  <c r="I246" i="36"/>
  <c r="I185" i="36"/>
  <c r="I118" i="36"/>
  <c r="I268" i="36"/>
  <c r="I102" i="36"/>
  <c r="I65" i="36"/>
  <c r="I209" i="36"/>
  <c r="I312" i="36"/>
  <c r="I233" i="36"/>
  <c r="I248" i="36"/>
  <c r="I88" i="36"/>
  <c r="I285" i="36"/>
  <c r="I104" i="36"/>
  <c r="I305" i="36"/>
  <c r="I170" i="36"/>
  <c r="I176" i="36"/>
  <c r="I303" i="36"/>
  <c r="I279" i="36"/>
  <c r="I157" i="36"/>
  <c r="I190" i="36"/>
  <c r="I201" i="36"/>
  <c r="I272" i="36"/>
  <c r="I261" i="36"/>
  <c r="I121" i="36"/>
  <c r="I130" i="36"/>
  <c r="I288" i="36"/>
  <c r="I267" i="36"/>
  <c r="I224" i="36"/>
  <c r="I178" i="36"/>
  <c r="I123" i="36"/>
  <c r="I122" i="36"/>
  <c r="I188" i="36"/>
  <c r="I150" i="36"/>
  <c r="I229" i="36"/>
  <c r="I134" i="36"/>
  <c r="I239" i="36"/>
  <c r="I173" i="36"/>
  <c r="I198" i="36"/>
  <c r="I270" i="36"/>
  <c r="I250" i="36"/>
  <c r="I32" i="36"/>
  <c r="I260" i="36"/>
  <c r="I9" i="36"/>
  <c r="I203" i="36"/>
  <c r="I180" i="36"/>
  <c r="I232" i="36"/>
  <c r="I204" i="36"/>
  <c r="I169" i="36"/>
  <c r="I49" i="36"/>
  <c r="I113" i="36"/>
  <c r="I105" i="36"/>
  <c r="I214" i="36"/>
  <c r="I171" i="36"/>
  <c r="I299" i="36"/>
  <c r="I242" i="36"/>
  <c r="I159" i="36"/>
  <c r="I99" i="36"/>
  <c r="I132" i="36"/>
  <c r="I249" i="36"/>
  <c r="I100" i="36"/>
  <c r="I223" i="36"/>
  <c r="I290" i="36"/>
  <c r="I192" i="36"/>
  <c r="I146" i="36"/>
  <c r="I235" i="36"/>
  <c r="I187" i="36"/>
  <c r="I136" i="36"/>
  <c r="I295" i="36"/>
  <c r="I265" i="36"/>
  <c r="I263" i="36"/>
  <c r="I289" i="36"/>
  <c r="I216" i="36"/>
  <c r="I291" i="36"/>
  <c r="I266" i="36"/>
  <c r="I62" i="36"/>
  <c r="I128" i="36"/>
  <c r="I181" i="36"/>
  <c r="I131" i="36"/>
  <c r="I207" i="36"/>
  <c r="I140" i="36"/>
  <c r="I199" i="36"/>
  <c r="I186" i="36"/>
  <c r="I117" i="36"/>
  <c r="I137" i="36"/>
  <c r="I308" i="36"/>
  <c r="I238" i="36"/>
  <c r="I80" i="36"/>
  <c r="I294" i="36"/>
  <c r="I230" i="36"/>
  <c r="I168" i="36"/>
  <c r="I14" i="36"/>
  <c r="I282" i="36"/>
  <c r="I315" i="36"/>
  <c r="I55" i="36"/>
  <c r="I54" i="36"/>
  <c r="I314" i="36"/>
  <c r="I304" i="36"/>
  <c r="I283" i="36"/>
  <c r="I240" i="36"/>
  <c r="I307" i="36"/>
  <c r="I218" i="36"/>
  <c r="I151" i="36"/>
  <c r="I211" i="36"/>
  <c r="I172" i="36"/>
  <c r="I127" i="36"/>
  <c r="I245" i="36"/>
  <c r="I87" i="36"/>
  <c r="I116" i="36"/>
  <c r="I177" i="36"/>
  <c r="I120" i="36"/>
  <c r="I10" i="36"/>
  <c r="I231" i="36"/>
  <c r="I98" i="36"/>
  <c r="I166" i="36"/>
  <c r="I126" i="36"/>
  <c r="I24" i="36"/>
  <c r="I191" i="36"/>
  <c r="I108" i="36"/>
  <c r="I202" i="36"/>
  <c r="I316" i="36"/>
  <c r="I210" i="36"/>
  <c r="I200" i="36"/>
  <c r="I109" i="36"/>
  <c r="I39" i="36"/>
  <c r="I91" i="36"/>
  <c r="I59" i="36"/>
  <c r="I27" i="36"/>
  <c r="I18" i="36"/>
  <c r="I58" i="36"/>
  <c r="I262" i="36"/>
  <c r="I241" i="36"/>
  <c r="I119" i="36"/>
  <c r="I16" i="36"/>
  <c r="I309" i="36"/>
  <c r="I310" i="36"/>
  <c r="I22" i="36"/>
  <c r="I147" i="36"/>
  <c r="I227" i="36"/>
  <c r="I298" i="36"/>
  <c r="I38" i="36"/>
  <c r="I264" i="36"/>
  <c r="I183" i="36"/>
  <c r="I184" i="36"/>
  <c r="I219" i="36"/>
  <c r="I23" i="36"/>
  <c r="I40" i="36"/>
  <c r="I101" i="36"/>
  <c r="I111" i="36"/>
  <c r="I225" i="36"/>
  <c r="I48" i="36"/>
  <c r="I259" i="36"/>
  <c r="I124" i="36"/>
  <c r="I226" i="36"/>
  <c r="I163" i="36"/>
  <c r="I208" i="36"/>
  <c r="I133" i="36"/>
  <c r="I15" i="36"/>
  <c r="I41" i="36"/>
  <c r="I228" i="36"/>
  <c r="I275" i="36"/>
  <c r="I234" i="36"/>
  <c r="I236" i="36"/>
  <c r="I167" i="36"/>
  <c r="I215" i="36"/>
  <c r="I197" i="36"/>
  <c r="I107" i="36"/>
  <c r="I64" i="36"/>
  <c r="I30" i="36"/>
  <c r="I47" i="36"/>
  <c r="I95" i="36"/>
  <c r="I70" i="36"/>
  <c r="I75" i="36"/>
  <c r="I51" i="36"/>
  <c r="I50" i="36"/>
  <c r="I52" i="36"/>
  <c r="I34" i="36"/>
  <c r="I155" i="36"/>
  <c r="I292" i="36"/>
  <c r="I46" i="36"/>
  <c r="I220" i="36"/>
  <c r="I162" i="36"/>
  <c r="I276" i="36"/>
  <c r="I213" i="36"/>
  <c r="I274" i="36"/>
  <c r="I189" i="36"/>
  <c r="I175" i="36"/>
  <c r="I143" i="36"/>
  <c r="I78" i="36"/>
  <c r="I42" i="36"/>
  <c r="I68" i="36"/>
  <c r="I12" i="36"/>
  <c r="I61" i="36"/>
  <c r="I45" i="36"/>
  <c r="I29" i="36"/>
  <c r="I13" i="36"/>
  <c r="I82" i="36"/>
  <c r="I313" i="36"/>
  <c r="I153" i="36"/>
  <c r="I251" i="36"/>
  <c r="I243" i="36"/>
  <c r="I158" i="36"/>
  <c r="I72" i="36"/>
  <c r="I135" i="36"/>
  <c r="I83" i="36"/>
  <c r="I154" i="36"/>
  <c r="I11" i="36"/>
  <c r="I255" i="36"/>
  <c r="I306" i="36"/>
  <c r="I194" i="36"/>
  <c r="I149" i="36"/>
  <c r="I28" i="36"/>
  <c r="I90" i="36"/>
  <c r="I85" i="36"/>
  <c r="I53" i="36"/>
  <c r="I94" i="36"/>
  <c r="I300" i="36"/>
  <c r="I195" i="36"/>
  <c r="I138" i="36"/>
  <c r="I26" i="36"/>
  <c r="I76" i="36"/>
  <c r="I74" i="36"/>
  <c r="I37" i="36"/>
  <c r="I142" i="36"/>
  <c r="I77" i="36"/>
  <c r="I79" i="36"/>
  <c r="I44" i="36"/>
  <c r="I206" i="36"/>
  <c r="I221" i="36"/>
  <c r="I96" i="36"/>
  <c r="I115" i="36"/>
  <c r="I71" i="36"/>
  <c r="I103" i="36"/>
  <c r="I92" i="36"/>
  <c r="I20" i="36"/>
  <c r="I278" i="36"/>
  <c r="I258" i="36"/>
  <c r="I160" i="36"/>
  <c r="I205" i="36"/>
  <c r="I93" i="36"/>
  <c r="I69" i="36"/>
  <c r="I271" i="36"/>
  <c r="I193" i="36"/>
  <c r="I81" i="36"/>
  <c r="I89" i="36"/>
  <c r="I35" i="36"/>
  <c r="I84" i="36"/>
  <c r="I60" i="36"/>
  <c r="I67" i="36"/>
  <c r="I19" i="36"/>
  <c r="I36" i="36"/>
  <c r="I21" i="36"/>
  <c r="I66" i="36"/>
  <c r="I257" i="36"/>
  <c r="I156" i="36"/>
  <c r="I43" i="36"/>
  <c r="F110" i="36"/>
  <c r="F162" i="36"/>
  <c r="F296" i="36"/>
  <c r="F158" i="36"/>
  <c r="F107" i="36"/>
  <c r="F249" i="36"/>
  <c r="F226" i="36"/>
  <c r="F261" i="36"/>
  <c r="F182" i="36"/>
  <c r="F186" i="36"/>
  <c r="F245" i="36"/>
  <c r="F105" i="36"/>
  <c r="F115" i="36"/>
  <c r="F139" i="36"/>
  <c r="F298" i="36"/>
  <c r="F208" i="36"/>
  <c r="F218" i="36"/>
  <c r="F190" i="36"/>
  <c r="F264" i="36"/>
  <c r="F270" i="36"/>
  <c r="F205" i="36"/>
  <c r="F313" i="36"/>
  <c r="F114" i="36"/>
  <c r="F138" i="36"/>
  <c r="F149" i="36"/>
  <c r="F206" i="36"/>
  <c r="F239" i="36"/>
  <c r="F234" i="36"/>
  <c r="F274" i="36"/>
  <c r="F281" i="36"/>
  <c r="F112" i="36"/>
  <c r="F145" i="36"/>
  <c r="F150" i="36"/>
  <c r="F310" i="36"/>
  <c r="F241" i="36"/>
  <c r="F210" i="36"/>
  <c r="F74" i="36"/>
  <c r="F263" i="36"/>
  <c r="F50" i="36"/>
  <c r="F302" i="36"/>
  <c r="F187" i="36"/>
  <c r="F257" i="36"/>
  <c r="F66" i="36"/>
  <c r="F266" i="36"/>
  <c r="F35" i="36"/>
  <c r="F237" i="36"/>
  <c r="F11" i="36"/>
  <c r="F184" i="36"/>
  <c r="F316" i="36"/>
  <c r="F287" i="36"/>
  <c r="F97" i="36"/>
  <c r="F195" i="36"/>
  <c r="F121" i="36"/>
  <c r="F168" i="36"/>
  <c r="F92" i="36"/>
  <c r="F99" i="36"/>
  <c r="F26" i="36"/>
  <c r="F90" i="36"/>
  <c r="F89" i="36"/>
  <c r="F309" i="36"/>
  <c r="F214" i="36"/>
  <c r="F95" i="36"/>
  <c r="F137" i="36"/>
  <c r="F175" i="36"/>
  <c r="F247" i="36"/>
  <c r="F221" i="36"/>
  <c r="F279" i="36"/>
  <c r="F231" i="36"/>
  <c r="F173" i="36"/>
  <c r="F277" i="36"/>
  <c r="F31" i="36"/>
  <c r="F246" i="36"/>
  <c r="F314" i="36"/>
  <c r="F130" i="36"/>
  <c r="F305" i="36"/>
  <c r="F278" i="36"/>
  <c r="F19" i="36"/>
  <c r="F57" i="36"/>
  <c r="F265" i="36"/>
  <c r="F177" i="36"/>
  <c r="F262" i="36"/>
  <c r="F161" i="36"/>
  <c r="F39" i="36"/>
  <c r="F16" i="36"/>
  <c r="F18" i="36"/>
  <c r="F117" i="36"/>
  <c r="F256" i="36"/>
  <c r="F202" i="36"/>
  <c r="F113" i="36"/>
  <c r="F34" i="36"/>
  <c r="F269" i="36"/>
  <c r="F166" i="36"/>
  <c r="F233" i="36"/>
  <c r="F155" i="36"/>
  <c r="F45" i="36"/>
  <c r="F25" i="36"/>
  <c r="F216" i="36"/>
  <c r="F126" i="36"/>
  <c r="F48" i="36"/>
  <c r="F55" i="36"/>
  <c r="F20" i="36"/>
  <c r="F288" i="36"/>
  <c r="F123" i="36"/>
  <c r="F129" i="36"/>
  <c r="F294" i="36"/>
  <c r="F36" i="36"/>
  <c r="F103" i="36"/>
  <c r="F144" i="36"/>
  <c r="F125" i="36"/>
  <c r="F253" i="36"/>
  <c r="F178" i="36"/>
  <c r="F291" i="36"/>
  <c r="F251" i="36"/>
  <c r="F62" i="36"/>
  <c r="F52" i="36"/>
  <c r="F82" i="36"/>
  <c r="F293" i="36"/>
  <c r="F312" i="36"/>
  <c r="F289" i="36"/>
  <c r="F248" i="36"/>
  <c r="F111" i="36"/>
  <c r="F198" i="36"/>
  <c r="F230" i="36"/>
  <c r="F271" i="36"/>
  <c r="F63" i="36"/>
  <c r="F211" i="36"/>
  <c r="F146" i="36"/>
  <c r="F315" i="36"/>
  <c r="F272" i="36"/>
  <c r="F297" i="36"/>
  <c r="F229" i="36"/>
  <c r="F295" i="36"/>
  <c r="F109" i="36"/>
  <c r="F219" i="36"/>
  <c r="F119" i="36"/>
  <c r="F191" i="36"/>
  <c r="F258" i="36"/>
  <c r="F75" i="36"/>
  <c r="F27" i="36"/>
  <c r="F197" i="36"/>
  <c r="F255" i="36"/>
  <c r="F59" i="36"/>
  <c r="F171" i="36"/>
  <c r="F254" i="36"/>
  <c r="F143" i="36"/>
  <c r="F267" i="36"/>
  <c r="F194" i="36"/>
  <c r="F170" i="36"/>
  <c r="F283" i="36"/>
  <c r="F307" i="36"/>
  <c r="F252" i="36"/>
  <c r="F224" i="36"/>
  <c r="F142" i="36"/>
  <c r="F23" i="36"/>
  <c r="F225" i="36"/>
  <c r="F193" i="36"/>
  <c r="F71" i="36"/>
  <c r="F28" i="36"/>
  <c r="F22" i="36"/>
  <c r="F58" i="36"/>
  <c r="F101" i="36"/>
  <c r="F311" i="36"/>
  <c r="F84" i="36"/>
  <c r="F238" i="36"/>
  <c r="F32" i="36"/>
  <c r="F223" i="36"/>
  <c r="F275" i="36"/>
  <c r="F132" i="36"/>
  <c r="F181" i="36"/>
  <c r="F108" i="36"/>
  <c r="F308" i="36"/>
  <c r="F124" i="36"/>
  <c r="F215" i="36"/>
  <c r="F86" i="36"/>
  <c r="F141" i="36"/>
  <c r="F106" i="36"/>
  <c r="F41" i="36"/>
  <c r="F180" i="36"/>
  <c r="F116" i="36"/>
  <c r="F37" i="36"/>
  <c r="F67" i="36"/>
  <c r="F83" i="36"/>
  <c r="F286" i="36"/>
  <c r="F285" i="36"/>
  <c r="F24" i="36"/>
  <c r="F159" i="36"/>
  <c r="F54" i="36"/>
  <c r="F292" i="36"/>
  <c r="F243" i="36"/>
  <c r="F96" i="36"/>
  <c r="F69" i="36"/>
  <c r="F87" i="36"/>
  <c r="F209" i="36"/>
  <c r="F120" i="36"/>
  <c r="F212" i="36"/>
  <c r="F30" i="36"/>
  <c r="F14" i="36"/>
  <c r="F49" i="36"/>
  <c r="F91" i="36"/>
  <c r="F51" i="36"/>
  <c r="F176" i="36"/>
  <c r="F200" i="36"/>
  <c r="F43" i="36"/>
  <c r="F134" i="36"/>
  <c r="F147" i="36"/>
  <c r="F213" i="36"/>
  <c r="F38" i="36"/>
  <c r="F189" i="36"/>
  <c r="F167" i="36"/>
  <c r="F102" i="36"/>
  <c r="F165" i="36"/>
  <c r="F140" i="36"/>
  <c r="F81" i="36"/>
  <c r="F151" i="36"/>
  <c r="F174" i="36"/>
  <c r="F228" i="36"/>
  <c r="F76" i="36"/>
  <c r="F179" i="36"/>
  <c r="F169" i="36"/>
  <c r="F128" i="36"/>
  <c r="F259" i="36"/>
  <c r="F163" i="36"/>
  <c r="F217" i="36"/>
  <c r="F220" i="36"/>
  <c r="F98" i="36"/>
  <c r="F53" i="36"/>
  <c r="F15" i="36"/>
  <c r="F306" i="36"/>
  <c r="F303" i="36"/>
  <c r="F299" i="36"/>
  <c r="F203" i="36"/>
  <c r="F164" i="36"/>
  <c r="F156" i="36"/>
  <c r="F304" i="36"/>
  <c r="F118" i="36"/>
  <c r="F172" i="36"/>
  <c r="F13" i="36"/>
  <c r="F204" i="36"/>
  <c r="F88" i="36"/>
  <c r="F65" i="36"/>
  <c r="F73" i="36"/>
  <c r="F290" i="36"/>
  <c r="F135" i="36"/>
  <c r="F153" i="36"/>
  <c r="F222" i="36"/>
  <c r="F260" i="36"/>
  <c r="F160" i="36"/>
  <c r="F127" i="36"/>
  <c r="F78" i="36"/>
  <c r="F77" i="36"/>
  <c r="F273" i="36"/>
  <c r="F244" i="36"/>
  <c r="F300" i="36"/>
  <c r="F154" i="36"/>
  <c r="F250" i="36"/>
  <c r="F192" i="36"/>
  <c r="F94" i="36"/>
  <c r="F21" i="36"/>
  <c r="F185" i="36"/>
  <c r="F44" i="36"/>
  <c r="F100" i="36"/>
  <c r="F61" i="36"/>
  <c r="F17" i="36"/>
  <c r="F93" i="36"/>
  <c r="F33" i="36"/>
  <c r="F46" i="36"/>
  <c r="F42" i="36"/>
  <c r="F280" i="36"/>
  <c r="F80" i="36"/>
  <c r="F157" i="36"/>
  <c r="F68" i="36"/>
  <c r="F196" i="36"/>
  <c r="F282" i="36"/>
  <c r="F236" i="36"/>
  <c r="F284" i="36"/>
  <c r="F207" i="36"/>
  <c r="F235" i="36"/>
  <c r="F240" i="36"/>
  <c r="F188" i="36"/>
  <c r="F70" i="36"/>
  <c r="F201" i="36"/>
  <c r="F301" i="36"/>
  <c r="F9" i="36"/>
  <c r="F133" i="36"/>
  <c r="F47" i="36"/>
  <c r="F152" i="36"/>
  <c r="F242" i="36"/>
  <c r="F276" i="36"/>
  <c r="F268" i="36"/>
  <c r="F131" i="36"/>
  <c r="F183" i="36"/>
  <c r="F199" i="36"/>
  <c r="F104" i="36"/>
  <c r="F64" i="36"/>
  <c r="F29" i="36"/>
  <c r="F227" i="36"/>
  <c r="F136" i="36"/>
  <c r="F72" i="36"/>
  <c r="F60" i="36"/>
  <c r="F85" i="36"/>
  <c r="F12" i="36"/>
  <c r="F10" i="36"/>
  <c r="F232" i="36"/>
  <c r="F40" i="36"/>
  <c r="F56" i="36"/>
  <c r="F79" i="36"/>
  <c r="F122" i="36"/>
  <c r="F148" i="36"/>
  <c r="G39" i="36"/>
  <c r="G112" i="36"/>
  <c r="G128" i="36"/>
  <c r="G211" i="36"/>
  <c r="G31" i="36"/>
  <c r="G97" i="36"/>
  <c r="G151" i="36"/>
  <c r="G207" i="36"/>
  <c r="G220" i="36"/>
  <c r="G63" i="36"/>
  <c r="G22" i="36"/>
  <c r="G77" i="36"/>
  <c r="G158" i="36"/>
  <c r="G193" i="36"/>
  <c r="G177" i="36"/>
  <c r="G79" i="36"/>
  <c r="G95" i="36"/>
  <c r="G145" i="36"/>
  <c r="G160" i="36"/>
  <c r="G190" i="36"/>
  <c r="G15" i="36"/>
  <c r="G64" i="36"/>
  <c r="G225" i="36"/>
  <c r="G98" i="36"/>
  <c r="G155" i="36"/>
  <c r="G191" i="36"/>
  <c r="G38" i="36"/>
  <c r="G131" i="36"/>
  <c r="G199" i="36"/>
  <c r="G215" i="36"/>
  <c r="G139" i="36"/>
  <c r="G113" i="36"/>
  <c r="G214" i="36"/>
  <c r="G96" i="36"/>
  <c r="G94" i="36"/>
  <c r="G37" i="36"/>
  <c r="G209" i="36"/>
  <c r="G201" i="36"/>
  <c r="G217" i="36"/>
  <c r="G70" i="36"/>
  <c r="G169" i="36"/>
  <c r="G143" i="36"/>
  <c r="G219" i="36"/>
  <c r="G203" i="36"/>
  <c r="G16" i="36"/>
  <c r="G176" i="36"/>
  <c r="G140" i="36"/>
  <c r="G206" i="36"/>
  <c r="G135" i="36"/>
  <c r="G185" i="36"/>
  <c r="G162" i="36"/>
  <c r="G142" i="36"/>
  <c r="G196" i="36"/>
  <c r="G111" i="36"/>
  <c r="G161" i="36"/>
  <c r="G222" i="36"/>
  <c r="G144" i="36"/>
  <c r="G175" i="36"/>
  <c r="G299" i="36"/>
  <c r="G9" i="36"/>
  <c r="G242" i="36"/>
  <c r="G223" i="36"/>
  <c r="G194" i="36"/>
  <c r="G88" i="36"/>
  <c r="G227" i="36"/>
  <c r="G166" i="36"/>
  <c r="G120" i="36"/>
  <c r="G100" i="36"/>
  <c r="G212" i="36"/>
  <c r="G121" i="36"/>
  <c r="G282" i="36"/>
  <c r="G48" i="36"/>
  <c r="G300" i="36"/>
  <c r="G315" i="36"/>
  <c r="G260" i="36"/>
  <c r="G147" i="36"/>
  <c r="G122" i="36"/>
  <c r="G55" i="36"/>
  <c r="G69" i="36"/>
  <c r="G56" i="36"/>
  <c r="G153" i="36"/>
  <c r="G267" i="36"/>
  <c r="G167" i="36"/>
  <c r="G152" i="36"/>
  <c r="G103" i="36"/>
  <c r="G180" i="36"/>
  <c r="G171" i="36"/>
  <c r="G110" i="36"/>
  <c r="G306" i="36"/>
  <c r="G170" i="36"/>
  <c r="G268" i="36"/>
  <c r="G154" i="36"/>
  <c r="G80" i="36"/>
  <c r="G148" i="36"/>
  <c r="G45" i="36"/>
  <c r="G104" i="36"/>
  <c r="G146" i="36"/>
  <c r="G236" i="36"/>
  <c r="G54" i="36"/>
  <c r="G292" i="36"/>
  <c r="G221" i="36"/>
  <c r="G316" i="36"/>
  <c r="G178" i="36"/>
  <c r="G271" i="36"/>
  <c r="G114" i="36"/>
  <c r="G253" i="36"/>
  <c r="G262" i="36"/>
  <c r="G141" i="36"/>
  <c r="G313" i="36"/>
  <c r="G249" i="36"/>
  <c r="G197" i="36"/>
  <c r="G40" i="36"/>
  <c r="G107" i="36"/>
  <c r="G78" i="36"/>
  <c r="G53" i="36"/>
  <c r="G105" i="36"/>
  <c r="G228" i="36"/>
  <c r="G119" i="36"/>
  <c r="G264" i="36"/>
  <c r="G284" i="36"/>
  <c r="G192" i="36"/>
  <c r="G274" i="36"/>
  <c r="G156" i="36"/>
  <c r="G243" i="36"/>
  <c r="G311" i="36"/>
  <c r="G247" i="36"/>
  <c r="G293" i="36"/>
  <c r="G229" i="36"/>
  <c r="G302" i="36"/>
  <c r="G238" i="36"/>
  <c r="G23" i="36"/>
  <c r="G289" i="36"/>
  <c r="G71" i="36"/>
  <c r="G47" i="36"/>
  <c r="G134" i="36"/>
  <c r="G123" i="36"/>
  <c r="G251" i="36"/>
  <c r="G62" i="36"/>
  <c r="G248" i="36"/>
  <c r="G256" i="36"/>
  <c r="G136" i="36"/>
  <c r="G232" i="36"/>
  <c r="G252" i="36"/>
  <c r="G124" i="36"/>
  <c r="G303" i="36"/>
  <c r="G239" i="36"/>
  <c r="G226" i="36"/>
  <c r="G285" i="36"/>
  <c r="G118" i="36"/>
  <c r="G294" i="36"/>
  <c r="G230" i="36"/>
  <c r="G208" i="36"/>
  <c r="G281" i="36"/>
  <c r="G150" i="36"/>
  <c r="G133" i="36"/>
  <c r="G13" i="36"/>
  <c r="G93" i="36"/>
  <c r="G81" i="36"/>
  <c r="G49" i="36"/>
  <c r="G17" i="36"/>
  <c r="G82" i="36"/>
  <c r="G66" i="36"/>
  <c r="G50" i="36"/>
  <c r="G34" i="36"/>
  <c r="G18" i="36"/>
  <c r="G288" i="36"/>
  <c r="G308" i="36"/>
  <c r="G259" i="36"/>
  <c r="G210" i="36"/>
  <c r="G115" i="36"/>
  <c r="G297" i="36"/>
  <c r="G14" i="36"/>
  <c r="G224" i="36"/>
  <c r="G126" i="36"/>
  <c r="G263" i="36"/>
  <c r="G231" i="36"/>
  <c r="G245" i="36"/>
  <c r="G149" i="36"/>
  <c r="G254" i="36"/>
  <c r="G257" i="36"/>
  <c r="G87" i="36"/>
  <c r="G29" i="36"/>
  <c r="G204" i="36"/>
  <c r="G116" i="36"/>
  <c r="G216" i="36"/>
  <c r="G266" i="36"/>
  <c r="G235" i="36"/>
  <c r="G234" i="36"/>
  <c r="G187" i="36"/>
  <c r="G258" i="36"/>
  <c r="G295" i="36"/>
  <c r="G309" i="36"/>
  <c r="G277" i="36"/>
  <c r="G286" i="36"/>
  <c r="G109" i="36"/>
  <c r="G174" i="36"/>
  <c r="G188" i="36"/>
  <c r="G198" i="36"/>
  <c r="G132" i="36"/>
  <c r="G181" i="36"/>
  <c r="G108" i="36"/>
  <c r="G280" i="36"/>
  <c r="G279" i="36"/>
  <c r="G138" i="36"/>
  <c r="G261" i="36"/>
  <c r="G270" i="36"/>
  <c r="G205" i="36"/>
  <c r="G72" i="36"/>
  <c r="G241" i="36"/>
  <c r="G10" i="36"/>
  <c r="G90" i="36"/>
  <c r="G83" i="36"/>
  <c r="G84" i="36"/>
  <c r="G20" i="36"/>
  <c r="G172" i="36"/>
  <c r="G195" i="36"/>
  <c r="G163" i="36"/>
  <c r="G130" i="36"/>
  <c r="G240" i="36"/>
  <c r="G290" i="36"/>
  <c r="G32" i="36"/>
  <c r="G298" i="36"/>
  <c r="G168" i="36"/>
  <c r="G165" i="36"/>
  <c r="G305" i="36"/>
  <c r="G273" i="36"/>
  <c r="G127" i="36"/>
  <c r="G25" i="36"/>
  <c r="G44" i="36"/>
  <c r="G304" i="36"/>
  <c r="G250" i="36"/>
  <c r="G283" i="36"/>
  <c r="G269" i="36"/>
  <c r="G179" i="36"/>
  <c r="G85" i="36"/>
  <c r="G28" i="36"/>
  <c r="G272" i="36"/>
  <c r="G117" i="36"/>
  <c r="G157" i="36"/>
  <c r="G26" i="36"/>
  <c r="G296" i="36"/>
  <c r="G74" i="36"/>
  <c r="G11" i="36"/>
  <c r="G129" i="36"/>
  <c r="G244" i="36"/>
  <c r="G312" i="36"/>
  <c r="G307" i="36"/>
  <c r="G21" i="36"/>
  <c r="G61" i="36"/>
  <c r="G33" i="36"/>
  <c r="G58" i="36"/>
  <c r="G237" i="36"/>
  <c r="G213" i="36"/>
  <c r="G182" i="36"/>
  <c r="G200" i="36"/>
  <c r="G137" i="36"/>
  <c r="G24" i="36"/>
  <c r="G291" i="36"/>
  <c r="G159" i="36"/>
  <c r="G218" i="36"/>
  <c r="G287" i="36"/>
  <c r="G246" i="36"/>
  <c r="G233" i="36"/>
  <c r="G65" i="36"/>
  <c r="G59" i="36"/>
  <c r="G19" i="36"/>
  <c r="G92" i="36"/>
  <c r="G76" i="36"/>
  <c r="G184" i="36"/>
  <c r="G276" i="36"/>
  <c r="G99" i="36"/>
  <c r="G275" i="36"/>
  <c r="G189" i="36"/>
  <c r="G255" i="36"/>
  <c r="G310" i="36"/>
  <c r="G46" i="36"/>
  <c r="G73" i="36"/>
  <c r="G57" i="36"/>
  <c r="G75" i="36"/>
  <c r="G68" i="36"/>
  <c r="G52" i="36"/>
  <c r="G36" i="36"/>
  <c r="G202" i="36"/>
  <c r="G86" i="36"/>
  <c r="G301" i="36"/>
  <c r="G106" i="36"/>
  <c r="G125" i="36"/>
  <c r="G30" i="36"/>
  <c r="G101" i="36"/>
  <c r="G89" i="36"/>
  <c r="G41" i="36"/>
  <c r="G42" i="36"/>
  <c r="G51" i="36"/>
  <c r="G27" i="36"/>
  <c r="G314" i="36"/>
  <c r="G183" i="36"/>
  <c r="G173" i="36"/>
  <c r="G278" i="36"/>
  <c r="G186" i="36"/>
  <c r="G265" i="36"/>
  <c r="G91" i="36"/>
  <c r="G67" i="36"/>
  <c r="G43" i="36"/>
  <c r="G12" i="36"/>
  <c r="G60" i="36"/>
  <c r="G164" i="36"/>
  <c r="G102" i="36"/>
  <c r="G35" i="36"/>
  <c r="E25" i="36"/>
  <c r="E31" i="36"/>
  <c r="E46" i="36"/>
  <c r="E92" i="36"/>
  <c r="E101" i="36"/>
  <c r="E153" i="36"/>
  <c r="E180" i="36"/>
  <c r="E210" i="36"/>
  <c r="E277" i="36"/>
  <c r="E17" i="36"/>
  <c r="E20" i="36"/>
  <c r="E89" i="36"/>
  <c r="E226" i="36"/>
  <c r="E93" i="36"/>
  <c r="E283" i="36"/>
  <c r="E301" i="36"/>
  <c r="E313" i="36"/>
  <c r="E105" i="36"/>
  <c r="E142" i="36"/>
  <c r="E165" i="36"/>
  <c r="E206" i="36"/>
  <c r="E52" i="36"/>
  <c r="E143" i="36"/>
  <c r="E186" i="36"/>
  <c r="E152" i="36"/>
  <c r="E157" i="36"/>
  <c r="E111" i="36"/>
  <c r="E39" i="36"/>
  <c r="E175" i="36"/>
  <c r="E106" i="36"/>
  <c r="E71" i="36"/>
  <c r="E315" i="36"/>
  <c r="E112" i="36"/>
  <c r="E60" i="36"/>
  <c r="E100" i="36"/>
  <c r="E133" i="36"/>
  <c r="E249" i="36"/>
  <c r="E125" i="36"/>
  <c r="E209" i="36"/>
  <c r="E309" i="36"/>
  <c r="E201" i="36"/>
  <c r="E73" i="36"/>
  <c r="E145" i="36"/>
  <c r="E169" i="36"/>
  <c r="E197" i="36"/>
  <c r="E21" i="36"/>
  <c r="E231" i="36"/>
  <c r="E285" i="36"/>
  <c r="E247" i="36"/>
  <c r="E182" i="36"/>
  <c r="E279" i="36"/>
  <c r="E270" i="36"/>
  <c r="E251" i="36"/>
  <c r="E29" i="36"/>
  <c r="E261" i="36"/>
  <c r="E85" i="36"/>
  <c r="E166" i="36"/>
  <c r="E273" i="36"/>
  <c r="E196" i="36"/>
  <c r="E188" i="36"/>
  <c r="E121" i="36"/>
  <c r="E255" i="36"/>
  <c r="E103" i="36"/>
  <c r="E84" i="36"/>
  <c r="E120" i="36"/>
  <c r="E287" i="36"/>
  <c r="E79" i="36"/>
  <c r="E174" i="36"/>
  <c r="E204" i="36"/>
  <c r="E134" i="36"/>
  <c r="E303" i="36"/>
  <c r="E275" i="36"/>
  <c r="E238" i="36"/>
  <c r="E222" i="36"/>
  <c r="E271" i="36"/>
  <c r="E173" i="36"/>
  <c r="E263" i="36"/>
  <c r="E278" i="36"/>
  <c r="E183" i="36"/>
  <c r="E235" i="36"/>
  <c r="E53" i="36"/>
  <c r="E199" i="36"/>
  <c r="E269" i="36"/>
  <c r="E68" i="36"/>
  <c r="E233" i="36"/>
  <c r="E162" i="36"/>
  <c r="E177" i="36"/>
  <c r="E118" i="36"/>
  <c r="E86" i="36"/>
  <c r="E228" i="36"/>
  <c r="E239" i="36"/>
  <c r="E159" i="36"/>
  <c r="E198" i="36"/>
  <c r="E109" i="36"/>
  <c r="E129" i="36"/>
  <c r="E294" i="36"/>
  <c r="E262" i="36"/>
  <c r="E246" i="36"/>
  <c r="E130" i="36"/>
  <c r="E305" i="36"/>
  <c r="E45" i="36"/>
  <c r="E306" i="36"/>
  <c r="E266" i="36"/>
  <c r="E213" i="36"/>
  <c r="E151" i="36"/>
  <c r="E297" i="36"/>
  <c r="E245" i="36"/>
  <c r="E97" i="36"/>
  <c r="E259" i="36"/>
  <c r="E148" i="36"/>
  <c r="E224" i="36"/>
  <c r="E236" i="36"/>
  <c r="E288" i="36"/>
  <c r="E291" i="36"/>
  <c r="E141" i="36"/>
  <c r="E164" i="36"/>
  <c r="E311" i="36"/>
  <c r="E190" i="36"/>
  <c r="E286" i="36"/>
  <c r="E205" i="36"/>
  <c r="E193" i="36"/>
  <c r="E33" i="36"/>
  <c r="E241" i="36"/>
  <c r="E137" i="36"/>
  <c r="E110" i="36"/>
  <c r="E300" i="36"/>
  <c r="E123" i="36"/>
  <c r="E260" i="36"/>
  <c r="E10" i="36"/>
  <c r="E161" i="36"/>
  <c r="E212" i="36"/>
  <c r="E295" i="36"/>
  <c r="E257" i="36"/>
  <c r="E146" i="36"/>
  <c r="E178" i="36"/>
  <c r="E242" i="36"/>
  <c r="E154" i="36"/>
  <c r="E62" i="36"/>
  <c r="E248" i="36"/>
  <c r="E298" i="36"/>
  <c r="E256" i="36"/>
  <c r="E234" i="36"/>
  <c r="E181" i="36"/>
  <c r="E243" i="36"/>
  <c r="E293" i="36"/>
  <c r="E217" i="36"/>
  <c r="E119" i="36"/>
  <c r="E312" i="36"/>
  <c r="E290" i="36"/>
  <c r="E192" i="36"/>
  <c r="E191" i="36"/>
  <c r="E187" i="36"/>
  <c r="E308" i="36"/>
  <c r="E202" i="36"/>
  <c r="E96" i="36"/>
  <c r="E219" i="36"/>
  <c r="E172" i="36"/>
  <c r="E229" i="36"/>
  <c r="E265" i="36"/>
  <c r="E36" i="36"/>
  <c r="E15" i="36"/>
  <c r="E49" i="36"/>
  <c r="E77" i="36"/>
  <c r="E250" i="36"/>
  <c r="E216" i="36"/>
  <c r="E147" i="36"/>
  <c r="E99" i="36"/>
  <c r="E280" i="36"/>
  <c r="E189" i="36"/>
  <c r="E102" i="36"/>
  <c r="E163" i="36"/>
  <c r="E176" i="36"/>
  <c r="E135" i="36"/>
  <c r="E139" i="36"/>
  <c r="E78" i="36"/>
  <c r="E194" i="36"/>
  <c r="E289" i="36"/>
  <c r="E150" i="36"/>
  <c r="E215" i="36"/>
  <c r="E220" i="36"/>
  <c r="E302" i="36"/>
  <c r="E214" i="36"/>
  <c r="E310" i="36"/>
  <c r="E244" i="36"/>
  <c r="E276" i="36"/>
  <c r="E240" i="36"/>
  <c r="E284" i="36"/>
  <c r="E94" i="36"/>
  <c r="E168" i="36"/>
  <c r="E38" i="36"/>
  <c r="E267" i="36"/>
  <c r="E138" i="36"/>
  <c r="E155" i="36"/>
  <c r="E12" i="36"/>
  <c r="E90" i="36"/>
  <c r="E74" i="36"/>
  <c r="E185" i="36"/>
  <c r="E95" i="36"/>
  <c r="E104" i="36"/>
  <c r="E57" i="36"/>
  <c r="E304" i="36"/>
  <c r="E223" i="36"/>
  <c r="E55" i="36"/>
  <c r="E170" i="36"/>
  <c r="E221" i="36"/>
  <c r="E252" i="36"/>
  <c r="E195" i="36"/>
  <c r="E114" i="36"/>
  <c r="E23" i="36"/>
  <c r="E61" i="36"/>
  <c r="E47" i="36"/>
  <c r="E113" i="36"/>
  <c r="E264" i="36"/>
  <c r="E203" i="36"/>
  <c r="E314" i="36"/>
  <c r="E296" i="36"/>
  <c r="E136" i="36"/>
  <c r="E218" i="36"/>
  <c r="E179" i="36"/>
  <c r="E211" i="36"/>
  <c r="E22" i="36"/>
  <c r="E76" i="36"/>
  <c r="E230" i="36"/>
  <c r="E28" i="36"/>
  <c r="E282" i="36"/>
  <c r="E122" i="36"/>
  <c r="E227" i="36"/>
  <c r="E128" i="36"/>
  <c r="E184" i="36"/>
  <c r="E140" i="36"/>
  <c r="E81" i="36"/>
  <c r="E149" i="36"/>
  <c r="E87" i="36"/>
  <c r="E14" i="36"/>
  <c r="E127" i="36"/>
  <c r="E253" i="36"/>
  <c r="E281" i="36"/>
  <c r="E65" i="36"/>
  <c r="E9" i="36"/>
  <c r="E299" i="36"/>
  <c r="E272" i="36"/>
  <c r="E232" i="36"/>
  <c r="E131" i="36"/>
  <c r="E258" i="36"/>
  <c r="E207" i="36"/>
  <c r="E69" i="36"/>
  <c r="E117" i="36"/>
  <c r="E41" i="36"/>
  <c r="E88" i="36"/>
  <c r="E64" i="36"/>
  <c r="E40" i="36"/>
  <c r="E66" i="36"/>
  <c r="E50" i="36"/>
  <c r="E34" i="36"/>
  <c r="E18" i="36"/>
  <c r="E59" i="36"/>
  <c r="E116" i="36"/>
  <c r="E70" i="36"/>
  <c r="E254" i="36"/>
  <c r="E98" i="36"/>
  <c r="E160" i="36"/>
  <c r="E316" i="36"/>
  <c r="E167" i="36"/>
  <c r="E158" i="36"/>
  <c r="E115" i="36"/>
  <c r="E107" i="36"/>
  <c r="E82" i="36"/>
  <c r="E83" i="36"/>
  <c r="E19" i="36"/>
  <c r="E63" i="36"/>
  <c r="E126" i="36"/>
  <c r="E108" i="36"/>
  <c r="E274" i="36"/>
  <c r="E11" i="36"/>
  <c r="E13" i="36"/>
  <c r="E225" i="36"/>
  <c r="E48" i="36"/>
  <c r="E58" i="36"/>
  <c r="E132" i="36"/>
  <c r="E237" i="36"/>
  <c r="E124" i="36"/>
  <c r="E144" i="36"/>
  <c r="E171" i="36"/>
  <c r="E80" i="36"/>
  <c r="E32" i="36"/>
  <c r="E16" i="36"/>
  <c r="E200" i="36"/>
  <c r="E91" i="36"/>
  <c r="E307" i="36"/>
  <c r="E268" i="36"/>
  <c r="E156" i="36"/>
  <c r="E208" i="36"/>
  <c r="E37" i="36"/>
  <c r="E24" i="36"/>
  <c r="E54" i="36"/>
  <c r="E72" i="36"/>
  <c r="E56" i="36"/>
  <c r="E67" i="36"/>
  <c r="E51" i="36"/>
  <c r="E35" i="36"/>
  <c r="E292" i="36"/>
  <c r="E44" i="36"/>
  <c r="E26" i="36"/>
  <c r="E42" i="36"/>
  <c r="E43" i="36"/>
  <c r="E27" i="36"/>
  <c r="E75" i="36"/>
  <c r="E30" i="36"/>
  <c r="D20" i="36"/>
  <c r="D171" i="36"/>
  <c r="D111" i="36"/>
  <c r="D181" i="36"/>
  <c r="D190" i="36"/>
  <c r="D11" i="36"/>
  <c r="D77" i="36"/>
  <c r="D145" i="36"/>
  <c r="D35" i="36"/>
  <c r="D107" i="36"/>
  <c r="D217" i="36"/>
  <c r="D208" i="36"/>
  <c r="D91" i="36"/>
  <c r="D169" i="36"/>
  <c r="D33" i="36"/>
  <c r="D75" i="36"/>
  <c r="D196" i="36"/>
  <c r="D219" i="36"/>
  <c r="D200" i="36"/>
  <c r="D110" i="36"/>
  <c r="D153" i="36"/>
  <c r="D201" i="36"/>
  <c r="D92" i="36"/>
  <c r="D214" i="36"/>
  <c r="D44" i="36"/>
  <c r="D76" i="36"/>
  <c r="D172" i="36"/>
  <c r="D166" i="36"/>
  <c r="D225" i="36"/>
  <c r="D103" i="36"/>
  <c r="D84" i="36"/>
  <c r="D45" i="36"/>
  <c r="D10" i="36"/>
  <c r="D25" i="36"/>
  <c r="D68" i="36"/>
  <c r="D220" i="36"/>
  <c r="D184" i="36"/>
  <c r="D129" i="36"/>
  <c r="D211" i="36"/>
  <c r="D65" i="36"/>
  <c r="D139" i="36"/>
  <c r="D56" i="36"/>
  <c r="D195" i="36"/>
  <c r="D64" i="36"/>
  <c r="D222" i="36"/>
  <c r="D36" i="36"/>
  <c r="D158" i="36"/>
  <c r="D41" i="36"/>
  <c r="D204" i="36"/>
  <c r="D152" i="36"/>
  <c r="D188" i="36"/>
  <c r="D163" i="36"/>
  <c r="D125" i="36"/>
  <c r="D198" i="36"/>
  <c r="D109" i="36"/>
  <c r="D228" i="36"/>
  <c r="D13" i="36"/>
  <c r="D176" i="36"/>
  <c r="D19" i="36"/>
  <c r="D121" i="36"/>
  <c r="D227" i="36"/>
  <c r="D52" i="36"/>
  <c r="D97" i="36"/>
  <c r="D120" i="36"/>
  <c r="D161" i="36"/>
  <c r="D180" i="36"/>
  <c r="D43" i="36"/>
  <c r="D105" i="36"/>
  <c r="D206" i="36"/>
  <c r="D32" i="36"/>
  <c r="D291" i="36"/>
  <c r="D236" i="36"/>
  <c r="D288" i="36"/>
  <c r="D251" i="36"/>
  <c r="D147" i="36"/>
  <c r="D99" i="36"/>
  <c r="D12" i="36"/>
  <c r="D149" i="36"/>
  <c r="D57" i="36"/>
  <c r="D29" i="36"/>
  <c r="D89" i="36"/>
  <c r="D95" i="36"/>
  <c r="D27" i="36"/>
  <c r="D16" i="36"/>
  <c r="D14" i="36"/>
  <c r="D146" i="36"/>
  <c r="D276" i="36"/>
  <c r="D154" i="36"/>
  <c r="D137" i="36"/>
  <c r="D119" i="36"/>
  <c r="D203" i="36"/>
  <c r="D67" i="36"/>
  <c r="D80" i="36"/>
  <c r="D157" i="36"/>
  <c r="D267" i="36"/>
  <c r="D224" i="36"/>
  <c r="D194" i="36"/>
  <c r="D312" i="36"/>
  <c r="D314" i="36"/>
  <c r="D283" i="36"/>
  <c r="D83" i="36"/>
  <c r="D250" i="36"/>
  <c r="D282" i="36"/>
  <c r="D9" i="36"/>
  <c r="D306" i="36"/>
  <c r="D315" i="36"/>
  <c r="D223" i="36"/>
  <c r="D275" i="36"/>
  <c r="D94" i="36"/>
  <c r="D156" i="36"/>
  <c r="D280" i="36"/>
  <c r="D258" i="36"/>
  <c r="D189" i="36"/>
  <c r="D255" i="36"/>
  <c r="D215" i="36"/>
  <c r="D301" i="36"/>
  <c r="D237" i="36"/>
  <c r="D310" i="36"/>
  <c r="D246" i="36"/>
  <c r="D106" i="36"/>
  <c r="D297" i="36"/>
  <c r="D233" i="36"/>
  <c r="D135" i="36"/>
  <c r="D60" i="36"/>
  <c r="D193" i="36"/>
  <c r="D209" i="36"/>
  <c r="D148" i="36"/>
  <c r="D59" i="36"/>
  <c r="D212" i="36"/>
  <c r="D143" i="36"/>
  <c r="D78" i="36"/>
  <c r="D128" i="36"/>
  <c r="D268" i="36"/>
  <c r="D221" i="36"/>
  <c r="D259" i="36"/>
  <c r="D295" i="36"/>
  <c r="D231" i="36"/>
  <c r="D277" i="36"/>
  <c r="D144" i="36"/>
  <c r="D286" i="36"/>
  <c r="D186" i="36"/>
  <c r="D273" i="36"/>
  <c r="D197" i="36"/>
  <c r="D28" i="36"/>
  <c r="D162" i="36"/>
  <c r="D98" i="36"/>
  <c r="D22" i="36"/>
  <c r="D51" i="36"/>
  <c r="D185" i="36"/>
  <c r="D299" i="36"/>
  <c r="D304" i="36"/>
  <c r="D300" i="36"/>
  <c r="D122" i="36"/>
  <c r="D132" i="36"/>
  <c r="D296" i="36"/>
  <c r="D298" i="36"/>
  <c r="D234" i="36"/>
  <c r="D213" i="36"/>
  <c r="D187" i="36"/>
  <c r="D272" i="36"/>
  <c r="D287" i="36"/>
  <c r="D269" i="36"/>
  <c r="D278" i="36"/>
  <c r="D115" i="36"/>
  <c r="D72" i="36"/>
  <c r="D265" i="36"/>
  <c r="D174" i="36"/>
  <c r="D127" i="36"/>
  <c r="D71" i="36"/>
  <c r="D39" i="36"/>
  <c r="D113" i="36"/>
  <c r="D100" i="36"/>
  <c r="D264" i="36"/>
  <c r="D248" i="36"/>
  <c r="D136" i="36"/>
  <c r="D271" i="36"/>
  <c r="D239" i="36"/>
  <c r="D253" i="36"/>
  <c r="D142" i="36"/>
  <c r="D262" i="36"/>
  <c r="D230" i="36"/>
  <c r="D40" i="36"/>
  <c r="D104" i="36"/>
  <c r="D93" i="36"/>
  <c r="D134" i="36"/>
  <c r="D256" i="36"/>
  <c r="D307" i="36"/>
  <c r="D303" i="36"/>
  <c r="D140" i="36"/>
  <c r="D81" i="36"/>
  <c r="D285" i="36"/>
  <c r="D294" i="36"/>
  <c r="D130" i="36"/>
  <c r="D73" i="36"/>
  <c r="D177" i="36"/>
  <c r="D101" i="36"/>
  <c r="D24" i="36"/>
  <c r="D242" i="36"/>
  <c r="D284" i="36"/>
  <c r="D292" i="36"/>
  <c r="D308" i="36"/>
  <c r="D202" i="36"/>
  <c r="D243" i="36"/>
  <c r="D216" i="36"/>
  <c r="D183" i="36"/>
  <c r="D263" i="36"/>
  <c r="D96" i="36"/>
  <c r="D245" i="36"/>
  <c r="D199" i="36"/>
  <c r="D254" i="36"/>
  <c r="D179" i="36"/>
  <c r="D141" i="36"/>
  <c r="D53" i="36"/>
  <c r="D112" i="36"/>
  <c r="D70" i="36"/>
  <c r="D244" i="36"/>
  <c r="D159" i="36"/>
  <c r="D192" i="36"/>
  <c r="D274" i="36"/>
  <c r="D316" i="36"/>
  <c r="D182" i="36"/>
  <c r="D86" i="36"/>
  <c r="D313" i="36"/>
  <c r="D281" i="36"/>
  <c r="D150" i="36"/>
  <c r="D85" i="36"/>
  <c r="D49" i="36"/>
  <c r="D15" i="36"/>
  <c r="D34" i="36"/>
  <c r="D126" i="36"/>
  <c r="D62" i="36"/>
  <c r="D191" i="36"/>
  <c r="D131" i="36"/>
  <c r="D218" i="36"/>
  <c r="D102" i="36"/>
  <c r="D247" i="36"/>
  <c r="D229" i="36"/>
  <c r="D173" i="36"/>
  <c r="D238" i="36"/>
  <c r="D205" i="36"/>
  <c r="D241" i="36"/>
  <c r="D30" i="36"/>
  <c r="D87" i="36"/>
  <c r="D63" i="36"/>
  <c r="D58" i="36"/>
  <c r="D61" i="36"/>
  <c r="D21" i="36"/>
  <c r="D46" i="36"/>
  <c r="D175" i="36"/>
  <c r="D240" i="36"/>
  <c r="D178" i="36"/>
  <c r="D235" i="36"/>
  <c r="D167" i="36"/>
  <c r="D226" i="36"/>
  <c r="D69" i="36"/>
  <c r="D151" i="36"/>
  <c r="D257" i="36"/>
  <c r="D42" i="36"/>
  <c r="D114" i="36"/>
  <c r="D17" i="36"/>
  <c r="D48" i="36"/>
  <c r="D170" i="36"/>
  <c r="D108" i="36"/>
  <c r="D124" i="36"/>
  <c r="D311" i="36"/>
  <c r="D138" i="36"/>
  <c r="D270" i="36"/>
  <c r="D249" i="36"/>
  <c r="D133" i="36"/>
  <c r="D88" i="36"/>
  <c r="D168" i="36"/>
  <c r="D118" i="36"/>
  <c r="D37" i="36"/>
  <c r="D164" i="36"/>
  <c r="D232" i="36"/>
  <c r="D261" i="36"/>
  <c r="D155" i="36"/>
  <c r="D47" i="36"/>
  <c r="D290" i="36"/>
  <c r="D207" i="36"/>
  <c r="D79" i="36"/>
  <c r="D31" i="36"/>
  <c r="D117" i="36"/>
  <c r="D90" i="36"/>
  <c r="D123" i="36"/>
  <c r="D54" i="36"/>
  <c r="D165" i="36"/>
  <c r="D309" i="36"/>
  <c r="D210" i="36"/>
  <c r="D289" i="36"/>
  <c r="D18" i="36"/>
  <c r="D116" i="36"/>
  <c r="D266" i="36"/>
  <c r="D302" i="36"/>
  <c r="D23" i="36"/>
  <c r="D260" i="36"/>
  <c r="D38" i="36"/>
  <c r="D252" i="36"/>
  <c r="D160" i="36"/>
  <c r="D293" i="36"/>
  <c r="D55" i="36"/>
  <c r="D82" i="36"/>
  <c r="D66" i="36"/>
  <c r="D50" i="36"/>
  <c r="D26" i="36"/>
  <c r="D279" i="36"/>
  <c r="D305" i="36"/>
  <c r="D74" i="36"/>
  <c r="J17" i="36"/>
  <c r="J198" i="36"/>
  <c r="J72" i="36"/>
  <c r="J208" i="36"/>
  <c r="J64" i="36"/>
  <c r="J219" i="36"/>
  <c r="J97" i="36"/>
  <c r="J137" i="36"/>
  <c r="J211" i="36"/>
  <c r="J145" i="36"/>
  <c r="J195" i="36"/>
  <c r="J101" i="36"/>
  <c r="J95" i="36"/>
  <c r="J153" i="36"/>
  <c r="J22" i="36"/>
  <c r="J120" i="36"/>
  <c r="J80" i="36"/>
  <c r="J49" i="36"/>
  <c r="J200" i="36"/>
  <c r="J111" i="36"/>
  <c r="J57" i="36"/>
  <c r="J217" i="36"/>
  <c r="J103" i="36"/>
  <c r="J46" i="36"/>
  <c r="J221" i="36"/>
  <c r="J146" i="36"/>
  <c r="J276" i="36"/>
  <c r="J154" i="36"/>
  <c r="J177" i="36"/>
  <c r="J201" i="36"/>
  <c r="J169" i="36"/>
  <c r="J222" i="36"/>
  <c r="J14" i="36"/>
  <c r="J121" i="36"/>
  <c r="J25" i="36"/>
  <c r="J89" i="36"/>
  <c r="J299" i="36"/>
  <c r="J216" i="36"/>
  <c r="J119" i="36"/>
  <c r="J242" i="36"/>
  <c r="J194" i="36"/>
  <c r="J40" i="36"/>
  <c r="J209" i="36"/>
  <c r="J73" i="36"/>
  <c r="J30" i="36"/>
  <c r="J190" i="36"/>
  <c r="J244" i="36"/>
  <c r="J24" i="36"/>
  <c r="J304" i="36"/>
  <c r="J240" i="36"/>
  <c r="J178" i="36"/>
  <c r="J48" i="36"/>
  <c r="J306" i="36"/>
  <c r="J264" i="36"/>
  <c r="J266" i="36"/>
  <c r="J223" i="36"/>
  <c r="J122" i="36"/>
  <c r="J206" i="36"/>
  <c r="J16" i="36"/>
  <c r="J197" i="36"/>
  <c r="J250" i="36"/>
  <c r="J282" i="36"/>
  <c r="J9" i="36"/>
  <c r="J291" i="36"/>
  <c r="J315" i="36"/>
  <c r="J275" i="36"/>
  <c r="J54" i="36"/>
  <c r="J94" i="36"/>
  <c r="J147" i="36"/>
  <c r="J99" i="36"/>
  <c r="J132" i="36"/>
  <c r="J268" i="36"/>
  <c r="J224" i="36"/>
  <c r="J108" i="36"/>
  <c r="J259" i="36"/>
  <c r="J124" i="36"/>
  <c r="J295" i="36"/>
  <c r="J231" i="36"/>
  <c r="J182" i="36"/>
  <c r="J163" i="36"/>
  <c r="J158" i="36"/>
  <c r="J277" i="36"/>
  <c r="J151" i="36"/>
  <c r="J144" i="36"/>
  <c r="J286" i="36"/>
  <c r="J176" i="36"/>
  <c r="J273" i="36"/>
  <c r="J127" i="36"/>
  <c r="J180" i="36"/>
  <c r="J162" i="36"/>
  <c r="J139" i="36"/>
  <c r="J116" i="36"/>
  <c r="J189" i="36"/>
  <c r="J184" i="36"/>
  <c r="J129" i="36"/>
  <c r="J113" i="36"/>
  <c r="J126" i="36"/>
  <c r="J236" i="36"/>
  <c r="J260" i="36"/>
  <c r="J159" i="36"/>
  <c r="J292" i="36"/>
  <c r="J168" i="36"/>
  <c r="J316" i="36"/>
  <c r="J207" i="36"/>
  <c r="J167" i="36"/>
  <c r="J271" i="36"/>
  <c r="J138" i="36"/>
  <c r="J81" i="36"/>
  <c r="J253" i="36"/>
  <c r="J199" i="36"/>
  <c r="J118" i="36"/>
  <c r="J262" i="36"/>
  <c r="J115" i="36"/>
  <c r="J313" i="36"/>
  <c r="J249" i="36"/>
  <c r="J104" i="36"/>
  <c r="J220" i="36"/>
  <c r="J188" i="36"/>
  <c r="J192" i="36"/>
  <c r="J193" i="36"/>
  <c r="J290" i="36"/>
  <c r="J170" i="36"/>
  <c r="J235" i="36"/>
  <c r="J131" i="36"/>
  <c r="J218" i="36"/>
  <c r="J183" i="36"/>
  <c r="J263" i="36"/>
  <c r="J165" i="36"/>
  <c r="J160" i="36"/>
  <c r="J140" i="36"/>
  <c r="J86" i="36"/>
  <c r="J309" i="36"/>
  <c r="J245" i="36"/>
  <c r="J173" i="36"/>
  <c r="J149" i="36"/>
  <c r="J142" i="36"/>
  <c r="J254" i="36"/>
  <c r="J179" i="36"/>
  <c r="J117" i="36"/>
  <c r="J305" i="36"/>
  <c r="J241" i="36"/>
  <c r="J41" i="36"/>
  <c r="J171" i="36"/>
  <c r="J148" i="36"/>
  <c r="J130" i="36"/>
  <c r="J100" i="36"/>
  <c r="J88" i="36"/>
  <c r="J56" i="36"/>
  <c r="J112" i="36"/>
  <c r="J18" i="36"/>
  <c r="J128" i="36"/>
  <c r="J314" i="36"/>
  <c r="J296" i="36"/>
  <c r="J256" i="36"/>
  <c r="J307" i="36"/>
  <c r="J303" i="36"/>
  <c r="J285" i="36"/>
  <c r="J294" i="36"/>
  <c r="J186" i="36"/>
  <c r="J141" i="36"/>
  <c r="J265" i="36"/>
  <c r="J233" i="36"/>
  <c r="J228" i="36"/>
  <c r="J166" i="36"/>
  <c r="J98" i="36"/>
  <c r="J152" i="36"/>
  <c r="J78" i="36"/>
  <c r="J32" i="36"/>
  <c r="J288" i="36"/>
  <c r="J284" i="36"/>
  <c r="J164" i="36"/>
  <c r="J213" i="36"/>
  <c r="J308" i="36"/>
  <c r="J156" i="36"/>
  <c r="J243" i="36"/>
  <c r="J96" i="36"/>
  <c r="J210" i="36"/>
  <c r="J106" i="36"/>
  <c r="J297" i="36"/>
  <c r="J172" i="36"/>
  <c r="J133" i="36"/>
  <c r="J110" i="36"/>
  <c r="J161" i="36"/>
  <c r="J289" i="36"/>
  <c r="J257" i="36"/>
  <c r="J212" i="36"/>
  <c r="J157" i="36"/>
  <c r="J125" i="36"/>
  <c r="J70" i="36"/>
  <c r="J185" i="36"/>
  <c r="J105" i="36"/>
  <c r="J267" i="36"/>
  <c r="J300" i="36"/>
  <c r="J123" i="36"/>
  <c r="J191" i="36"/>
  <c r="J283" i="36"/>
  <c r="J102" i="36"/>
  <c r="J247" i="36"/>
  <c r="J301" i="36"/>
  <c r="J229" i="36"/>
  <c r="J310" i="36"/>
  <c r="J238" i="36"/>
  <c r="J155" i="36"/>
  <c r="J196" i="36"/>
  <c r="J175" i="36"/>
  <c r="J143" i="36"/>
  <c r="J69" i="36"/>
  <c r="J13" i="36"/>
  <c r="J91" i="36"/>
  <c r="J71" i="36"/>
  <c r="J214" i="36"/>
  <c r="J251" i="36"/>
  <c r="J136" i="36"/>
  <c r="J280" i="36"/>
  <c r="J252" i="36"/>
  <c r="J311" i="36"/>
  <c r="J279" i="36"/>
  <c r="J215" i="36"/>
  <c r="J114" i="36"/>
  <c r="J293" i="36"/>
  <c r="J261" i="36"/>
  <c r="J302" i="36"/>
  <c r="J270" i="36"/>
  <c r="J174" i="36"/>
  <c r="J135" i="36"/>
  <c r="J90" i="36"/>
  <c r="J36" i="36"/>
  <c r="J12" i="36"/>
  <c r="J85" i="36"/>
  <c r="J29" i="36"/>
  <c r="J27" i="36"/>
  <c r="J31" i="36"/>
  <c r="J205" i="36"/>
  <c r="J109" i="36"/>
  <c r="J227" i="36"/>
  <c r="J38" i="36"/>
  <c r="J278" i="36"/>
  <c r="J58" i="36"/>
  <c r="J51" i="36"/>
  <c r="J39" i="36"/>
  <c r="J230" i="36"/>
  <c r="J76" i="36"/>
  <c r="J28" i="36"/>
  <c r="J43" i="36"/>
  <c r="J225" i="36"/>
  <c r="J232" i="36"/>
  <c r="J226" i="36"/>
  <c r="J269" i="36"/>
  <c r="J83" i="36"/>
  <c r="J35" i="36"/>
  <c r="J77" i="36"/>
  <c r="J60" i="36"/>
  <c r="J55" i="36"/>
  <c r="J312" i="36"/>
  <c r="J234" i="36"/>
  <c r="J204" i="36"/>
  <c r="J65" i="36"/>
  <c r="J33" i="36"/>
  <c r="J67" i="36"/>
  <c r="J53" i="36"/>
  <c r="J45" i="36"/>
  <c r="J272" i="36"/>
  <c r="J82" i="36"/>
  <c r="J187" i="36"/>
  <c r="J258" i="36"/>
  <c r="J107" i="36"/>
  <c r="J134" i="36"/>
  <c r="J50" i="36"/>
  <c r="J11" i="36"/>
  <c r="J74" i="36"/>
  <c r="J87" i="36"/>
  <c r="J62" i="36"/>
  <c r="J248" i="36"/>
  <c r="J298" i="36"/>
  <c r="J181" i="36"/>
  <c r="J255" i="36"/>
  <c r="J281" i="36"/>
  <c r="J150" i="36"/>
  <c r="J42" i="36"/>
  <c r="J61" i="36"/>
  <c r="J66" i="36"/>
  <c r="J15" i="36"/>
  <c r="J10" i="36"/>
  <c r="J203" i="36"/>
  <c r="J202" i="36"/>
  <c r="J274" i="36"/>
  <c r="J239" i="36"/>
  <c r="J84" i="36"/>
  <c r="J68" i="36"/>
  <c r="J20" i="36"/>
  <c r="J75" i="36"/>
  <c r="J37" i="36"/>
  <c r="J34" i="36"/>
  <c r="J52" i="36"/>
  <c r="J59" i="36"/>
  <c r="J26" i="36"/>
  <c r="J79" i="36"/>
  <c r="J63" i="36"/>
  <c r="J47" i="36"/>
  <c r="J287" i="36"/>
  <c r="J246" i="36"/>
  <c r="J44" i="36"/>
  <c r="J19" i="36"/>
  <c r="J23" i="36"/>
  <c r="J237" i="36"/>
  <c r="J92" i="36"/>
  <c r="J93" i="36"/>
  <c r="J21" i="36"/>
  <c r="H71" i="36"/>
  <c r="H143" i="36"/>
  <c r="H175" i="36"/>
  <c r="H188" i="36"/>
  <c r="H281" i="36"/>
  <c r="H299" i="36"/>
  <c r="H226" i="36"/>
  <c r="H65" i="36"/>
  <c r="H116" i="36"/>
  <c r="H153" i="36"/>
  <c r="H162" i="36"/>
  <c r="H180" i="36"/>
  <c r="H210" i="36"/>
  <c r="H237" i="36"/>
  <c r="H277" i="36"/>
  <c r="H117" i="36"/>
  <c r="H17" i="36"/>
  <c r="H31" i="36"/>
  <c r="H89" i="36"/>
  <c r="H97" i="36"/>
  <c r="H151" i="36"/>
  <c r="H172" i="36"/>
  <c r="H185" i="36"/>
  <c r="H261" i="36"/>
  <c r="H111" i="36"/>
  <c r="H149" i="36"/>
  <c r="H200" i="36"/>
  <c r="H239" i="36"/>
  <c r="H95" i="36"/>
  <c r="H133" i="36"/>
  <c r="H145" i="36"/>
  <c r="H190" i="36"/>
  <c r="H115" i="36"/>
  <c r="H165" i="36"/>
  <c r="H236" i="36"/>
  <c r="H283" i="36"/>
  <c r="H177" i="36"/>
  <c r="H301" i="36"/>
  <c r="H268" i="36"/>
  <c r="H33" i="36"/>
  <c r="H139" i="36"/>
  <c r="H156" i="36"/>
  <c r="H138" i="36"/>
  <c r="H215" i="36"/>
  <c r="H293" i="36"/>
  <c r="H47" i="36"/>
  <c r="H87" i="36"/>
  <c r="H228" i="36"/>
  <c r="H245" i="36"/>
  <c r="H120" i="36"/>
  <c r="H30" i="36"/>
  <c r="H220" i="36"/>
  <c r="H246" i="36"/>
  <c r="H193" i="36"/>
  <c r="H313" i="36"/>
  <c r="H225" i="36"/>
  <c r="H79" i="36"/>
  <c r="H183" i="36"/>
  <c r="H171" i="36"/>
  <c r="H147" i="36"/>
  <c r="H199" i="36"/>
  <c r="H189" i="36"/>
  <c r="H316" i="36"/>
  <c r="H213" i="36"/>
  <c r="H262" i="36"/>
  <c r="H259" i="36"/>
  <c r="H197" i="36"/>
  <c r="H192" i="36"/>
  <c r="H14" i="36"/>
  <c r="H205" i="36"/>
  <c r="H121" i="36"/>
  <c r="H230" i="36"/>
  <c r="H303" i="36"/>
  <c r="H148" i="36"/>
  <c r="H25" i="36"/>
  <c r="H181" i="36"/>
  <c r="H113" i="36"/>
  <c r="H297" i="36"/>
  <c r="H269" i="36"/>
  <c r="H10" i="36"/>
  <c r="H70" i="36"/>
  <c r="H127" i="36"/>
  <c r="H46" i="36"/>
  <c r="H235" i="36"/>
  <c r="H208" i="36"/>
  <c r="H129" i="36"/>
  <c r="H217" i="36"/>
  <c r="H300" i="36"/>
  <c r="H136" i="36"/>
  <c r="H196" i="36"/>
  <c r="H212" i="36"/>
  <c r="H263" i="36"/>
  <c r="H39" i="36"/>
  <c r="H285" i="36"/>
  <c r="H270" i="36"/>
  <c r="H157" i="36"/>
  <c r="H152" i="36"/>
  <c r="H250" i="36"/>
  <c r="H186" i="36"/>
  <c r="H109" i="36"/>
  <c r="H233" i="36"/>
  <c r="H243" i="36"/>
  <c r="H302" i="36"/>
  <c r="H279" i="36"/>
  <c r="H105" i="36"/>
  <c r="H206" i="36"/>
  <c r="H252" i="36"/>
  <c r="H292" i="36"/>
  <c r="H184" i="36"/>
  <c r="H265" i="36"/>
  <c r="H80" i="36"/>
  <c r="H254" i="36"/>
  <c r="H278" i="36"/>
  <c r="H295" i="36"/>
  <c r="H310" i="36"/>
  <c r="H257" i="36"/>
  <c r="H160" i="36"/>
  <c r="H282" i="36"/>
  <c r="H224" i="36"/>
  <c r="H126" i="36"/>
  <c r="H9" i="36"/>
  <c r="H154" i="36"/>
  <c r="H62" i="36"/>
  <c r="H55" i="36"/>
  <c r="H49" i="36"/>
  <c r="H57" i="36"/>
  <c r="H63" i="36"/>
  <c r="H24" i="36"/>
  <c r="H266" i="36"/>
  <c r="H122" i="36"/>
  <c r="H128" i="36"/>
  <c r="H247" i="36"/>
  <c r="H209" i="36"/>
  <c r="H229" i="36"/>
  <c r="H214" i="36"/>
  <c r="H311" i="36"/>
  <c r="H238" i="36"/>
  <c r="H103" i="36"/>
  <c r="H294" i="36"/>
  <c r="H125" i="36"/>
  <c r="H249" i="36"/>
  <c r="H305" i="36"/>
  <c r="H159" i="36"/>
  <c r="H248" i="36"/>
  <c r="H314" i="36"/>
  <c r="H256" i="36"/>
  <c r="H232" i="36"/>
  <c r="H102" i="36"/>
  <c r="H81" i="36"/>
  <c r="H98" i="36"/>
  <c r="H260" i="36"/>
  <c r="H286" i="36"/>
  <c r="H198" i="36"/>
  <c r="H289" i="36"/>
  <c r="H251" i="36"/>
  <c r="H306" i="36"/>
  <c r="H312" i="36"/>
  <c r="H244" i="36"/>
  <c r="H170" i="36"/>
  <c r="H191" i="36"/>
  <c r="H216" i="36"/>
  <c r="H187" i="36"/>
  <c r="H94" i="36"/>
  <c r="H202" i="36"/>
  <c r="H131" i="36"/>
  <c r="H258" i="36"/>
  <c r="H182" i="36"/>
  <c r="H158" i="36"/>
  <c r="H114" i="36"/>
  <c r="H219" i="36"/>
  <c r="H40" i="36"/>
  <c r="H309" i="36"/>
  <c r="H307" i="36"/>
  <c r="H130" i="36"/>
  <c r="H169" i="36"/>
  <c r="H222" i="36"/>
  <c r="H78" i="36"/>
  <c r="H194" i="36"/>
  <c r="H48" i="36"/>
  <c r="H264" i="36"/>
  <c r="H288" i="36"/>
  <c r="H203" i="36"/>
  <c r="H227" i="36"/>
  <c r="H164" i="36"/>
  <c r="H274" i="36"/>
  <c r="H291" i="36"/>
  <c r="H207" i="36"/>
  <c r="H167" i="36"/>
  <c r="H195" i="36"/>
  <c r="H23" i="36"/>
  <c r="H64" i="36"/>
  <c r="H101" i="36"/>
  <c r="H32" i="36"/>
  <c r="H240" i="36"/>
  <c r="H290" i="36"/>
  <c r="H298" i="36"/>
  <c r="H168" i="36"/>
  <c r="H276" i="36"/>
  <c r="H218" i="36"/>
  <c r="H135" i="36"/>
  <c r="H112" i="36"/>
  <c r="H134" i="36"/>
  <c r="H56" i="36"/>
  <c r="H22" i="36"/>
  <c r="H308" i="36"/>
  <c r="H140" i="36"/>
  <c r="H16" i="36"/>
  <c r="H241" i="36"/>
  <c r="H304" i="36"/>
  <c r="H119" i="36"/>
  <c r="H221" i="36"/>
  <c r="H118" i="36"/>
  <c r="H141" i="36"/>
  <c r="H166" i="36"/>
  <c r="H271" i="36"/>
  <c r="H287" i="36"/>
  <c r="H296" i="36"/>
  <c r="H108" i="36"/>
  <c r="H38" i="36"/>
  <c r="H106" i="36"/>
  <c r="H211" i="36"/>
  <c r="H110" i="36"/>
  <c r="H201" i="36"/>
  <c r="H163" i="36"/>
  <c r="H178" i="36"/>
  <c r="H99" i="36"/>
  <c r="H54" i="36"/>
  <c r="H173" i="36"/>
  <c r="H144" i="36"/>
  <c r="H104" i="36"/>
  <c r="H26" i="36"/>
  <c r="H35" i="36"/>
  <c r="H45" i="36"/>
  <c r="H284" i="36"/>
  <c r="H253" i="36"/>
  <c r="H315" i="36"/>
  <c r="H123" i="36"/>
  <c r="H132" i="36"/>
  <c r="H272" i="36"/>
  <c r="H86" i="36"/>
  <c r="H142" i="36"/>
  <c r="H155" i="36"/>
  <c r="H72" i="36"/>
  <c r="H74" i="36"/>
  <c r="H50" i="36"/>
  <c r="H51" i="36"/>
  <c r="H69" i="36"/>
  <c r="H275" i="36"/>
  <c r="H273" i="36"/>
  <c r="H179" i="36"/>
  <c r="H231" i="36"/>
  <c r="H146" i="36"/>
  <c r="H223" i="36"/>
  <c r="H255" i="36"/>
  <c r="H41" i="36"/>
  <c r="H100" i="36"/>
  <c r="H73" i="36"/>
  <c r="H34" i="36"/>
  <c r="H12" i="36"/>
  <c r="H96" i="36"/>
  <c r="H53" i="36"/>
  <c r="H267" i="36"/>
  <c r="H176" i="36"/>
  <c r="H82" i="36"/>
  <c r="H66" i="36"/>
  <c r="H18" i="36"/>
  <c r="H20" i="36"/>
  <c r="H61" i="36"/>
  <c r="H124" i="36"/>
  <c r="H75" i="36"/>
  <c r="H280" i="36"/>
  <c r="H88" i="36"/>
  <c r="H27" i="36"/>
  <c r="H84" i="36"/>
  <c r="H58" i="36"/>
  <c r="H76" i="36"/>
  <c r="H37" i="36"/>
  <c r="H174" i="36"/>
  <c r="H90" i="36"/>
  <c r="H42" i="36"/>
  <c r="H67" i="36"/>
  <c r="H43" i="36"/>
  <c r="H52" i="36"/>
  <c r="H28" i="36"/>
  <c r="H204" i="36"/>
  <c r="H91" i="36"/>
  <c r="H19" i="36"/>
  <c r="H85" i="36"/>
  <c r="H137" i="36"/>
  <c r="H15" i="36"/>
  <c r="H150" i="36"/>
  <c r="H107" i="36"/>
  <c r="H11" i="36"/>
  <c r="H92" i="36"/>
  <c r="H68" i="36"/>
  <c r="H44" i="36"/>
  <c r="H29" i="36"/>
  <c r="H13" i="36"/>
  <c r="H83" i="36"/>
  <c r="H59" i="36"/>
  <c r="H60" i="36"/>
  <c r="H93" i="36"/>
  <c r="H77" i="36"/>
  <c r="H161" i="36"/>
  <c r="H242" i="36"/>
  <c r="H234" i="36"/>
  <c r="H36" i="36"/>
  <c r="H21" i="36"/>
  <c r="W316" i="42"/>
  <c r="U316" i="42"/>
  <c r="H12" i="32"/>
  <c r="D18" i="9" s="1"/>
  <c r="H24" i="32"/>
  <c r="D30" i="9" s="1"/>
  <c r="H26" i="32"/>
  <c r="H28" i="32"/>
  <c r="D34" i="9" s="1"/>
  <c r="H30" i="32"/>
  <c r="D36" i="9" s="1"/>
  <c r="H32" i="32"/>
  <c r="D38" i="9" s="1"/>
  <c r="H34" i="32"/>
  <c r="D40" i="9" s="1"/>
  <c r="H36" i="32"/>
  <c r="D42" i="9" s="1"/>
  <c r="H38" i="32"/>
  <c r="D44" i="9" s="1"/>
  <c r="H40" i="32"/>
  <c r="D46" i="9" s="1"/>
  <c r="H42" i="32"/>
  <c r="D48" i="9" s="1"/>
  <c r="H44" i="32"/>
  <c r="D50" i="9" s="1"/>
  <c r="H46" i="32"/>
  <c r="D52" i="9" s="1"/>
  <c r="H48" i="32"/>
  <c r="D54" i="9" s="1"/>
  <c r="H50" i="32"/>
  <c r="D56" i="9" s="1"/>
  <c r="H52" i="32"/>
  <c r="D58" i="9" s="1"/>
  <c r="H54" i="32"/>
  <c r="D60" i="9" s="1"/>
  <c r="H65" i="32"/>
  <c r="D71" i="9" s="1"/>
  <c r="H67" i="32"/>
  <c r="D73" i="9" s="1"/>
  <c r="H69" i="32"/>
  <c r="D75" i="9" s="1"/>
  <c r="H71" i="32"/>
  <c r="D77" i="9" s="1"/>
  <c r="H73" i="32"/>
  <c r="D79" i="9" s="1"/>
  <c r="H75" i="32"/>
  <c r="D81" i="9" s="1"/>
  <c r="H77" i="32"/>
  <c r="D83" i="9" s="1"/>
  <c r="H79" i="32"/>
  <c r="D85" i="9" s="1"/>
  <c r="H7" i="32"/>
  <c r="D13" i="9" s="1"/>
  <c r="H9" i="32"/>
  <c r="D15" i="9" s="1"/>
  <c r="H11" i="32"/>
  <c r="D17" i="9" s="1"/>
  <c r="H15" i="32"/>
  <c r="D21" i="9" s="1"/>
  <c r="H17" i="32"/>
  <c r="D23" i="9" s="1"/>
  <c r="H19" i="32"/>
  <c r="D25" i="9" s="1"/>
  <c r="H21" i="32"/>
  <c r="D27" i="9" s="1"/>
  <c r="H57" i="32"/>
  <c r="D63" i="9" s="1"/>
  <c r="H60" i="32"/>
  <c r="D66" i="9" s="1"/>
  <c r="H62" i="32"/>
  <c r="D68" i="9" s="1"/>
  <c r="H64" i="32"/>
  <c r="D70" i="9" s="1"/>
  <c r="H81" i="32"/>
  <c r="D87" i="9" s="1"/>
  <c r="H83" i="32"/>
  <c r="D89" i="9" s="1"/>
  <c r="H85" i="32"/>
  <c r="D91" i="9" s="1"/>
  <c r="H87" i="32"/>
  <c r="D93" i="9" s="1"/>
  <c r="H89" i="32"/>
  <c r="D95" i="9" s="1"/>
  <c r="H91" i="32"/>
  <c r="D97" i="9" s="1"/>
  <c r="H93" i="32"/>
  <c r="D99" i="9" s="1"/>
  <c r="H95" i="32"/>
  <c r="D101" i="9" s="1"/>
  <c r="H310" i="32"/>
  <c r="D316" i="9" s="1"/>
  <c r="H302" i="32"/>
  <c r="D308" i="9" s="1"/>
  <c r="H294" i="32"/>
  <c r="D300" i="9" s="1"/>
  <c r="H286" i="32"/>
  <c r="D292" i="9" s="1"/>
  <c r="H278" i="32"/>
  <c r="D284" i="9" s="1"/>
  <c r="H270" i="32"/>
  <c r="D276" i="9" s="1"/>
  <c r="H262" i="32"/>
  <c r="D268" i="9" s="1"/>
  <c r="H254" i="32"/>
  <c r="D260" i="9" s="1"/>
  <c r="H246" i="32"/>
  <c r="D252" i="9" s="1"/>
  <c r="H238" i="32"/>
  <c r="D244" i="9" s="1"/>
  <c r="H230" i="32"/>
  <c r="D236" i="9" s="1"/>
  <c r="H222" i="32"/>
  <c r="D228" i="9" s="1"/>
  <c r="H214" i="32"/>
  <c r="D220" i="9" s="1"/>
  <c r="H206" i="32"/>
  <c r="D212" i="9" s="1"/>
  <c r="H198" i="32"/>
  <c r="D204" i="9" s="1"/>
  <c r="H190" i="32"/>
  <c r="D196" i="9" s="1"/>
  <c r="H182" i="32"/>
  <c r="D188" i="9" s="1"/>
  <c r="H174" i="32"/>
  <c r="D180" i="9" s="1"/>
  <c r="H166" i="32"/>
  <c r="D172" i="9" s="1"/>
  <c r="H158" i="32"/>
  <c r="D164" i="9" s="1"/>
  <c r="H150" i="32"/>
  <c r="D156" i="9" s="1"/>
  <c r="H141" i="32"/>
  <c r="D147" i="9" s="1"/>
  <c r="H133" i="32"/>
  <c r="D139" i="9" s="1"/>
  <c r="H124" i="32"/>
  <c r="D130" i="9" s="1"/>
  <c r="H116" i="32"/>
  <c r="D122" i="9" s="1"/>
  <c r="H108" i="32"/>
  <c r="D114" i="9" s="1"/>
  <c r="H100" i="32"/>
  <c r="D106" i="9" s="1"/>
  <c r="H311" i="32"/>
  <c r="D317" i="9" s="1"/>
  <c r="H303" i="32"/>
  <c r="D309" i="9" s="1"/>
  <c r="H295" i="32"/>
  <c r="D301" i="9" s="1"/>
  <c r="H287" i="32"/>
  <c r="D293" i="9" s="1"/>
  <c r="H279" i="32"/>
  <c r="D285" i="9" s="1"/>
  <c r="H271" i="32"/>
  <c r="D277" i="9" s="1"/>
  <c r="H263" i="32"/>
  <c r="D269" i="9" s="1"/>
  <c r="H255" i="32"/>
  <c r="D261" i="9" s="1"/>
  <c r="H247" i="32"/>
  <c r="D253" i="9" s="1"/>
  <c r="H239" i="32"/>
  <c r="D245" i="9" s="1"/>
  <c r="H231" i="32"/>
  <c r="D237" i="9" s="1"/>
  <c r="H223" i="32"/>
  <c r="D229" i="9" s="1"/>
  <c r="H215" i="32"/>
  <c r="D221" i="9" s="1"/>
  <c r="H207" i="32"/>
  <c r="D213" i="9" s="1"/>
  <c r="H199" i="32"/>
  <c r="D205" i="9" s="1"/>
  <c r="H191" i="32"/>
  <c r="D197" i="9" s="1"/>
  <c r="H183" i="32"/>
  <c r="D189" i="9" s="1"/>
  <c r="H175" i="32"/>
  <c r="D181" i="9" s="1"/>
  <c r="H167" i="32"/>
  <c r="D173" i="9" s="1"/>
  <c r="H159" i="32"/>
  <c r="D165" i="9" s="1"/>
  <c r="H151" i="32"/>
  <c r="D157" i="9" s="1"/>
  <c r="H142" i="32"/>
  <c r="D148" i="9" s="1"/>
  <c r="H134" i="32"/>
  <c r="D140" i="9" s="1"/>
  <c r="H125" i="32"/>
  <c r="D131" i="9" s="1"/>
  <c r="H117" i="32"/>
  <c r="D123" i="9" s="1"/>
  <c r="H109" i="32"/>
  <c r="D115" i="9" s="1"/>
  <c r="H101" i="32"/>
  <c r="D107" i="9" s="1"/>
  <c r="H149" i="32"/>
  <c r="D155" i="9" s="1"/>
  <c r="H308" i="32"/>
  <c r="D314" i="9" s="1"/>
  <c r="H300" i="32"/>
  <c r="D306" i="9" s="1"/>
  <c r="H292" i="32"/>
  <c r="D298" i="9" s="1"/>
  <c r="H284" i="32"/>
  <c r="D290" i="9" s="1"/>
  <c r="H276" i="32"/>
  <c r="D282" i="9" s="1"/>
  <c r="H268" i="32"/>
  <c r="D274" i="9" s="1"/>
  <c r="H260" i="32"/>
  <c r="D266" i="9" s="1"/>
  <c r="H252" i="32"/>
  <c r="D258" i="9" s="1"/>
  <c r="H244" i="32"/>
  <c r="D250" i="9" s="1"/>
  <c r="H236" i="32"/>
  <c r="D242" i="9" s="1"/>
  <c r="H228" i="32"/>
  <c r="D234" i="9" s="1"/>
  <c r="H220" i="32"/>
  <c r="D226" i="9" s="1"/>
  <c r="H212" i="32"/>
  <c r="D218" i="9" s="1"/>
  <c r="H204" i="32"/>
  <c r="D210" i="9" s="1"/>
  <c r="H196" i="32"/>
  <c r="D202" i="9" s="1"/>
  <c r="H188" i="32"/>
  <c r="D194" i="9" s="1"/>
  <c r="H180" i="32"/>
  <c r="D186" i="9" s="1"/>
  <c r="H172" i="32"/>
  <c r="D178" i="9" s="1"/>
  <c r="H164" i="32"/>
  <c r="D170" i="9" s="1"/>
  <c r="H156" i="32"/>
  <c r="D162" i="9" s="1"/>
  <c r="H147" i="32"/>
  <c r="D153" i="9" s="1"/>
  <c r="H139" i="32"/>
  <c r="D145" i="9" s="1"/>
  <c r="H131" i="32"/>
  <c r="D137" i="9" s="1"/>
  <c r="H122" i="32"/>
  <c r="D128" i="9" s="1"/>
  <c r="H114" i="32"/>
  <c r="D120" i="9" s="1"/>
  <c r="H106" i="32"/>
  <c r="D112" i="9" s="1"/>
  <c r="H98" i="32"/>
  <c r="D104" i="9" s="1"/>
  <c r="H309" i="32"/>
  <c r="D315" i="9" s="1"/>
  <c r="H301" i="32"/>
  <c r="D307" i="9" s="1"/>
  <c r="H293" i="32"/>
  <c r="D299" i="9" s="1"/>
  <c r="H285" i="32"/>
  <c r="D291" i="9" s="1"/>
  <c r="H277" i="32"/>
  <c r="D283" i="9" s="1"/>
  <c r="H269" i="32"/>
  <c r="D275" i="9" s="1"/>
  <c r="H261" i="32"/>
  <c r="D267" i="9" s="1"/>
  <c r="H253" i="32"/>
  <c r="D259" i="9" s="1"/>
  <c r="H245" i="32"/>
  <c r="D251" i="9" s="1"/>
  <c r="H237" i="32"/>
  <c r="D243" i="9" s="1"/>
  <c r="H229" i="32"/>
  <c r="D235" i="9" s="1"/>
  <c r="H221" i="32"/>
  <c r="D227" i="9" s="1"/>
  <c r="H213" i="32"/>
  <c r="D219" i="9" s="1"/>
  <c r="H205" i="32"/>
  <c r="D211" i="9" s="1"/>
  <c r="H197" i="32"/>
  <c r="D203" i="9" s="1"/>
  <c r="H189" i="32"/>
  <c r="D195" i="9" s="1"/>
  <c r="H181" i="32"/>
  <c r="D187" i="9" s="1"/>
  <c r="H173" i="32"/>
  <c r="D179" i="9" s="1"/>
  <c r="H165" i="32"/>
  <c r="D171" i="9" s="1"/>
  <c r="H157" i="32"/>
  <c r="D163" i="9" s="1"/>
  <c r="H148" i="32"/>
  <c r="D154" i="9" s="1"/>
  <c r="H140" i="32"/>
  <c r="D146" i="9" s="1"/>
  <c r="H132" i="32"/>
  <c r="D138" i="9" s="1"/>
  <c r="H123" i="32"/>
  <c r="D129" i="9" s="1"/>
  <c r="H115" i="32"/>
  <c r="D121" i="9" s="1"/>
  <c r="H107" i="32"/>
  <c r="D113" i="9" s="1"/>
  <c r="H96" i="32"/>
  <c r="D102" i="9" s="1"/>
  <c r="H23" i="32"/>
  <c r="D29" i="9" s="1"/>
  <c r="H25" i="32"/>
  <c r="D31" i="9" s="1"/>
  <c r="H27" i="32"/>
  <c r="D33" i="9" s="1"/>
  <c r="H29" i="32"/>
  <c r="D35" i="9" s="1"/>
  <c r="H31" i="32"/>
  <c r="D37" i="9" s="1"/>
  <c r="H33" i="32"/>
  <c r="D39" i="9" s="1"/>
  <c r="H35" i="32"/>
  <c r="D41" i="9" s="1"/>
  <c r="H37" i="32"/>
  <c r="D43" i="9" s="1"/>
  <c r="H39" i="32"/>
  <c r="D45" i="9" s="1"/>
  <c r="H41" i="32"/>
  <c r="D47" i="9" s="1"/>
  <c r="H43" i="32"/>
  <c r="D49" i="9" s="1"/>
  <c r="H45" i="32"/>
  <c r="D51" i="9" s="1"/>
  <c r="H47" i="32"/>
  <c r="D53" i="9" s="1"/>
  <c r="H49" i="32"/>
  <c r="D55" i="9" s="1"/>
  <c r="H51" i="32"/>
  <c r="D57" i="9" s="1"/>
  <c r="H53" i="32"/>
  <c r="D59" i="9" s="1"/>
  <c r="H55" i="32"/>
  <c r="D61" i="9" s="1"/>
  <c r="H66" i="32"/>
  <c r="D72" i="9" s="1"/>
  <c r="H68" i="32"/>
  <c r="D74" i="9" s="1"/>
  <c r="H70" i="32"/>
  <c r="D76" i="9" s="1"/>
  <c r="H72" i="32"/>
  <c r="D78" i="9" s="1"/>
  <c r="H74" i="32"/>
  <c r="D80" i="9" s="1"/>
  <c r="H76" i="32"/>
  <c r="D82" i="9" s="1"/>
  <c r="H78" i="32"/>
  <c r="D84" i="9" s="1"/>
  <c r="H6" i="32"/>
  <c r="D12" i="9" s="1"/>
  <c r="H8" i="32"/>
  <c r="D14" i="9" s="1"/>
  <c r="H10" i="32"/>
  <c r="D16" i="9" s="1"/>
  <c r="H14" i="32"/>
  <c r="D20" i="9" s="1"/>
  <c r="H16" i="32"/>
  <c r="D22" i="9" s="1"/>
  <c r="H18" i="32"/>
  <c r="D24" i="9" s="1"/>
  <c r="H20" i="32"/>
  <c r="D26" i="9" s="1"/>
  <c r="H56" i="32"/>
  <c r="D62" i="9" s="1"/>
  <c r="H58" i="32"/>
  <c r="D64" i="9" s="1"/>
  <c r="H61" i="32"/>
  <c r="D67" i="9" s="1"/>
  <c r="H63" i="32"/>
  <c r="D69" i="9" s="1"/>
  <c r="H80" i="32"/>
  <c r="D86" i="9" s="1"/>
  <c r="H82" i="32"/>
  <c r="D88" i="9" s="1"/>
  <c r="H84" i="32"/>
  <c r="D90" i="9" s="1"/>
  <c r="H86" i="32"/>
  <c r="D92" i="9" s="1"/>
  <c r="H88" i="32"/>
  <c r="D94" i="9" s="1"/>
  <c r="H90" i="32"/>
  <c r="D96" i="9" s="1"/>
  <c r="H92" i="32"/>
  <c r="D98" i="9" s="1"/>
  <c r="H94" i="32"/>
  <c r="D100" i="9" s="1"/>
  <c r="H13" i="32"/>
  <c r="D19" i="9" s="1"/>
  <c r="H306" i="32"/>
  <c r="D312" i="9" s="1"/>
  <c r="H298" i="32"/>
  <c r="D304" i="9" s="1"/>
  <c r="H290" i="32"/>
  <c r="D296" i="9" s="1"/>
  <c r="H282" i="32"/>
  <c r="D288" i="9" s="1"/>
  <c r="H274" i="32"/>
  <c r="D280" i="9" s="1"/>
  <c r="H266" i="32"/>
  <c r="D272" i="9" s="1"/>
  <c r="H258" i="32"/>
  <c r="D264" i="9" s="1"/>
  <c r="H250" i="32"/>
  <c r="D256" i="9" s="1"/>
  <c r="H242" i="32"/>
  <c r="D248" i="9" s="1"/>
  <c r="H234" i="32"/>
  <c r="D240" i="9" s="1"/>
  <c r="H226" i="32"/>
  <c r="D232" i="9" s="1"/>
  <c r="H218" i="32"/>
  <c r="D224" i="9" s="1"/>
  <c r="H210" i="32"/>
  <c r="D216" i="9" s="1"/>
  <c r="H202" i="32"/>
  <c r="D208" i="9" s="1"/>
  <c r="H194" i="32"/>
  <c r="D200" i="9" s="1"/>
  <c r="H186" i="32"/>
  <c r="D192" i="9" s="1"/>
  <c r="H178" i="32"/>
  <c r="D184" i="9" s="1"/>
  <c r="H170" i="32"/>
  <c r="D176" i="9" s="1"/>
  <c r="H162" i="32"/>
  <c r="D168" i="9" s="1"/>
  <c r="H154" i="32"/>
  <c r="D160" i="9" s="1"/>
  <c r="H145" i="32"/>
  <c r="D151" i="9" s="1"/>
  <c r="H137" i="32"/>
  <c r="D143" i="9" s="1"/>
  <c r="H128" i="32"/>
  <c r="D134" i="9" s="1"/>
  <c r="H120" i="32"/>
  <c r="D126" i="9" s="1"/>
  <c r="H112" i="32"/>
  <c r="D118" i="9" s="1"/>
  <c r="H104" i="32"/>
  <c r="D110" i="9" s="1"/>
  <c r="H22" i="32"/>
  <c r="D28" i="9" s="1"/>
  <c r="H307" i="32"/>
  <c r="D313" i="9" s="1"/>
  <c r="H299" i="32"/>
  <c r="D305" i="9" s="1"/>
  <c r="H291" i="32"/>
  <c r="D297" i="9" s="1"/>
  <c r="H283" i="32"/>
  <c r="D289" i="9" s="1"/>
  <c r="H275" i="32"/>
  <c r="D281" i="9" s="1"/>
  <c r="H267" i="32"/>
  <c r="D273" i="9" s="1"/>
  <c r="H259" i="32"/>
  <c r="D265" i="9" s="1"/>
  <c r="H251" i="32"/>
  <c r="D257" i="9" s="1"/>
  <c r="H243" i="32"/>
  <c r="D249" i="9" s="1"/>
  <c r="H235" i="32"/>
  <c r="D241" i="9" s="1"/>
  <c r="H227" i="32"/>
  <c r="D233" i="9" s="1"/>
  <c r="H219" i="32"/>
  <c r="D225" i="9" s="1"/>
  <c r="H211" i="32"/>
  <c r="D217" i="9" s="1"/>
  <c r="H203" i="32"/>
  <c r="D209" i="9" s="1"/>
  <c r="H195" i="32"/>
  <c r="D201" i="9" s="1"/>
  <c r="H187" i="32"/>
  <c r="D193" i="9" s="1"/>
  <c r="H179" i="32"/>
  <c r="D185" i="9" s="1"/>
  <c r="H171" i="32"/>
  <c r="D177" i="9" s="1"/>
  <c r="H163" i="32"/>
  <c r="D169" i="9" s="1"/>
  <c r="H155" i="32"/>
  <c r="D161" i="9" s="1"/>
  <c r="H146" i="32"/>
  <c r="D152" i="9" s="1"/>
  <c r="H138" i="32"/>
  <c r="D144" i="9" s="1"/>
  <c r="H129" i="32"/>
  <c r="D135" i="9" s="1"/>
  <c r="H121" i="32"/>
  <c r="D127" i="9" s="1"/>
  <c r="H113" i="32"/>
  <c r="D119" i="9" s="1"/>
  <c r="H105" i="32"/>
  <c r="D111" i="9" s="1"/>
  <c r="H97" i="32"/>
  <c r="D103" i="9" s="1"/>
  <c r="H312" i="32"/>
  <c r="D318" i="9" s="1"/>
  <c r="H304" i="32"/>
  <c r="D310" i="9" s="1"/>
  <c r="H296" i="32"/>
  <c r="D302" i="9" s="1"/>
  <c r="H288" i="32"/>
  <c r="D294" i="9" s="1"/>
  <c r="H280" i="32"/>
  <c r="D286" i="9" s="1"/>
  <c r="H272" i="32"/>
  <c r="D278" i="9" s="1"/>
  <c r="H264" i="32"/>
  <c r="D270" i="9" s="1"/>
  <c r="H256" i="32"/>
  <c r="D262" i="9" s="1"/>
  <c r="H248" i="32"/>
  <c r="D254" i="9" s="1"/>
  <c r="H240" i="32"/>
  <c r="D246" i="9" s="1"/>
  <c r="H232" i="32"/>
  <c r="D238" i="9" s="1"/>
  <c r="H224" i="32"/>
  <c r="D230" i="9" s="1"/>
  <c r="H216" i="32"/>
  <c r="D222" i="9" s="1"/>
  <c r="H208" i="32"/>
  <c r="D214" i="9" s="1"/>
  <c r="H200" i="32"/>
  <c r="D206" i="9" s="1"/>
  <c r="H192" i="32"/>
  <c r="D198" i="9" s="1"/>
  <c r="H184" i="32"/>
  <c r="D190" i="9" s="1"/>
  <c r="H176" i="32"/>
  <c r="D182" i="9" s="1"/>
  <c r="H168" i="32"/>
  <c r="D174" i="9" s="1"/>
  <c r="H160" i="32"/>
  <c r="D166" i="9" s="1"/>
  <c r="H152" i="32"/>
  <c r="D158" i="9" s="1"/>
  <c r="H143" i="32"/>
  <c r="D149" i="9" s="1"/>
  <c r="H135" i="32"/>
  <c r="D141" i="9" s="1"/>
  <c r="H126" i="32"/>
  <c r="D132" i="9" s="1"/>
  <c r="H118" i="32"/>
  <c r="D124" i="9" s="1"/>
  <c r="H110" i="32"/>
  <c r="D116" i="9" s="1"/>
  <c r="H102" i="32"/>
  <c r="D108" i="9" s="1"/>
  <c r="H313" i="32"/>
  <c r="D319" i="9" s="1"/>
  <c r="H305" i="32"/>
  <c r="D311" i="9" s="1"/>
  <c r="H297" i="32"/>
  <c r="D303" i="9" s="1"/>
  <c r="H289" i="32"/>
  <c r="D295" i="9" s="1"/>
  <c r="H281" i="32"/>
  <c r="D287" i="9" s="1"/>
  <c r="H273" i="32"/>
  <c r="D279" i="9" s="1"/>
  <c r="H265" i="32"/>
  <c r="D271" i="9" s="1"/>
  <c r="H257" i="32"/>
  <c r="D263" i="9" s="1"/>
  <c r="H249" i="32"/>
  <c r="D255" i="9" s="1"/>
  <c r="H241" i="32"/>
  <c r="D247" i="9" s="1"/>
  <c r="H233" i="32"/>
  <c r="D239" i="9" s="1"/>
  <c r="H225" i="32"/>
  <c r="D231" i="9" s="1"/>
  <c r="H217" i="32"/>
  <c r="D223" i="9" s="1"/>
  <c r="H209" i="32"/>
  <c r="D215" i="9" s="1"/>
  <c r="H201" i="32"/>
  <c r="D207" i="9" s="1"/>
  <c r="H193" i="32"/>
  <c r="D199" i="9" s="1"/>
  <c r="H185" i="32"/>
  <c r="D191" i="9" s="1"/>
  <c r="H177" i="32"/>
  <c r="D183" i="9" s="1"/>
  <c r="H169" i="32"/>
  <c r="D175" i="9" s="1"/>
  <c r="H161" i="32"/>
  <c r="D167" i="9" s="1"/>
  <c r="H153" i="32"/>
  <c r="D159" i="9" s="1"/>
  <c r="H144" i="32"/>
  <c r="D150" i="9" s="1"/>
  <c r="H136" i="32"/>
  <c r="D142" i="9" s="1"/>
  <c r="H127" i="32"/>
  <c r="D133" i="9" s="1"/>
  <c r="H119" i="32"/>
  <c r="D125" i="9" s="1"/>
  <c r="H111" i="32"/>
  <c r="D117" i="9" s="1"/>
  <c r="H103" i="32"/>
  <c r="D109" i="9" s="1"/>
  <c r="H130" i="32"/>
  <c r="D136" i="9" s="1"/>
  <c r="H59" i="32"/>
  <c r="D65" i="9" s="1"/>
  <c r="H99" i="32"/>
  <c r="D105" i="9" s="1"/>
  <c r="K7" i="13"/>
  <c r="K315" i="13"/>
  <c r="G314" i="11"/>
  <c r="E314" i="49"/>
  <c r="E307" i="49"/>
  <c r="E303" i="49"/>
  <c r="E292" i="49"/>
  <c r="E284" i="49"/>
  <c r="E268" i="49"/>
  <c r="E260" i="49"/>
  <c r="E252" i="49"/>
  <c r="E230" i="49"/>
  <c r="E226" i="49"/>
  <c r="E207" i="49"/>
  <c r="E187" i="49"/>
  <c r="E179" i="49"/>
  <c r="E160" i="49"/>
  <c r="E156" i="49"/>
  <c r="E148" i="49"/>
  <c r="E140" i="49"/>
  <c r="E124" i="49"/>
  <c r="E116" i="49"/>
  <c r="E112" i="49"/>
  <c r="E104" i="49"/>
  <c r="E100" i="49"/>
  <c r="E92" i="49"/>
  <c r="E84" i="49"/>
  <c r="E76" i="49"/>
  <c r="E68" i="49"/>
  <c r="E60" i="49"/>
  <c r="E52" i="49"/>
  <c r="E44" i="49"/>
  <c r="E36" i="49"/>
  <c r="E20" i="49"/>
  <c r="E16" i="49"/>
  <c r="E8" i="49"/>
  <c r="E306" i="49"/>
  <c r="E291" i="49"/>
  <c r="E283" i="49"/>
  <c r="E279" i="49"/>
  <c r="E271" i="49"/>
  <c r="E263" i="49"/>
  <c r="E255" i="49"/>
  <c r="E251" i="49"/>
  <c r="E236" i="49"/>
  <c r="E233" i="49"/>
  <c r="E214" i="49"/>
  <c r="E206" i="49"/>
  <c r="E198" i="49"/>
  <c r="E186" i="49"/>
  <c r="E178" i="49"/>
  <c r="E159" i="49"/>
  <c r="E151" i="49"/>
  <c r="E59" i="49"/>
  <c r="E51" i="49"/>
  <c r="E7" i="49"/>
  <c r="E309" i="49"/>
  <c r="E305" i="49"/>
  <c r="E294" i="49"/>
  <c r="E290" i="49"/>
  <c r="E286" i="49"/>
  <c r="E282" i="49"/>
  <c r="E278" i="49"/>
  <c r="E274" i="49"/>
  <c r="E266" i="49"/>
  <c r="E262" i="49"/>
  <c r="E258" i="49"/>
  <c r="E254" i="49"/>
  <c r="E250" i="49"/>
  <c r="E241" i="49"/>
  <c r="E235" i="49"/>
  <c r="E232" i="49"/>
  <c r="E228" i="49"/>
  <c r="E224" i="49"/>
  <c r="E217" i="49"/>
  <c r="E213" i="49"/>
  <c r="E209" i="49"/>
  <c r="E205" i="49"/>
  <c r="E201" i="49"/>
  <c r="E193" i="49"/>
  <c r="E189" i="49"/>
  <c r="E185" i="49"/>
  <c r="E181" i="49"/>
  <c r="E177" i="49"/>
  <c r="E174" i="49"/>
  <c r="E167" i="49"/>
  <c r="E165" i="49"/>
  <c r="E162" i="49"/>
  <c r="E158" i="49"/>
  <c r="E154" i="49"/>
  <c r="E150" i="49"/>
  <c r="E138" i="49"/>
  <c r="E130" i="49"/>
  <c r="E126" i="49"/>
  <c r="E122" i="49"/>
  <c r="E114" i="49"/>
  <c r="E110" i="49"/>
  <c r="E106" i="49"/>
  <c r="E102" i="49"/>
  <c r="E98" i="49"/>
  <c r="E94" i="49"/>
  <c r="E90" i="49"/>
  <c r="E82" i="49"/>
  <c r="E78" i="49"/>
  <c r="E74" i="49"/>
  <c r="E70" i="49"/>
  <c r="E66" i="49"/>
  <c r="E62" i="49"/>
  <c r="E58" i="49"/>
  <c r="E54" i="49"/>
  <c r="E50" i="49"/>
  <c r="E46" i="49"/>
  <c r="E42" i="49"/>
  <c r="E38" i="49"/>
  <c r="E34" i="49"/>
  <c r="E30" i="49"/>
  <c r="E26" i="49"/>
  <c r="E22" i="49"/>
  <c r="E18" i="49"/>
  <c r="E14" i="49"/>
  <c r="E10" i="49"/>
  <c r="C6" i="25"/>
  <c r="E6" i="49"/>
  <c r="E311" i="49"/>
  <c r="E299" i="49"/>
  <c r="E280" i="49"/>
  <c r="E272" i="49"/>
  <c r="E264" i="49"/>
  <c r="E248" i="49"/>
  <c r="E211" i="49"/>
  <c r="E203" i="49"/>
  <c r="E191" i="49"/>
  <c r="E175" i="49"/>
  <c r="E172" i="49"/>
  <c r="E144" i="49"/>
  <c r="E108" i="49"/>
  <c r="E88" i="49"/>
  <c r="E80" i="49"/>
  <c r="E72" i="49"/>
  <c r="E64" i="49"/>
  <c r="E56" i="49"/>
  <c r="E48" i="49"/>
  <c r="E40" i="49"/>
  <c r="E32" i="49"/>
  <c r="E12" i="49"/>
  <c r="E310" i="49"/>
  <c r="E302" i="49"/>
  <c r="E298" i="49"/>
  <c r="E295" i="49"/>
  <c r="E287" i="49"/>
  <c r="E275" i="49"/>
  <c r="E267" i="49"/>
  <c r="E259" i="49"/>
  <c r="E247" i="49"/>
  <c r="E238" i="49"/>
  <c r="E225" i="49"/>
  <c r="E218" i="49"/>
  <c r="E210" i="49"/>
  <c r="E202" i="49"/>
  <c r="E194" i="49"/>
  <c r="E190" i="49"/>
  <c r="E182" i="49"/>
  <c r="E163" i="49"/>
  <c r="E155" i="49"/>
  <c r="E147" i="49"/>
  <c r="E135" i="49"/>
  <c r="E47" i="49"/>
  <c r="D315" i="49"/>
  <c r="E308" i="49"/>
  <c r="E300" i="49"/>
  <c r="E285" i="49"/>
  <c r="E281" i="49"/>
  <c r="E277" i="49"/>
  <c r="E273" i="49"/>
  <c r="E265" i="49"/>
  <c r="E253" i="49"/>
  <c r="E249" i="49"/>
  <c r="E240" i="49"/>
  <c r="E237" i="49"/>
  <c r="E231" i="49"/>
  <c r="E223" i="49"/>
  <c r="E216" i="49"/>
  <c r="E212" i="49"/>
  <c r="E208" i="49"/>
  <c r="E204" i="49"/>
  <c r="E200" i="49"/>
  <c r="E192" i="49"/>
  <c r="E188" i="49"/>
  <c r="E184" i="49"/>
  <c r="E176" i="49"/>
  <c r="E169" i="49"/>
  <c r="E166" i="49"/>
  <c r="E164" i="49"/>
  <c r="E161" i="49"/>
  <c r="E157" i="49"/>
  <c r="E153" i="49"/>
  <c r="E145" i="49"/>
  <c r="E141" i="49"/>
  <c r="E137" i="49"/>
  <c r="E133" i="49"/>
  <c r="E129" i="49"/>
  <c r="E125" i="49"/>
  <c r="E117" i="49"/>
  <c r="E113" i="49"/>
  <c r="E109" i="49"/>
  <c r="E105" i="49"/>
  <c r="E101" i="49"/>
  <c r="E97" i="49"/>
  <c r="E93" i="49"/>
  <c r="E89" i="49"/>
  <c r="E85" i="49"/>
  <c r="E81" i="49"/>
  <c r="E77" i="49"/>
  <c r="E73" i="49"/>
  <c r="E69" i="49"/>
  <c r="E65" i="49"/>
  <c r="E61" i="49"/>
  <c r="E57" i="49"/>
  <c r="E53" i="49"/>
  <c r="E49" i="49"/>
  <c r="E45" i="49"/>
  <c r="E41" i="49"/>
  <c r="E37" i="49"/>
  <c r="E33" i="49"/>
  <c r="E29" i="49"/>
  <c r="E25" i="49"/>
  <c r="E21" i="49"/>
  <c r="E17" i="49"/>
  <c r="E13" i="49"/>
  <c r="E9" i="49"/>
  <c r="D6" i="25"/>
  <c r="D5" i="33"/>
  <c r="L289" i="13"/>
  <c r="M289" i="13" s="1"/>
  <c r="L257" i="13"/>
  <c r="M257" i="13" s="1"/>
  <c r="L245" i="13"/>
  <c r="M245" i="13" s="1"/>
  <c r="L196" i="13"/>
  <c r="M196" i="13" s="1"/>
  <c r="L180" i="13"/>
  <c r="M180" i="13" s="1"/>
  <c r="L149" i="13"/>
  <c r="M149" i="13" s="1"/>
  <c r="L121" i="13"/>
  <c r="M121" i="13" s="1"/>
  <c r="L296" i="13"/>
  <c r="M296" i="13" s="1"/>
  <c r="L276" i="13"/>
  <c r="M276" i="13" s="1"/>
  <c r="L256" i="13"/>
  <c r="M256" i="13" s="1"/>
  <c r="L243" i="13"/>
  <c r="M243" i="13" s="1"/>
  <c r="L234" i="13"/>
  <c r="M234" i="13" s="1"/>
  <c r="L222" i="13"/>
  <c r="M222" i="13" s="1"/>
  <c r="L215" i="13"/>
  <c r="M215" i="13" s="1"/>
  <c r="L199" i="13"/>
  <c r="M199" i="13" s="1"/>
  <c r="L168" i="13"/>
  <c r="M168" i="13" s="1"/>
  <c r="L152" i="13"/>
  <c r="M152" i="13" s="1"/>
  <c r="L132" i="13"/>
  <c r="M132" i="13" s="1"/>
  <c r="L128" i="13"/>
  <c r="M128" i="13" s="1"/>
  <c r="L120" i="13"/>
  <c r="M120" i="13" s="1"/>
  <c r="L96" i="13"/>
  <c r="M96" i="13" s="1"/>
  <c r="L242" i="13"/>
  <c r="M242" i="13" s="1"/>
  <c r="L229" i="13"/>
  <c r="M229" i="13" s="1"/>
  <c r="L221" i="13"/>
  <c r="M221" i="13" s="1"/>
  <c r="L171" i="13"/>
  <c r="M171" i="13" s="1"/>
  <c r="L139" i="13"/>
  <c r="M139" i="13" s="1"/>
  <c r="L127" i="13"/>
  <c r="M127" i="13" s="1"/>
  <c r="L119" i="13"/>
  <c r="M119" i="13" s="1"/>
  <c r="L111" i="13"/>
  <c r="M111" i="13" s="1"/>
  <c r="L103" i="13"/>
  <c r="M103" i="13" s="1"/>
  <c r="L95" i="13"/>
  <c r="M95" i="13" s="1"/>
  <c r="L87" i="13"/>
  <c r="M87" i="13" s="1"/>
  <c r="L83" i="13"/>
  <c r="M83" i="13" s="1"/>
  <c r="L75" i="13"/>
  <c r="M75" i="13" s="1"/>
  <c r="L67" i="13"/>
  <c r="M67" i="13" s="1"/>
  <c r="L63" i="13"/>
  <c r="M63" i="13" s="1"/>
  <c r="L55" i="13"/>
  <c r="M55" i="13" s="1"/>
  <c r="L39" i="13"/>
  <c r="M39" i="13" s="1"/>
  <c r="L31" i="13"/>
  <c r="M31" i="13" s="1"/>
  <c r="L27" i="13"/>
  <c r="M27" i="13" s="1"/>
  <c r="L23" i="13"/>
  <c r="M23" i="13" s="1"/>
  <c r="L19" i="13"/>
  <c r="M19" i="13" s="1"/>
  <c r="L118" i="13"/>
  <c r="M118" i="13" s="1"/>
  <c r="L86" i="13"/>
  <c r="M86" i="13" s="1"/>
  <c r="B314" i="11"/>
  <c r="L135" i="13"/>
  <c r="M135" i="13" s="1"/>
  <c r="L59" i="13"/>
  <c r="M59" i="13" s="1"/>
  <c r="L51" i="13"/>
  <c r="M51" i="13" s="1"/>
  <c r="L8" i="13"/>
  <c r="M8" i="13" s="1"/>
  <c r="L143" i="13"/>
  <c r="M143" i="13" s="1"/>
  <c r="L131" i="13"/>
  <c r="M131" i="13" s="1"/>
  <c r="L123" i="13"/>
  <c r="M123" i="13" s="1"/>
  <c r="L115" i="13"/>
  <c r="M115" i="13" s="1"/>
  <c r="L107" i="13"/>
  <c r="M107" i="13" s="1"/>
  <c r="L99" i="13"/>
  <c r="M99" i="13" s="1"/>
  <c r="L91" i="13"/>
  <c r="M91" i="13" s="1"/>
  <c r="L79" i="13"/>
  <c r="M79" i="13" s="1"/>
  <c r="L71" i="13"/>
  <c r="M71" i="13" s="1"/>
  <c r="L47" i="13"/>
  <c r="M47" i="13" s="1"/>
  <c r="L43" i="13"/>
  <c r="M43" i="13" s="1"/>
  <c r="L35" i="13"/>
  <c r="M35" i="13" s="1"/>
  <c r="L15" i="13"/>
  <c r="M15" i="13" s="1"/>
  <c r="L11" i="13"/>
  <c r="M11" i="13" s="1"/>
  <c r="Y7" i="19"/>
  <c r="L175" i="13"/>
  <c r="M175" i="13" s="1"/>
  <c r="L272" i="13"/>
  <c r="M272" i="13" s="1"/>
  <c r="L299" i="13"/>
  <c r="M299" i="13" s="1"/>
  <c r="L191" i="13"/>
  <c r="M191" i="13" s="1"/>
  <c r="L68" i="13"/>
  <c r="M68" i="13" s="1"/>
  <c r="L36" i="13"/>
  <c r="M36" i="13" s="1"/>
  <c r="L277" i="13"/>
  <c r="M277" i="13" s="1"/>
  <c r="L249" i="13"/>
  <c r="M249" i="13" s="1"/>
  <c r="L240" i="13"/>
  <c r="M240" i="13" s="1"/>
  <c r="L314" i="13"/>
  <c r="M314" i="13" s="1"/>
  <c r="L307" i="13"/>
  <c r="M307" i="13" s="1"/>
  <c r="L303" i="13"/>
  <c r="M303" i="13" s="1"/>
  <c r="L284" i="13"/>
  <c r="M284" i="13" s="1"/>
  <c r="L260" i="13"/>
  <c r="M260" i="13" s="1"/>
  <c r="L252" i="13"/>
  <c r="M252" i="13" s="1"/>
  <c r="L239" i="13"/>
  <c r="M239" i="13" s="1"/>
  <c r="L226" i="13"/>
  <c r="M226" i="13" s="1"/>
  <c r="L207" i="13"/>
  <c r="M207" i="13" s="1"/>
  <c r="L183" i="13"/>
  <c r="M183" i="13" s="1"/>
  <c r="L172" i="13"/>
  <c r="M172" i="13" s="1"/>
  <c r="L60" i="13"/>
  <c r="M60" i="13" s="1"/>
  <c r="L56" i="13"/>
  <c r="M56" i="13" s="1"/>
  <c r="L48" i="13"/>
  <c r="M48" i="13" s="1"/>
  <c r="L28" i="13"/>
  <c r="M28" i="13" s="1"/>
  <c r="L16" i="13"/>
  <c r="M16" i="13" s="1"/>
  <c r="L248" i="13"/>
  <c r="M248" i="13" s="1"/>
  <c r="L230" i="13"/>
  <c r="M230" i="13" s="1"/>
  <c r="L264" i="13"/>
  <c r="M264" i="13" s="1"/>
  <c r="L311" i="13"/>
  <c r="M311" i="13" s="1"/>
  <c r="L292" i="13"/>
  <c r="M292" i="13" s="1"/>
  <c r="L288" i="13"/>
  <c r="M288" i="13" s="1"/>
  <c r="L280" i="13"/>
  <c r="M280" i="13" s="1"/>
  <c r="L268" i="13"/>
  <c r="M268" i="13" s="1"/>
  <c r="L211" i="13"/>
  <c r="M211" i="13" s="1"/>
  <c r="L203" i="13"/>
  <c r="M203" i="13" s="1"/>
  <c r="L195" i="13"/>
  <c r="M195" i="13" s="1"/>
  <c r="L187" i="13"/>
  <c r="M187" i="13" s="1"/>
  <c r="L44" i="13"/>
  <c r="M44" i="13" s="1"/>
  <c r="L24" i="13"/>
  <c r="M24" i="13" s="1"/>
  <c r="L179" i="13"/>
  <c r="M179" i="13" s="1"/>
  <c r="L162" i="13"/>
  <c r="M162" i="13" s="1"/>
  <c r="L154" i="13"/>
  <c r="M154" i="13" s="1"/>
  <c r="L146" i="13"/>
  <c r="M146" i="13" s="1"/>
  <c r="L138" i="13"/>
  <c r="M138" i="13" s="1"/>
  <c r="L130" i="13"/>
  <c r="M130" i="13" s="1"/>
  <c r="L114" i="13"/>
  <c r="M114" i="13" s="1"/>
  <c r="L106" i="13"/>
  <c r="M106" i="13" s="1"/>
  <c r="L98" i="13"/>
  <c r="M98" i="13" s="1"/>
  <c r="L90" i="13"/>
  <c r="M90" i="13" s="1"/>
  <c r="L82" i="13"/>
  <c r="M82" i="13" s="1"/>
  <c r="L122" i="13"/>
  <c r="M122" i="13" s="1"/>
  <c r="L304" i="13"/>
  <c r="M304" i="13" s="1"/>
  <c r="L158" i="13"/>
  <c r="M158" i="13" s="1"/>
  <c r="L150" i="13"/>
  <c r="M150" i="13" s="1"/>
  <c r="L142" i="13"/>
  <c r="M142" i="13" s="1"/>
  <c r="L134" i="13"/>
  <c r="M134" i="13" s="1"/>
  <c r="L102" i="13"/>
  <c r="M102" i="13" s="1"/>
  <c r="L94" i="13"/>
  <c r="M94" i="13" s="1"/>
  <c r="L78" i="13"/>
  <c r="M78" i="13" s="1"/>
  <c r="L110" i="13"/>
  <c r="M110" i="13" s="1"/>
  <c r="L312" i="13"/>
  <c r="M312" i="13" s="1"/>
  <c r="L308" i="13"/>
  <c r="M308" i="13" s="1"/>
  <c r="L300" i="13"/>
  <c r="M300" i="13" s="1"/>
  <c r="L126" i="13"/>
  <c r="M126" i="13" s="1"/>
  <c r="L285" i="13"/>
  <c r="M285" i="13" s="1"/>
  <c r="L269" i="13"/>
  <c r="M269" i="13" s="1"/>
  <c r="L261" i="13"/>
  <c r="M261" i="13" s="1"/>
  <c r="L253" i="13"/>
  <c r="M253" i="13" s="1"/>
  <c r="L216" i="13"/>
  <c r="M216" i="13" s="1"/>
  <c r="L208" i="13"/>
  <c r="M208" i="13" s="1"/>
  <c r="L192" i="13"/>
  <c r="M192" i="13" s="1"/>
  <c r="L173" i="13"/>
  <c r="M173" i="13" s="1"/>
  <c r="L169" i="13"/>
  <c r="M169" i="13" s="1"/>
  <c r="L164" i="13"/>
  <c r="M164" i="13" s="1"/>
  <c r="L161" i="13"/>
  <c r="M161" i="13" s="1"/>
  <c r="L176" i="13"/>
  <c r="M176" i="13" s="1"/>
  <c r="L293" i="13"/>
  <c r="M293" i="13" s="1"/>
  <c r="L281" i="13"/>
  <c r="M281" i="13" s="1"/>
  <c r="L273" i="13"/>
  <c r="M273" i="13" s="1"/>
  <c r="L265" i="13"/>
  <c r="M265" i="13" s="1"/>
  <c r="L237" i="13"/>
  <c r="M237" i="13" s="1"/>
  <c r="L227" i="13"/>
  <c r="M227" i="13" s="1"/>
  <c r="L220" i="13"/>
  <c r="M220" i="13" s="1"/>
  <c r="L212" i="13"/>
  <c r="M212" i="13" s="1"/>
  <c r="L204" i="13"/>
  <c r="M204" i="13" s="1"/>
  <c r="L188" i="13"/>
  <c r="M188" i="13" s="1"/>
  <c r="L166" i="13"/>
  <c r="M166" i="13" s="1"/>
  <c r="L157" i="13"/>
  <c r="M157" i="13" s="1"/>
  <c r="L200" i="13"/>
  <c r="M200" i="13" s="1"/>
  <c r="L231" i="13"/>
  <c r="M231" i="13" s="1"/>
  <c r="L223" i="13"/>
  <c r="M223" i="13" s="1"/>
  <c r="L184" i="13"/>
  <c r="M184" i="13" s="1"/>
  <c r="L153" i="13"/>
  <c r="M153" i="13" s="1"/>
  <c r="L13" i="13"/>
  <c r="M13" i="13" s="1"/>
  <c r="L20" i="13"/>
  <c r="M20" i="13" s="1"/>
  <c r="L72" i="13"/>
  <c r="M72" i="13" s="1"/>
  <c r="L64" i="13"/>
  <c r="M64" i="13" s="1"/>
  <c r="L52" i="13"/>
  <c r="M52" i="13" s="1"/>
  <c r="K316" i="19"/>
  <c r="E316" i="19"/>
  <c r="H195" i="49"/>
  <c r="I195" i="49" s="1"/>
  <c r="L12" i="13"/>
  <c r="M12" i="13" s="1"/>
  <c r="L40" i="13"/>
  <c r="M40" i="13" s="1"/>
  <c r="L32" i="13"/>
  <c r="M32" i="13" s="1"/>
  <c r="H165" i="49"/>
  <c r="H164" i="49"/>
  <c r="L38" i="13"/>
  <c r="M38" i="13" s="1"/>
  <c r="F316" i="19"/>
  <c r="M316" i="19"/>
  <c r="P316" i="19"/>
  <c r="V316" i="19"/>
  <c r="C316" i="19"/>
  <c r="L270" i="13"/>
  <c r="M270" i="13" s="1"/>
  <c r="J316" i="19"/>
  <c r="D5" i="32"/>
  <c r="D314" i="32" s="1"/>
  <c r="Z316" i="19"/>
  <c r="L310" i="13"/>
  <c r="M310" i="13" s="1"/>
  <c r="L302" i="13"/>
  <c r="M302" i="13" s="1"/>
  <c r="L298" i="13"/>
  <c r="M298" i="13" s="1"/>
  <c r="L291" i="13"/>
  <c r="M291" i="13" s="1"/>
  <c r="L287" i="13"/>
  <c r="M287" i="13" s="1"/>
  <c r="L283" i="13"/>
  <c r="M283" i="13" s="1"/>
  <c r="L275" i="13"/>
  <c r="M275" i="13" s="1"/>
  <c r="L271" i="13"/>
  <c r="M271" i="13" s="1"/>
  <c r="L267" i="13"/>
  <c r="M267" i="13" s="1"/>
  <c r="L263" i="13"/>
  <c r="M263" i="13" s="1"/>
  <c r="L255" i="13"/>
  <c r="M255" i="13" s="1"/>
  <c r="L247" i="13"/>
  <c r="M247" i="13" s="1"/>
  <c r="L238" i="13"/>
  <c r="M238" i="13" s="1"/>
  <c r="L233" i="13"/>
  <c r="M233" i="13" s="1"/>
  <c r="L225" i="13"/>
  <c r="M225" i="13" s="1"/>
  <c r="L218" i="13"/>
  <c r="M218" i="13" s="1"/>
  <c r="L202" i="13"/>
  <c r="M202" i="13" s="1"/>
  <c r="L198" i="13"/>
  <c r="M198" i="13" s="1"/>
  <c r="L194" i="13"/>
  <c r="M194" i="13" s="1"/>
  <c r="L186" i="13"/>
  <c r="M186" i="13" s="1"/>
  <c r="L182" i="13"/>
  <c r="M182" i="13" s="1"/>
  <c r="L178" i="13"/>
  <c r="M178" i="13" s="1"/>
  <c r="L160" i="13"/>
  <c r="M160" i="13" s="1"/>
  <c r="L156" i="13"/>
  <c r="M156" i="13" s="1"/>
  <c r="L148" i="13"/>
  <c r="M148" i="13" s="1"/>
  <c r="L145" i="13"/>
  <c r="M145" i="13" s="1"/>
  <c r="L137" i="13"/>
  <c r="M137" i="13" s="1"/>
  <c r="L133" i="13"/>
  <c r="M133" i="13" s="1"/>
  <c r="L129" i="13"/>
  <c r="M129" i="13" s="1"/>
  <c r="L125" i="13"/>
  <c r="M125" i="13" s="1"/>
  <c r="L113" i="13"/>
  <c r="M113" i="13" s="1"/>
  <c r="L109" i="13"/>
  <c r="M109" i="13" s="1"/>
  <c r="L105" i="13"/>
  <c r="M105" i="13" s="1"/>
  <c r="L101" i="13"/>
  <c r="M101" i="13" s="1"/>
  <c r="L97" i="13"/>
  <c r="M97" i="13" s="1"/>
  <c r="L89" i="13"/>
  <c r="M89" i="13" s="1"/>
  <c r="L81" i="13"/>
  <c r="M81" i="13" s="1"/>
  <c r="L70" i="13"/>
  <c r="M70" i="13" s="1"/>
  <c r="L66" i="13"/>
  <c r="M66" i="13" s="1"/>
  <c r="L62" i="13"/>
  <c r="M62" i="13" s="1"/>
  <c r="L58" i="13"/>
  <c r="M58" i="13" s="1"/>
  <c r="L54" i="13"/>
  <c r="M54" i="13" s="1"/>
  <c r="L50" i="13"/>
  <c r="M50" i="13" s="1"/>
  <c r="L46" i="13"/>
  <c r="M46" i="13" s="1"/>
  <c r="L42" i="13"/>
  <c r="M42" i="13" s="1"/>
  <c r="L34" i="13"/>
  <c r="M34" i="13" s="1"/>
  <c r="L30" i="13"/>
  <c r="M30" i="13" s="1"/>
  <c r="L26" i="13"/>
  <c r="M26" i="13" s="1"/>
  <c r="L22" i="13"/>
  <c r="M22" i="13" s="1"/>
  <c r="L18" i="13"/>
  <c r="M18" i="13" s="1"/>
  <c r="L10" i="13"/>
  <c r="M10" i="13" s="1"/>
  <c r="L7" i="13"/>
  <c r="H316" i="19"/>
  <c r="I316" i="19"/>
  <c r="L206" i="13"/>
  <c r="M206" i="13" s="1"/>
  <c r="L85" i="13"/>
  <c r="M85" i="13" s="1"/>
  <c r="AA316" i="19"/>
  <c r="L309" i="13"/>
  <c r="M309" i="13" s="1"/>
  <c r="L301" i="13"/>
  <c r="M301" i="13" s="1"/>
  <c r="L294" i="13"/>
  <c r="M294" i="13" s="1"/>
  <c r="L286" i="13"/>
  <c r="M286" i="13" s="1"/>
  <c r="L278" i="13"/>
  <c r="M278" i="13" s="1"/>
  <c r="L274" i="13"/>
  <c r="M274" i="13" s="1"/>
  <c r="L266" i="13"/>
  <c r="M266" i="13" s="1"/>
  <c r="L258" i="13"/>
  <c r="M258" i="13" s="1"/>
  <c r="L250" i="13"/>
  <c r="M250" i="13" s="1"/>
  <c r="L241" i="13"/>
  <c r="M241" i="13" s="1"/>
  <c r="L235" i="13"/>
  <c r="M235" i="13" s="1"/>
  <c r="L228" i="13"/>
  <c r="M228" i="13" s="1"/>
  <c r="L209" i="13"/>
  <c r="M209" i="13" s="1"/>
  <c r="L197" i="13"/>
  <c r="M197" i="13" s="1"/>
  <c r="L189" i="13"/>
  <c r="M189" i="13" s="1"/>
  <c r="L181" i="13"/>
  <c r="M181" i="13" s="1"/>
  <c r="L177" i="13"/>
  <c r="M177" i="13" s="1"/>
  <c r="L165" i="13"/>
  <c r="M165" i="13" s="1"/>
  <c r="L163" i="13"/>
  <c r="M163" i="13" s="1"/>
  <c r="L155" i="13"/>
  <c r="M155" i="13" s="1"/>
  <c r="L124" i="13"/>
  <c r="M124" i="13" s="1"/>
  <c r="L116" i="13"/>
  <c r="M116" i="13" s="1"/>
  <c r="L108" i="13"/>
  <c r="M108" i="13" s="1"/>
  <c r="L100" i="13"/>
  <c r="M100" i="13" s="1"/>
  <c r="L92" i="13"/>
  <c r="M92" i="13" s="1"/>
  <c r="L76" i="13"/>
  <c r="M76" i="13" s="1"/>
  <c r="L69" i="13"/>
  <c r="M69" i="13" s="1"/>
  <c r="L65" i="13"/>
  <c r="M65" i="13" s="1"/>
  <c r="L57" i="13"/>
  <c r="M57" i="13" s="1"/>
  <c r="L49" i="13"/>
  <c r="M49" i="13" s="1"/>
  <c r="L41" i="13"/>
  <c r="M41" i="13" s="1"/>
  <c r="L37" i="13"/>
  <c r="M37" i="13" s="1"/>
  <c r="L29" i="13"/>
  <c r="M29" i="13" s="1"/>
  <c r="L21" i="13"/>
  <c r="M21" i="13" s="1"/>
  <c r="L9" i="13"/>
  <c r="M9" i="13" s="1"/>
  <c r="D316" i="19"/>
  <c r="H150" i="49"/>
  <c r="H19" i="49"/>
  <c r="I19" i="49" s="1"/>
  <c r="L316" i="19"/>
  <c r="L201" i="13"/>
  <c r="M201" i="13" s="1"/>
  <c r="L213" i="13"/>
  <c r="M213" i="13" s="1"/>
  <c r="L93" i="13"/>
  <c r="M93" i="13" s="1"/>
  <c r="L141" i="13"/>
  <c r="M141" i="13" s="1"/>
  <c r="L77" i="13"/>
  <c r="M77" i="13" s="1"/>
  <c r="L74" i="13"/>
  <c r="M74" i="13" s="1"/>
  <c r="L14" i="13"/>
  <c r="M14" i="13" s="1"/>
  <c r="L306" i="13"/>
  <c r="M306" i="13" s="1"/>
  <c r="L295" i="13"/>
  <c r="M295" i="13" s="1"/>
  <c r="L279" i="13"/>
  <c r="M279" i="13" s="1"/>
  <c r="L251" i="13"/>
  <c r="M251" i="13" s="1"/>
  <c r="L236" i="13"/>
  <c r="M236" i="13" s="1"/>
  <c r="L214" i="13"/>
  <c r="M214" i="13" s="1"/>
  <c r="L210" i="13"/>
  <c r="M210" i="13" s="1"/>
  <c r="L190" i="13"/>
  <c r="M190" i="13" s="1"/>
  <c r="L117" i="13"/>
  <c r="M117" i="13" s="1"/>
  <c r="W316" i="19"/>
  <c r="X316" i="19"/>
  <c r="L313" i="13"/>
  <c r="M313" i="13" s="1"/>
  <c r="L305" i="13"/>
  <c r="M305" i="13" s="1"/>
  <c r="L297" i="13"/>
  <c r="M297" i="13" s="1"/>
  <c r="L290" i="13"/>
  <c r="M290" i="13" s="1"/>
  <c r="L282" i="13"/>
  <c r="M282" i="13" s="1"/>
  <c r="L262" i="13"/>
  <c r="M262" i="13" s="1"/>
  <c r="L254" i="13"/>
  <c r="M254" i="13" s="1"/>
  <c r="L246" i="13"/>
  <c r="M246" i="13" s="1"/>
  <c r="L232" i="13"/>
  <c r="M232" i="13" s="1"/>
  <c r="L224" i="13"/>
  <c r="M224" i="13" s="1"/>
  <c r="L217" i="13"/>
  <c r="M217" i="13" s="1"/>
  <c r="L205" i="13"/>
  <c r="M205" i="13" s="1"/>
  <c r="L193" i="13"/>
  <c r="M193" i="13" s="1"/>
  <c r="L185" i="13"/>
  <c r="M185" i="13" s="1"/>
  <c r="L151" i="13"/>
  <c r="M151" i="13" s="1"/>
  <c r="L144" i="13"/>
  <c r="M144" i="13" s="1"/>
  <c r="L136" i="13"/>
  <c r="M136" i="13" s="1"/>
  <c r="L112" i="13"/>
  <c r="M112" i="13" s="1"/>
  <c r="L104" i="13"/>
  <c r="M104" i="13" s="1"/>
  <c r="L88" i="13"/>
  <c r="M88" i="13" s="1"/>
  <c r="L84" i="13"/>
  <c r="M84" i="13" s="1"/>
  <c r="L73" i="13"/>
  <c r="M73" i="13" s="1"/>
  <c r="L61" i="13"/>
  <c r="M61" i="13" s="1"/>
  <c r="L53" i="13"/>
  <c r="M53" i="13" s="1"/>
  <c r="L45" i="13"/>
  <c r="M45" i="13" s="1"/>
  <c r="L33" i="13"/>
  <c r="M33" i="13" s="1"/>
  <c r="L25" i="13"/>
  <c r="M25" i="13" s="1"/>
  <c r="L259" i="13"/>
  <c r="M259" i="13" s="1"/>
  <c r="L167" i="13"/>
  <c r="M167" i="13" s="1"/>
  <c r="L80" i="13"/>
  <c r="M80" i="13" s="1"/>
  <c r="L17" i="13"/>
  <c r="M17" i="13" s="1"/>
  <c r="L140" i="13"/>
  <c r="M140" i="13" s="1"/>
  <c r="L159" i="13"/>
  <c r="M159" i="13" s="1"/>
  <c r="L174" i="13"/>
  <c r="M174" i="13" s="1"/>
  <c r="L147" i="13"/>
  <c r="M147" i="13" s="1"/>
  <c r="G7" i="19"/>
  <c r="R7" i="19" s="1"/>
  <c r="H107" i="49"/>
  <c r="I107" i="49" s="1"/>
  <c r="H55" i="49"/>
  <c r="I55" i="49" s="1"/>
  <c r="H8" i="49"/>
  <c r="H106" i="49"/>
  <c r="H130" i="49"/>
  <c r="H172" i="49"/>
  <c r="H39" i="49"/>
  <c r="I39" i="49" s="1"/>
  <c r="H288" i="49"/>
  <c r="I288" i="49" s="1"/>
  <c r="H207" i="49"/>
  <c r="H191" i="49"/>
  <c r="H143" i="49"/>
  <c r="I143" i="49" s="1"/>
  <c r="H59" i="49"/>
  <c r="H47" i="49"/>
  <c r="H296" i="49"/>
  <c r="I296" i="49" s="1"/>
  <c r="H231" i="49"/>
  <c r="H230" i="49"/>
  <c r="H226" i="49"/>
  <c r="H206" i="49"/>
  <c r="H163" i="49"/>
  <c r="H126" i="49"/>
  <c r="H114" i="49"/>
  <c r="H90" i="49"/>
  <c r="H87" i="49"/>
  <c r="I87" i="49" s="1"/>
  <c r="H80" i="49"/>
  <c r="H72" i="49"/>
  <c r="H68" i="49"/>
  <c r="H63" i="49"/>
  <c r="I63" i="49" s="1"/>
  <c r="H36" i="49"/>
  <c r="H28" i="49"/>
  <c r="I28" i="49" s="1"/>
  <c r="H13" i="49"/>
  <c r="H11" i="49"/>
  <c r="I11" i="49" s="1"/>
  <c r="H67" i="49"/>
  <c r="I67" i="49" s="1"/>
  <c r="H266" i="49"/>
  <c r="H240" i="49"/>
  <c r="H176" i="49"/>
  <c r="H175" i="49"/>
  <c r="H125" i="49"/>
  <c r="H95" i="49"/>
  <c r="I95" i="49" s="1"/>
  <c r="H85" i="49"/>
  <c r="H84" i="49"/>
  <c r="H83" i="49"/>
  <c r="I83" i="49" s="1"/>
  <c r="H79" i="49"/>
  <c r="I79" i="49" s="1"/>
  <c r="H75" i="49"/>
  <c r="I75" i="49" s="1"/>
  <c r="H71" i="49"/>
  <c r="I71" i="49" s="1"/>
  <c r="H56" i="49"/>
  <c r="H52" i="49"/>
  <c r="H51" i="49"/>
  <c r="H31" i="49"/>
  <c r="I31" i="49" s="1"/>
  <c r="H14" i="49"/>
  <c r="H303" i="49"/>
  <c r="H299" i="49"/>
  <c r="H289" i="49"/>
  <c r="I289" i="49" s="1"/>
  <c r="H273" i="49"/>
  <c r="H265" i="49"/>
  <c r="H248" i="49"/>
  <c r="H239" i="49"/>
  <c r="I239" i="49" s="1"/>
  <c r="H220" i="49"/>
  <c r="I220" i="49" s="1"/>
  <c r="H196" i="49"/>
  <c r="I196" i="49" s="1"/>
  <c r="H157" i="49"/>
  <c r="H139" i="49"/>
  <c r="I139" i="49" s="1"/>
  <c r="H135" i="49"/>
  <c r="H60" i="49"/>
  <c r="H48" i="49"/>
  <c r="H32" i="49"/>
  <c r="H15" i="49"/>
  <c r="I15" i="49" s="1"/>
  <c r="H280" i="49"/>
  <c r="H276" i="49"/>
  <c r="I276" i="49" s="1"/>
  <c r="H259" i="49"/>
  <c r="H235" i="49"/>
  <c r="H223" i="49"/>
  <c r="H183" i="49"/>
  <c r="I183" i="49" s="1"/>
  <c r="H127" i="49"/>
  <c r="I127" i="49" s="1"/>
  <c r="H123" i="49"/>
  <c r="I123" i="49" s="1"/>
  <c r="H119" i="49"/>
  <c r="I119" i="49" s="1"/>
  <c r="H115" i="49"/>
  <c r="I115" i="49" s="1"/>
  <c r="H103" i="49"/>
  <c r="I103" i="49" s="1"/>
  <c r="H91" i="49"/>
  <c r="I91" i="49" s="1"/>
  <c r="H77" i="49"/>
  <c r="H35" i="49"/>
  <c r="I35" i="49" s="1"/>
  <c r="H16" i="49"/>
  <c r="B315" i="25"/>
  <c r="L6" i="13"/>
  <c r="M6" i="13" s="1"/>
  <c r="D8" i="36"/>
  <c r="J8" i="36"/>
  <c r="M316" i="42"/>
  <c r="I8" i="36"/>
  <c r="F8" i="36"/>
  <c r="H8" i="36"/>
  <c r="E8" i="36"/>
  <c r="G8" i="36"/>
  <c r="M7" i="13" l="1"/>
  <c r="I60" i="49"/>
  <c r="I90" i="49"/>
  <c r="I266" i="49"/>
  <c r="I226" i="49"/>
  <c r="I303" i="49"/>
  <c r="I16" i="49"/>
  <c r="I32" i="49"/>
  <c r="I84" i="49"/>
  <c r="I206" i="49"/>
  <c r="K121" i="36"/>
  <c r="F129" i="34" s="1"/>
  <c r="K48" i="36"/>
  <c r="F56" i="34" s="1"/>
  <c r="I125" i="49"/>
  <c r="K35" i="36"/>
  <c r="F43" i="34" s="1"/>
  <c r="K105" i="36"/>
  <c r="F113" i="34" s="1"/>
  <c r="K52" i="36"/>
  <c r="F60" i="34" s="1"/>
  <c r="K32" i="36"/>
  <c r="F40" i="34" s="1"/>
  <c r="K101" i="36"/>
  <c r="F109" i="34" s="1"/>
  <c r="K85" i="36"/>
  <c r="F93" i="34" s="1"/>
  <c r="K69" i="36"/>
  <c r="F77" i="34" s="1"/>
  <c r="K81" i="36"/>
  <c r="F89" i="34" s="1"/>
  <c r="I130" i="49"/>
  <c r="K248" i="36"/>
  <c r="F256" i="34" s="1"/>
  <c r="K230" i="36"/>
  <c r="F238" i="34" s="1"/>
  <c r="K113" i="36"/>
  <c r="F121" i="34" s="1"/>
  <c r="K60" i="36"/>
  <c r="F68" i="34" s="1"/>
  <c r="K44" i="36"/>
  <c r="F52" i="34" s="1"/>
  <c r="K24" i="36"/>
  <c r="F32" i="34" s="1"/>
  <c r="K93" i="36"/>
  <c r="F101" i="34" s="1"/>
  <c r="K77" i="36"/>
  <c r="F85" i="34" s="1"/>
  <c r="I85" i="49"/>
  <c r="K269" i="36"/>
  <c r="F277" i="34" s="1"/>
  <c r="K116" i="36"/>
  <c r="F124" i="34" s="1"/>
  <c r="K28" i="36"/>
  <c r="F36" i="34" s="1"/>
  <c r="I36" i="49"/>
  <c r="K117" i="36"/>
  <c r="F125" i="34" s="1"/>
  <c r="K97" i="36"/>
  <c r="F105" i="34" s="1"/>
  <c r="I157" i="49"/>
  <c r="I8" i="49"/>
  <c r="K238" i="36"/>
  <c r="F246" i="34" s="1"/>
  <c r="K125" i="36"/>
  <c r="F133" i="34" s="1"/>
  <c r="K109" i="36"/>
  <c r="F117" i="34" s="1"/>
  <c r="K56" i="36"/>
  <c r="F64" i="34" s="1"/>
  <c r="K40" i="36"/>
  <c r="F48" i="34" s="1"/>
  <c r="K20" i="36"/>
  <c r="F28" i="34" s="1"/>
  <c r="K89" i="36"/>
  <c r="F97" i="34" s="1"/>
  <c r="K73" i="36"/>
  <c r="F81" i="34" s="1"/>
  <c r="K246" i="36"/>
  <c r="F254" i="34" s="1"/>
  <c r="K67" i="36"/>
  <c r="F75" i="34" s="1"/>
  <c r="K110" i="36"/>
  <c r="F118" i="34" s="1"/>
  <c r="K126" i="36"/>
  <c r="F134" i="34" s="1"/>
  <c r="K120" i="36"/>
  <c r="F128" i="34" s="1"/>
  <c r="K208" i="36"/>
  <c r="F216" i="34" s="1"/>
  <c r="K224" i="36"/>
  <c r="F232" i="34" s="1"/>
  <c r="K240" i="36"/>
  <c r="F248" i="34" s="1"/>
  <c r="K214" i="36"/>
  <c r="F222" i="34" s="1"/>
  <c r="K222" i="36"/>
  <c r="F230" i="34" s="1"/>
  <c r="K281" i="36"/>
  <c r="F289" i="34" s="1"/>
  <c r="K271" i="36"/>
  <c r="F279" i="34" s="1"/>
  <c r="K41" i="36"/>
  <c r="F49" i="34" s="1"/>
  <c r="K63" i="36"/>
  <c r="F71" i="34" s="1"/>
  <c r="K114" i="36"/>
  <c r="F122" i="34" s="1"/>
  <c r="K212" i="36"/>
  <c r="F220" i="34" s="1"/>
  <c r="K228" i="36"/>
  <c r="F236" i="34" s="1"/>
  <c r="K244" i="36"/>
  <c r="F252" i="34" s="1"/>
  <c r="K273" i="36"/>
  <c r="F281" i="34" s="1"/>
  <c r="K267" i="36"/>
  <c r="F275" i="34" s="1"/>
  <c r="K33" i="36"/>
  <c r="F41" i="34" s="1"/>
  <c r="K316" i="36"/>
  <c r="F324" i="34" s="1"/>
  <c r="K312" i="36"/>
  <c r="F320" i="34" s="1"/>
  <c r="K308" i="36"/>
  <c r="F316" i="34" s="1"/>
  <c r="K304" i="36"/>
  <c r="F312" i="34" s="1"/>
  <c r="K300" i="36"/>
  <c r="F308" i="34" s="1"/>
  <c r="K296" i="36"/>
  <c r="F304" i="34" s="1"/>
  <c r="K292" i="36"/>
  <c r="F300" i="34" s="1"/>
  <c r="K288" i="36"/>
  <c r="F296" i="34" s="1"/>
  <c r="K284" i="36"/>
  <c r="F292" i="34" s="1"/>
  <c r="K231" i="36"/>
  <c r="F239" i="34" s="1"/>
  <c r="K278" i="36"/>
  <c r="F286" i="34" s="1"/>
  <c r="K274" i="36"/>
  <c r="F282" i="34" s="1"/>
  <c r="K270" i="36"/>
  <c r="F278" i="34" s="1"/>
  <c r="K266" i="36"/>
  <c r="F274" i="34" s="1"/>
  <c r="K262" i="36"/>
  <c r="F270" i="34" s="1"/>
  <c r="K258" i="36"/>
  <c r="F266" i="34" s="1"/>
  <c r="K254" i="36"/>
  <c r="F262" i="34" s="1"/>
  <c r="K250" i="36"/>
  <c r="F258" i="34" s="1"/>
  <c r="K245" i="36"/>
  <c r="F253" i="34" s="1"/>
  <c r="K241" i="36"/>
  <c r="F249" i="34" s="1"/>
  <c r="K237" i="36"/>
  <c r="F245" i="34" s="1"/>
  <c r="K233" i="36"/>
  <c r="F241" i="34" s="1"/>
  <c r="K227" i="36"/>
  <c r="F235" i="34" s="1"/>
  <c r="K223" i="36"/>
  <c r="F231" i="34" s="1"/>
  <c r="K219" i="36"/>
  <c r="F227" i="34" s="1"/>
  <c r="K215" i="36"/>
  <c r="F223" i="34" s="1"/>
  <c r="K211" i="36"/>
  <c r="F219" i="34" s="1"/>
  <c r="K207" i="36"/>
  <c r="F215" i="34" s="1"/>
  <c r="K203" i="36"/>
  <c r="F211" i="34" s="1"/>
  <c r="K199" i="36"/>
  <c r="F207" i="34" s="1"/>
  <c r="K195" i="36"/>
  <c r="F203" i="34" s="1"/>
  <c r="K191" i="36"/>
  <c r="F199" i="34" s="1"/>
  <c r="K187" i="36"/>
  <c r="F195" i="34" s="1"/>
  <c r="K183" i="36"/>
  <c r="F191" i="34" s="1"/>
  <c r="K179" i="36"/>
  <c r="F187" i="34" s="1"/>
  <c r="K175" i="36"/>
  <c r="F183" i="34" s="1"/>
  <c r="K171" i="36"/>
  <c r="F179" i="34" s="1"/>
  <c r="K167" i="36"/>
  <c r="F175" i="34" s="1"/>
  <c r="K163" i="36"/>
  <c r="F171" i="34" s="1"/>
  <c r="K159" i="36"/>
  <c r="F167" i="34" s="1"/>
  <c r="K155" i="36"/>
  <c r="F163" i="34" s="1"/>
  <c r="K151" i="36"/>
  <c r="F159" i="34" s="1"/>
  <c r="K147" i="36"/>
  <c r="F155" i="34" s="1"/>
  <c r="K143" i="36"/>
  <c r="F151" i="34" s="1"/>
  <c r="K139" i="36"/>
  <c r="F147" i="34" s="1"/>
  <c r="K135" i="36"/>
  <c r="F143" i="34" s="1"/>
  <c r="K131" i="36"/>
  <c r="F139" i="34" s="1"/>
  <c r="K64" i="36"/>
  <c r="F72" i="34" s="1"/>
  <c r="K38" i="36"/>
  <c r="F46" i="34" s="1"/>
  <c r="K18" i="36"/>
  <c r="F26" i="34" s="1"/>
  <c r="K14" i="36"/>
  <c r="F22" i="34" s="1"/>
  <c r="K10" i="36"/>
  <c r="F18" i="34" s="1"/>
  <c r="K37" i="36"/>
  <c r="F45" i="34" s="1"/>
  <c r="K59" i="36"/>
  <c r="F67" i="34" s="1"/>
  <c r="K61" i="36"/>
  <c r="F69" i="34" s="1"/>
  <c r="K118" i="36"/>
  <c r="F126" i="34" s="1"/>
  <c r="K112" i="36"/>
  <c r="F120" i="34" s="1"/>
  <c r="K128" i="36"/>
  <c r="F136" i="34" s="1"/>
  <c r="K216" i="36"/>
  <c r="F224" i="34" s="1"/>
  <c r="K232" i="36"/>
  <c r="F240" i="34" s="1"/>
  <c r="K210" i="36"/>
  <c r="F218" i="34" s="1"/>
  <c r="K218" i="36"/>
  <c r="F226" i="34" s="1"/>
  <c r="K226" i="36"/>
  <c r="F234" i="34" s="1"/>
  <c r="K234" i="36"/>
  <c r="F242" i="34" s="1"/>
  <c r="K242" i="36"/>
  <c r="F250" i="34" s="1"/>
  <c r="K261" i="36"/>
  <c r="F269" i="34" s="1"/>
  <c r="K277" i="36"/>
  <c r="F285" i="34" s="1"/>
  <c r="K263" i="36"/>
  <c r="F271" i="34" s="1"/>
  <c r="K279" i="36"/>
  <c r="F287" i="34" s="1"/>
  <c r="K39" i="36"/>
  <c r="F47" i="34" s="1"/>
  <c r="K65" i="36"/>
  <c r="F73" i="34" s="1"/>
  <c r="K122" i="36"/>
  <c r="F130" i="34" s="1"/>
  <c r="K124" i="36"/>
  <c r="F132" i="34" s="1"/>
  <c r="K220" i="36"/>
  <c r="F228" i="34" s="1"/>
  <c r="K236" i="36"/>
  <c r="F244" i="34" s="1"/>
  <c r="K265" i="36"/>
  <c r="F273" i="34" s="1"/>
  <c r="K259" i="36"/>
  <c r="F267" i="34" s="1"/>
  <c r="K275" i="36"/>
  <c r="F283" i="34" s="1"/>
  <c r="K314" i="36"/>
  <c r="F322" i="34" s="1"/>
  <c r="K310" i="36"/>
  <c r="F318" i="34" s="1"/>
  <c r="K306" i="36"/>
  <c r="F314" i="34" s="1"/>
  <c r="K302" i="36"/>
  <c r="F310" i="34" s="1"/>
  <c r="K298" i="36"/>
  <c r="F306" i="34" s="1"/>
  <c r="K294" i="36"/>
  <c r="F302" i="34" s="1"/>
  <c r="K290" i="36"/>
  <c r="F298" i="34" s="1"/>
  <c r="K286" i="36"/>
  <c r="F294" i="34" s="1"/>
  <c r="K282" i="36"/>
  <c r="F290" i="34" s="1"/>
  <c r="K280" i="36"/>
  <c r="F288" i="34" s="1"/>
  <c r="K276" i="36"/>
  <c r="F284" i="34" s="1"/>
  <c r="K272" i="36"/>
  <c r="F280" i="34" s="1"/>
  <c r="K268" i="36"/>
  <c r="F276" i="34" s="1"/>
  <c r="K264" i="36"/>
  <c r="F272" i="34" s="1"/>
  <c r="K260" i="36"/>
  <c r="F268" i="34" s="1"/>
  <c r="K256" i="36"/>
  <c r="F264" i="34" s="1"/>
  <c r="K252" i="36"/>
  <c r="F260" i="34" s="1"/>
  <c r="K247" i="36"/>
  <c r="F255" i="34" s="1"/>
  <c r="K243" i="36"/>
  <c r="F251" i="34" s="1"/>
  <c r="K239" i="36"/>
  <c r="F247" i="34" s="1"/>
  <c r="K235" i="36"/>
  <c r="F243" i="34" s="1"/>
  <c r="K127" i="36"/>
  <c r="F135" i="34" s="1"/>
  <c r="K123" i="36"/>
  <c r="F131" i="34" s="1"/>
  <c r="K119" i="36"/>
  <c r="F127" i="34" s="1"/>
  <c r="K115" i="36"/>
  <c r="F123" i="34" s="1"/>
  <c r="K111" i="36"/>
  <c r="F119" i="34" s="1"/>
  <c r="K107" i="36"/>
  <c r="F115" i="34" s="1"/>
  <c r="K229" i="36"/>
  <c r="F237" i="34" s="1"/>
  <c r="K225" i="36"/>
  <c r="F233" i="34" s="1"/>
  <c r="K221" i="36"/>
  <c r="F229" i="34" s="1"/>
  <c r="K217" i="36"/>
  <c r="F225" i="34" s="1"/>
  <c r="K213" i="36"/>
  <c r="F221" i="34" s="1"/>
  <c r="K209" i="36"/>
  <c r="F217" i="34" s="1"/>
  <c r="K205" i="36"/>
  <c r="F213" i="34" s="1"/>
  <c r="K201" i="36"/>
  <c r="F209" i="34" s="1"/>
  <c r="K197" i="36"/>
  <c r="F205" i="34" s="1"/>
  <c r="K193" i="36"/>
  <c r="F201" i="34" s="1"/>
  <c r="K189" i="36"/>
  <c r="F197" i="34" s="1"/>
  <c r="K185" i="36"/>
  <c r="F193" i="34" s="1"/>
  <c r="K181" i="36"/>
  <c r="F189" i="34" s="1"/>
  <c r="K177" i="36"/>
  <c r="F185" i="34" s="1"/>
  <c r="K173" i="36"/>
  <c r="F181" i="34" s="1"/>
  <c r="K169" i="36"/>
  <c r="F177" i="34" s="1"/>
  <c r="K165" i="36"/>
  <c r="F173" i="34" s="1"/>
  <c r="K161" i="36"/>
  <c r="F169" i="34" s="1"/>
  <c r="K157" i="36"/>
  <c r="F165" i="34" s="1"/>
  <c r="K153" i="36"/>
  <c r="F161" i="34" s="1"/>
  <c r="K149" i="36"/>
  <c r="F157" i="34" s="1"/>
  <c r="K145" i="36"/>
  <c r="F153" i="34" s="1"/>
  <c r="K141" i="36"/>
  <c r="F149" i="34" s="1"/>
  <c r="K137" i="36"/>
  <c r="F145" i="34" s="1"/>
  <c r="K133" i="36"/>
  <c r="F141" i="34" s="1"/>
  <c r="K129" i="36"/>
  <c r="F137" i="34" s="1"/>
  <c r="K58" i="36"/>
  <c r="F66" i="34" s="1"/>
  <c r="K54" i="36"/>
  <c r="F62" i="34" s="1"/>
  <c r="K50" i="36"/>
  <c r="F58" i="34" s="1"/>
  <c r="K46" i="36"/>
  <c r="F54" i="34" s="1"/>
  <c r="K42" i="36"/>
  <c r="F50" i="34" s="1"/>
  <c r="K34" i="36"/>
  <c r="F42" i="34" s="1"/>
  <c r="K30" i="36"/>
  <c r="F38" i="34" s="1"/>
  <c r="K26" i="36"/>
  <c r="F34" i="34" s="1"/>
  <c r="K22" i="36"/>
  <c r="F30" i="34" s="1"/>
  <c r="K103" i="36"/>
  <c r="F111" i="34" s="1"/>
  <c r="K99" i="36"/>
  <c r="F107" i="34" s="1"/>
  <c r="K95" i="36"/>
  <c r="F103" i="34" s="1"/>
  <c r="K91" i="36"/>
  <c r="F99" i="34" s="1"/>
  <c r="K87" i="36"/>
  <c r="F95" i="34" s="1"/>
  <c r="K83" i="36"/>
  <c r="F91" i="34" s="1"/>
  <c r="K79" i="36"/>
  <c r="F87" i="34" s="1"/>
  <c r="K75" i="36"/>
  <c r="F83" i="34" s="1"/>
  <c r="K71" i="36"/>
  <c r="F79" i="34" s="1"/>
  <c r="K66" i="36"/>
  <c r="F74" i="34" s="1"/>
  <c r="K62" i="36"/>
  <c r="F70" i="34" s="1"/>
  <c r="K36" i="36"/>
  <c r="F44" i="34" s="1"/>
  <c r="K16" i="36"/>
  <c r="F24" i="34" s="1"/>
  <c r="K12" i="36"/>
  <c r="F20" i="34" s="1"/>
  <c r="K13" i="36"/>
  <c r="F21" i="34" s="1"/>
  <c r="K21" i="36"/>
  <c r="F29" i="34" s="1"/>
  <c r="K29" i="36"/>
  <c r="F37" i="34" s="1"/>
  <c r="K15" i="36"/>
  <c r="F23" i="34" s="1"/>
  <c r="K23" i="36"/>
  <c r="F31" i="34" s="1"/>
  <c r="K31" i="36"/>
  <c r="F39" i="34" s="1"/>
  <c r="K45" i="36"/>
  <c r="F53" i="34" s="1"/>
  <c r="K53" i="36"/>
  <c r="F61" i="34" s="1"/>
  <c r="K70" i="36"/>
  <c r="F78" i="34" s="1"/>
  <c r="K78" i="36"/>
  <c r="F86" i="34" s="1"/>
  <c r="K86" i="36"/>
  <c r="F94" i="34" s="1"/>
  <c r="K94" i="36"/>
  <c r="F102" i="34" s="1"/>
  <c r="K102" i="36"/>
  <c r="F110" i="34" s="1"/>
  <c r="K136" i="36"/>
  <c r="F144" i="34" s="1"/>
  <c r="K144" i="36"/>
  <c r="F152" i="34" s="1"/>
  <c r="K152" i="36"/>
  <c r="F160" i="34" s="1"/>
  <c r="K160" i="36"/>
  <c r="F168" i="34" s="1"/>
  <c r="K168" i="36"/>
  <c r="F176" i="34" s="1"/>
  <c r="K176" i="36"/>
  <c r="F184" i="34" s="1"/>
  <c r="K184" i="36"/>
  <c r="F192" i="34" s="1"/>
  <c r="K192" i="36"/>
  <c r="F200" i="34" s="1"/>
  <c r="K200" i="36"/>
  <c r="F208" i="34" s="1"/>
  <c r="K255" i="36"/>
  <c r="F263" i="34" s="1"/>
  <c r="K289" i="36"/>
  <c r="F297" i="34" s="1"/>
  <c r="K297" i="36"/>
  <c r="F305" i="34" s="1"/>
  <c r="K305" i="36"/>
  <c r="F313" i="34" s="1"/>
  <c r="K313" i="36"/>
  <c r="F321" i="34" s="1"/>
  <c r="K47" i="36"/>
  <c r="F55" i="34" s="1"/>
  <c r="K55" i="36"/>
  <c r="F63" i="34" s="1"/>
  <c r="K68" i="36"/>
  <c r="F76" i="34" s="1"/>
  <c r="K76" i="36"/>
  <c r="F84" i="34" s="1"/>
  <c r="K84" i="36"/>
  <c r="F92" i="34" s="1"/>
  <c r="K92" i="36"/>
  <c r="F100" i="34" s="1"/>
  <c r="K100" i="36"/>
  <c r="F108" i="34" s="1"/>
  <c r="K108" i="36"/>
  <c r="F116" i="34" s="1"/>
  <c r="K134" i="36"/>
  <c r="F142" i="34" s="1"/>
  <c r="K142" i="36"/>
  <c r="F150" i="34" s="1"/>
  <c r="K150" i="36"/>
  <c r="F158" i="34" s="1"/>
  <c r="K158" i="36"/>
  <c r="F166" i="34" s="1"/>
  <c r="K166" i="36"/>
  <c r="F174" i="34" s="1"/>
  <c r="K174" i="36"/>
  <c r="F182" i="34" s="1"/>
  <c r="K182" i="36"/>
  <c r="F190" i="34" s="1"/>
  <c r="K190" i="36"/>
  <c r="F198" i="34" s="1"/>
  <c r="K198" i="36"/>
  <c r="F206" i="34" s="1"/>
  <c r="K206" i="36"/>
  <c r="F214" i="34" s="1"/>
  <c r="K253" i="36"/>
  <c r="F261" i="34" s="1"/>
  <c r="K283" i="36"/>
  <c r="F291" i="34" s="1"/>
  <c r="K291" i="36"/>
  <c r="F299" i="34" s="1"/>
  <c r="K299" i="36"/>
  <c r="F307" i="34" s="1"/>
  <c r="K307" i="36"/>
  <c r="F315" i="34" s="1"/>
  <c r="K315" i="36"/>
  <c r="F323" i="34" s="1"/>
  <c r="K9" i="36"/>
  <c r="F17" i="34" s="1"/>
  <c r="K17" i="36"/>
  <c r="F25" i="34" s="1"/>
  <c r="K25" i="36"/>
  <c r="F33" i="34" s="1"/>
  <c r="K11" i="36"/>
  <c r="F19" i="34" s="1"/>
  <c r="K19" i="36"/>
  <c r="F27" i="34" s="1"/>
  <c r="K27" i="36"/>
  <c r="F35" i="34" s="1"/>
  <c r="K49" i="36"/>
  <c r="F57" i="34" s="1"/>
  <c r="K57" i="36"/>
  <c r="F65" i="34" s="1"/>
  <c r="K74" i="36"/>
  <c r="F82" i="34" s="1"/>
  <c r="K82" i="36"/>
  <c r="F90" i="34" s="1"/>
  <c r="K90" i="36"/>
  <c r="F98" i="34" s="1"/>
  <c r="K98" i="36"/>
  <c r="F106" i="34" s="1"/>
  <c r="K106" i="36"/>
  <c r="F114" i="34" s="1"/>
  <c r="K132" i="36"/>
  <c r="F140" i="34" s="1"/>
  <c r="K140" i="36"/>
  <c r="F148" i="34" s="1"/>
  <c r="K148" i="36"/>
  <c r="F156" i="34" s="1"/>
  <c r="K156" i="36"/>
  <c r="F164" i="34" s="1"/>
  <c r="K164" i="36"/>
  <c r="F172" i="34" s="1"/>
  <c r="K172" i="36"/>
  <c r="F180" i="34" s="1"/>
  <c r="K180" i="36"/>
  <c r="F188" i="34" s="1"/>
  <c r="K188" i="36"/>
  <c r="F196" i="34" s="1"/>
  <c r="K196" i="36"/>
  <c r="F204" i="34" s="1"/>
  <c r="K204" i="36"/>
  <c r="F212" i="34" s="1"/>
  <c r="K251" i="36"/>
  <c r="F259" i="34" s="1"/>
  <c r="K285" i="36"/>
  <c r="F293" i="34" s="1"/>
  <c r="K293" i="36"/>
  <c r="F301" i="34" s="1"/>
  <c r="K301" i="36"/>
  <c r="F309" i="34" s="1"/>
  <c r="K309" i="36"/>
  <c r="F317" i="34" s="1"/>
  <c r="K43" i="36"/>
  <c r="F51" i="34" s="1"/>
  <c r="K51" i="36"/>
  <c r="F59" i="34" s="1"/>
  <c r="K72" i="36"/>
  <c r="F80" i="34" s="1"/>
  <c r="K80" i="36"/>
  <c r="F88" i="34" s="1"/>
  <c r="K88" i="36"/>
  <c r="F96" i="34" s="1"/>
  <c r="K96" i="36"/>
  <c r="F104" i="34" s="1"/>
  <c r="K104" i="36"/>
  <c r="F112" i="34" s="1"/>
  <c r="K130" i="36"/>
  <c r="F138" i="34" s="1"/>
  <c r="K138" i="36"/>
  <c r="F146" i="34" s="1"/>
  <c r="K146" i="36"/>
  <c r="F154" i="34" s="1"/>
  <c r="K154" i="36"/>
  <c r="F162" i="34" s="1"/>
  <c r="K162" i="36"/>
  <c r="F170" i="34" s="1"/>
  <c r="K170" i="36"/>
  <c r="F178" i="34" s="1"/>
  <c r="K178" i="36"/>
  <c r="F186" i="34" s="1"/>
  <c r="K186" i="36"/>
  <c r="F194" i="34" s="1"/>
  <c r="K194" i="36"/>
  <c r="F202" i="34" s="1"/>
  <c r="K202" i="36"/>
  <c r="F210" i="34" s="1"/>
  <c r="K249" i="36"/>
  <c r="F257" i="34" s="1"/>
  <c r="K257" i="36"/>
  <c r="F265" i="34" s="1"/>
  <c r="K287" i="36"/>
  <c r="F295" i="34" s="1"/>
  <c r="K295" i="36"/>
  <c r="F303" i="34" s="1"/>
  <c r="K303" i="36"/>
  <c r="F311" i="34" s="1"/>
  <c r="K311" i="36"/>
  <c r="F319" i="34" s="1"/>
  <c r="I47" i="49"/>
  <c r="I80" i="49"/>
  <c r="I164" i="49"/>
  <c r="I48" i="49"/>
  <c r="I51" i="49"/>
  <c r="I163" i="49"/>
  <c r="I150" i="49"/>
  <c r="I280" i="49"/>
  <c r="I265" i="49"/>
  <c r="I52" i="49"/>
  <c r="I68" i="49"/>
  <c r="I191" i="49"/>
  <c r="I172" i="49"/>
  <c r="I165" i="49"/>
  <c r="I248" i="49"/>
  <c r="I299" i="49"/>
  <c r="I176" i="49"/>
  <c r="I231" i="49"/>
  <c r="I106" i="49"/>
  <c r="I240" i="49"/>
  <c r="I235" i="49"/>
  <c r="I135" i="49"/>
  <c r="I273" i="49"/>
  <c r="I14" i="49"/>
  <c r="I56" i="49"/>
  <c r="I72" i="49"/>
  <c r="I114" i="49"/>
  <c r="I207" i="49"/>
  <c r="I77" i="49"/>
  <c r="I223" i="49"/>
  <c r="I13" i="49"/>
  <c r="I259" i="49"/>
  <c r="I175" i="49"/>
  <c r="I126" i="49"/>
  <c r="I230" i="49"/>
  <c r="I59" i="49"/>
  <c r="S316" i="42"/>
  <c r="H21" i="49"/>
  <c r="I21" i="49" s="1"/>
  <c r="E15" i="48"/>
  <c r="H12" i="49"/>
  <c r="I12" i="49" s="1"/>
  <c r="H54" i="49"/>
  <c r="I54" i="49" s="1"/>
  <c r="H111" i="49"/>
  <c r="I111" i="49" s="1"/>
  <c r="H227" i="49"/>
  <c r="I227" i="49" s="1"/>
  <c r="H284" i="49"/>
  <c r="I284" i="49" s="1"/>
  <c r="H98" i="49"/>
  <c r="I98" i="49" s="1"/>
  <c r="H128" i="49"/>
  <c r="I128" i="49" s="1"/>
  <c r="H148" i="49"/>
  <c r="I148" i="49" s="1"/>
  <c r="H192" i="49"/>
  <c r="I192" i="49" s="1"/>
  <c r="H208" i="49"/>
  <c r="I208" i="49" s="1"/>
  <c r="H252" i="49"/>
  <c r="I252" i="49" s="1"/>
  <c r="H281" i="49"/>
  <c r="I281" i="49" s="1"/>
  <c r="H297" i="49"/>
  <c r="I297" i="49" s="1"/>
  <c r="H30" i="49"/>
  <c r="I30" i="49" s="1"/>
  <c r="H62" i="49"/>
  <c r="I62" i="49" s="1"/>
  <c r="H86" i="49"/>
  <c r="I86" i="49" s="1"/>
  <c r="H109" i="49"/>
  <c r="I109" i="49" s="1"/>
  <c r="H136" i="49"/>
  <c r="I136" i="49" s="1"/>
  <c r="H154" i="49"/>
  <c r="I154" i="49" s="1"/>
  <c r="H171" i="49"/>
  <c r="I171" i="49" s="1"/>
  <c r="H185" i="49"/>
  <c r="I185" i="49" s="1"/>
  <c r="H205" i="49"/>
  <c r="I205" i="49" s="1"/>
  <c r="H225" i="49"/>
  <c r="I225" i="49" s="1"/>
  <c r="H257" i="49"/>
  <c r="I257" i="49" s="1"/>
  <c r="H274" i="49"/>
  <c r="I274" i="49" s="1"/>
  <c r="H294" i="49"/>
  <c r="I294" i="49" s="1"/>
  <c r="H308" i="49"/>
  <c r="I308" i="49" s="1"/>
  <c r="H102" i="49"/>
  <c r="I102" i="49" s="1"/>
  <c r="H122" i="49"/>
  <c r="I122" i="49" s="1"/>
  <c r="H137" i="49"/>
  <c r="I137" i="49" s="1"/>
  <c r="H186" i="49"/>
  <c r="I186" i="49" s="1"/>
  <c r="H202" i="49"/>
  <c r="I202" i="49" s="1"/>
  <c r="H218" i="49"/>
  <c r="I218" i="49" s="1"/>
  <c r="H246" i="49"/>
  <c r="I246" i="49" s="1"/>
  <c r="H271" i="49"/>
  <c r="I271" i="49" s="1"/>
  <c r="H287" i="49"/>
  <c r="I287" i="49" s="1"/>
  <c r="H305" i="49"/>
  <c r="I305" i="49" s="1"/>
  <c r="H104" i="49"/>
  <c r="I104" i="49" s="1"/>
  <c r="H151" i="49"/>
  <c r="I151" i="49" s="1"/>
  <c r="H33" i="49"/>
  <c r="I33" i="49" s="1"/>
  <c r="H129" i="49"/>
  <c r="I129" i="49" s="1"/>
  <c r="H7" i="49"/>
  <c r="I7" i="49" s="1"/>
  <c r="H177" i="49"/>
  <c r="I177" i="49" s="1"/>
  <c r="H295" i="49"/>
  <c r="I295" i="49" s="1"/>
  <c r="H199" i="49"/>
  <c r="I199" i="49" s="1"/>
  <c r="H41" i="49"/>
  <c r="I41" i="49" s="1"/>
  <c r="H243" i="49"/>
  <c r="I243" i="49" s="1"/>
  <c r="H88" i="49"/>
  <c r="I88" i="49" s="1"/>
  <c r="H251" i="49"/>
  <c r="I251" i="49" s="1"/>
  <c r="H43" i="49"/>
  <c r="I43" i="49" s="1"/>
  <c r="H50" i="49"/>
  <c r="I50" i="49" s="1"/>
  <c r="H82" i="49"/>
  <c r="I82" i="49" s="1"/>
  <c r="H233" i="49"/>
  <c r="I233" i="49" s="1"/>
  <c r="H26" i="49"/>
  <c r="I26" i="49" s="1"/>
  <c r="H73" i="49"/>
  <c r="I73" i="49" s="1"/>
  <c r="H92" i="49"/>
  <c r="I92" i="49" s="1"/>
  <c r="H134" i="49"/>
  <c r="I134" i="49" s="1"/>
  <c r="H215" i="49"/>
  <c r="I215" i="49" s="1"/>
  <c r="H232" i="49"/>
  <c r="I232" i="49" s="1"/>
  <c r="H264" i="49"/>
  <c r="I264" i="49" s="1"/>
  <c r="H314" i="49"/>
  <c r="I314" i="49" s="1"/>
  <c r="H105" i="49"/>
  <c r="I105" i="49" s="1"/>
  <c r="H152" i="49"/>
  <c r="I152" i="49" s="1"/>
  <c r="H180" i="49"/>
  <c r="I180" i="49" s="1"/>
  <c r="H212" i="49"/>
  <c r="I212" i="49" s="1"/>
  <c r="H224" i="49"/>
  <c r="I224" i="49" s="1"/>
  <c r="H256" i="49"/>
  <c r="I256" i="49" s="1"/>
  <c r="H269" i="49"/>
  <c r="I269" i="49" s="1"/>
  <c r="H285" i="49"/>
  <c r="I285" i="49" s="1"/>
  <c r="H66" i="49"/>
  <c r="I66" i="49" s="1"/>
  <c r="H89" i="49"/>
  <c r="I89" i="49" s="1"/>
  <c r="H113" i="49"/>
  <c r="I113" i="49" s="1"/>
  <c r="H140" i="49"/>
  <c r="I140" i="49" s="1"/>
  <c r="H158" i="49"/>
  <c r="I158" i="49" s="1"/>
  <c r="H174" i="49"/>
  <c r="I174" i="49" s="1"/>
  <c r="H193" i="49"/>
  <c r="I193" i="49" s="1"/>
  <c r="H209" i="49"/>
  <c r="I209" i="49" s="1"/>
  <c r="H229" i="49"/>
  <c r="I229" i="49" s="1"/>
  <c r="H245" i="49"/>
  <c r="I245" i="49" s="1"/>
  <c r="H262" i="49"/>
  <c r="I262" i="49" s="1"/>
  <c r="H282" i="49"/>
  <c r="I282" i="49" s="1"/>
  <c r="H298" i="49"/>
  <c r="I298" i="49" s="1"/>
  <c r="H17" i="49"/>
  <c r="I17" i="49" s="1"/>
  <c r="H53" i="49"/>
  <c r="I53" i="49" s="1"/>
  <c r="H110" i="49"/>
  <c r="I110" i="49" s="1"/>
  <c r="H142" i="49"/>
  <c r="I142" i="49" s="1"/>
  <c r="H190" i="49"/>
  <c r="I190" i="49" s="1"/>
  <c r="H222" i="49"/>
  <c r="I222" i="49" s="1"/>
  <c r="H250" i="49"/>
  <c r="I250" i="49" s="1"/>
  <c r="H275" i="49"/>
  <c r="I275" i="49" s="1"/>
  <c r="H291" i="49"/>
  <c r="I291" i="49" s="1"/>
  <c r="H309" i="49"/>
  <c r="I309" i="49" s="1"/>
  <c r="H64" i="49"/>
  <c r="I64" i="49" s="1"/>
  <c r="H138" i="49"/>
  <c r="I138" i="49" s="1"/>
  <c r="H160" i="49"/>
  <c r="I160" i="49" s="1"/>
  <c r="H203" i="49"/>
  <c r="I203" i="49" s="1"/>
  <c r="H34" i="49"/>
  <c r="I34" i="49" s="1"/>
  <c r="H153" i="49"/>
  <c r="I153" i="49" s="1"/>
  <c r="H117" i="49"/>
  <c r="I117" i="49" s="1"/>
  <c r="H181" i="49"/>
  <c r="I181" i="49" s="1"/>
  <c r="H18" i="49"/>
  <c r="I18" i="49" s="1"/>
  <c r="H173" i="49"/>
  <c r="I173" i="49" s="1"/>
  <c r="H236" i="49"/>
  <c r="I236" i="49" s="1"/>
  <c r="H211" i="49"/>
  <c r="I211" i="49" s="1"/>
  <c r="H112" i="49"/>
  <c r="I112" i="49" s="1"/>
  <c r="H247" i="49"/>
  <c r="I247" i="49" s="1"/>
  <c r="H306" i="49"/>
  <c r="I306" i="49" s="1"/>
  <c r="H44" i="49"/>
  <c r="I44" i="49" s="1"/>
  <c r="H93" i="49"/>
  <c r="I93" i="49" s="1"/>
  <c r="H99" i="49"/>
  <c r="I99" i="49" s="1"/>
  <c r="H267" i="49"/>
  <c r="I267" i="49" s="1"/>
  <c r="H23" i="49"/>
  <c r="I23" i="49" s="1"/>
  <c r="H27" i="49"/>
  <c r="I27" i="49" s="1"/>
  <c r="H155" i="49"/>
  <c r="I155" i="49" s="1"/>
  <c r="H166" i="49"/>
  <c r="I166" i="49" s="1"/>
  <c r="H238" i="49"/>
  <c r="I238" i="49" s="1"/>
  <c r="H97" i="49"/>
  <c r="I97" i="49" s="1"/>
  <c r="H156" i="49"/>
  <c r="I156" i="49" s="1"/>
  <c r="H65" i="49"/>
  <c r="I65" i="49" s="1"/>
  <c r="H116" i="49"/>
  <c r="I116" i="49" s="1"/>
  <c r="H184" i="49"/>
  <c r="I184" i="49" s="1"/>
  <c r="H200" i="49"/>
  <c r="I200" i="49" s="1"/>
  <c r="H216" i="49"/>
  <c r="I216" i="49" s="1"/>
  <c r="H260" i="49"/>
  <c r="I260" i="49" s="1"/>
  <c r="H37" i="49"/>
  <c r="I37" i="49" s="1"/>
  <c r="H94" i="49"/>
  <c r="I94" i="49" s="1"/>
  <c r="H121" i="49"/>
  <c r="I121" i="49" s="1"/>
  <c r="H145" i="49"/>
  <c r="I145" i="49" s="1"/>
  <c r="H162" i="49"/>
  <c r="I162" i="49" s="1"/>
  <c r="H197" i="49"/>
  <c r="I197" i="49" s="1"/>
  <c r="H213" i="49"/>
  <c r="I213" i="49" s="1"/>
  <c r="H234" i="49"/>
  <c r="I234" i="49" s="1"/>
  <c r="H249" i="49"/>
  <c r="I249" i="49" s="1"/>
  <c r="H286" i="49"/>
  <c r="I286" i="49" s="1"/>
  <c r="H300" i="49"/>
  <c r="I300" i="49" s="1"/>
  <c r="H9" i="49"/>
  <c r="I9" i="49" s="1"/>
  <c r="H22" i="49"/>
  <c r="I22" i="49" s="1"/>
  <c r="H57" i="49"/>
  <c r="I57" i="49" s="1"/>
  <c r="H132" i="49"/>
  <c r="I132" i="49" s="1"/>
  <c r="H146" i="49"/>
  <c r="I146" i="49" s="1"/>
  <c r="H178" i="49"/>
  <c r="I178" i="49" s="1"/>
  <c r="H194" i="49"/>
  <c r="I194" i="49" s="1"/>
  <c r="H210" i="49"/>
  <c r="I210" i="49" s="1"/>
  <c r="H254" i="49"/>
  <c r="I254" i="49" s="1"/>
  <c r="H279" i="49"/>
  <c r="I279" i="49" s="1"/>
  <c r="H311" i="49"/>
  <c r="I311" i="49" s="1"/>
  <c r="H69" i="49"/>
  <c r="I69" i="49" s="1"/>
  <c r="H179" i="49"/>
  <c r="I179" i="49" s="1"/>
  <c r="H302" i="49"/>
  <c r="I302" i="49" s="1"/>
  <c r="H228" i="49"/>
  <c r="I228" i="49" s="1"/>
  <c r="H131" i="49"/>
  <c r="I131" i="49" s="1"/>
  <c r="H221" i="49"/>
  <c r="I221" i="49" s="1"/>
  <c r="H96" i="49"/>
  <c r="I96" i="49" s="1"/>
  <c r="H307" i="49"/>
  <c r="I307" i="49" s="1"/>
  <c r="H292" i="49"/>
  <c r="I292" i="49" s="1"/>
  <c r="H124" i="49"/>
  <c r="I124" i="49" s="1"/>
  <c r="H272" i="49"/>
  <c r="I272" i="49" s="1"/>
  <c r="H29" i="49"/>
  <c r="I29" i="49" s="1"/>
  <c r="H45" i="49"/>
  <c r="I45" i="49" s="1"/>
  <c r="H74" i="49"/>
  <c r="I74" i="49" s="1"/>
  <c r="H189" i="49"/>
  <c r="I189" i="49" s="1"/>
  <c r="H24" i="49"/>
  <c r="I24" i="49" s="1"/>
  <c r="H46" i="49"/>
  <c r="I46" i="49" s="1"/>
  <c r="H81" i="49"/>
  <c r="I81" i="49" s="1"/>
  <c r="H167" i="49"/>
  <c r="I167" i="49" s="1"/>
  <c r="H242" i="49"/>
  <c r="I242" i="49" s="1"/>
  <c r="H70" i="49"/>
  <c r="I70" i="49" s="1"/>
  <c r="H120" i="49"/>
  <c r="I120" i="49" s="1"/>
  <c r="H144" i="49"/>
  <c r="I144" i="49" s="1"/>
  <c r="H161" i="49"/>
  <c r="I161" i="49" s="1"/>
  <c r="H188" i="49"/>
  <c r="I188" i="49" s="1"/>
  <c r="H204" i="49"/>
  <c r="I204" i="49" s="1"/>
  <c r="H261" i="49"/>
  <c r="I261" i="49" s="1"/>
  <c r="H277" i="49"/>
  <c r="I277" i="49" s="1"/>
  <c r="H293" i="49"/>
  <c r="I293" i="49" s="1"/>
  <c r="H38" i="49"/>
  <c r="I38" i="49" s="1"/>
  <c r="H61" i="49"/>
  <c r="I61" i="49" s="1"/>
  <c r="H149" i="49"/>
  <c r="I149" i="49" s="1"/>
  <c r="H201" i="49"/>
  <c r="I201" i="49" s="1"/>
  <c r="H217" i="49"/>
  <c r="I217" i="49" s="1"/>
  <c r="H237" i="49"/>
  <c r="I237" i="49" s="1"/>
  <c r="H253" i="49"/>
  <c r="I253" i="49" s="1"/>
  <c r="H270" i="49"/>
  <c r="I270" i="49" s="1"/>
  <c r="H290" i="49"/>
  <c r="I290" i="49" s="1"/>
  <c r="H304" i="49"/>
  <c r="I304" i="49" s="1"/>
  <c r="H58" i="49"/>
  <c r="I58" i="49" s="1"/>
  <c r="H76" i="49"/>
  <c r="I76" i="49" s="1"/>
  <c r="H100" i="49"/>
  <c r="I100" i="49" s="1"/>
  <c r="H118" i="49"/>
  <c r="I118" i="49" s="1"/>
  <c r="H133" i="49"/>
  <c r="I133" i="49" s="1"/>
  <c r="H159" i="49"/>
  <c r="I159" i="49" s="1"/>
  <c r="H182" i="49"/>
  <c r="I182" i="49" s="1"/>
  <c r="H198" i="49"/>
  <c r="I198" i="49" s="1"/>
  <c r="H214" i="49"/>
  <c r="I214" i="49" s="1"/>
  <c r="H241" i="49"/>
  <c r="I241" i="49" s="1"/>
  <c r="H258" i="49"/>
  <c r="I258" i="49" s="1"/>
  <c r="H283" i="49"/>
  <c r="I283" i="49" s="1"/>
  <c r="H301" i="49"/>
  <c r="I301" i="49" s="1"/>
  <c r="H101" i="49"/>
  <c r="I101" i="49" s="1"/>
  <c r="H147" i="49"/>
  <c r="I147" i="49" s="1"/>
  <c r="H187" i="49"/>
  <c r="I187" i="49" s="1"/>
  <c r="H268" i="49"/>
  <c r="I268" i="49" s="1"/>
  <c r="H310" i="49"/>
  <c r="I310" i="49" s="1"/>
  <c r="H40" i="49"/>
  <c r="I40" i="49" s="1"/>
  <c r="H313" i="49"/>
  <c r="I313" i="49" s="1"/>
  <c r="H278" i="49"/>
  <c r="I278" i="49" s="1"/>
  <c r="H168" i="49"/>
  <c r="I168" i="49" s="1"/>
  <c r="H263" i="49"/>
  <c r="I263" i="49" s="1"/>
  <c r="H141" i="49"/>
  <c r="I141" i="49" s="1"/>
  <c r="H312" i="49"/>
  <c r="I312" i="49" s="1"/>
  <c r="H42" i="49"/>
  <c r="I42" i="49" s="1"/>
  <c r="H169" i="49"/>
  <c r="I169" i="49" s="1"/>
  <c r="H10" i="49"/>
  <c r="I10" i="49" s="1"/>
  <c r="H49" i="49"/>
  <c r="I49" i="49" s="1"/>
  <c r="H78" i="49"/>
  <c r="I78" i="49" s="1"/>
  <c r="H108" i="49"/>
  <c r="I108" i="49" s="1"/>
  <c r="T7" i="19"/>
  <c r="H6" i="49" s="1"/>
  <c r="I6" i="49" s="1"/>
  <c r="H20" i="49"/>
  <c r="I20" i="49" s="1"/>
  <c r="H25" i="49"/>
  <c r="I25" i="49" s="1"/>
  <c r="H255" i="49"/>
  <c r="I255" i="49" s="1"/>
  <c r="C5" i="32"/>
  <c r="C314" i="32" s="1"/>
  <c r="H314" i="32" s="1"/>
  <c r="Y316" i="19"/>
  <c r="F16" i="49"/>
  <c r="F60" i="49"/>
  <c r="F11" i="49"/>
  <c r="F191" i="49"/>
  <c r="F288" i="49"/>
  <c r="F235" i="49"/>
  <c r="F15" i="49"/>
  <c r="F196" i="49"/>
  <c r="F31" i="49"/>
  <c r="F13" i="49"/>
  <c r="F130" i="49"/>
  <c r="F91" i="49"/>
  <c r="F127" i="49"/>
  <c r="F183" i="49"/>
  <c r="F259" i="49"/>
  <c r="F48" i="49"/>
  <c r="F248" i="49"/>
  <c r="F14" i="49"/>
  <c r="F75" i="49"/>
  <c r="F85" i="49"/>
  <c r="F95" i="49"/>
  <c r="F125" i="49"/>
  <c r="F176" i="49"/>
  <c r="F72" i="49"/>
  <c r="F90" i="49"/>
  <c r="F114" i="49"/>
  <c r="F226" i="49"/>
  <c r="F296" i="49"/>
  <c r="F106" i="49"/>
  <c r="F19" i="49"/>
  <c r="F195" i="49"/>
  <c r="F51" i="49"/>
  <c r="F79" i="49"/>
  <c r="F240" i="49"/>
  <c r="F28" i="49"/>
  <c r="F230" i="49"/>
  <c r="F59" i="49"/>
  <c r="F164" i="49"/>
  <c r="F35" i="49"/>
  <c r="F77" i="49"/>
  <c r="F119" i="49"/>
  <c r="F276" i="49"/>
  <c r="F299" i="49"/>
  <c r="F52" i="49"/>
  <c r="F83" i="49"/>
  <c r="F80" i="49"/>
  <c r="F163" i="49"/>
  <c r="F231" i="49"/>
  <c r="F172" i="49"/>
  <c r="F165" i="49"/>
  <c r="F123" i="49"/>
  <c r="F223" i="49"/>
  <c r="F280" i="49"/>
  <c r="F32" i="49"/>
  <c r="F139" i="49"/>
  <c r="F157" i="49"/>
  <c r="F239" i="49"/>
  <c r="F289" i="49"/>
  <c r="F56" i="49"/>
  <c r="F84" i="49"/>
  <c r="F175" i="49"/>
  <c r="F266" i="49"/>
  <c r="F67" i="49"/>
  <c r="F68" i="49"/>
  <c r="F126" i="49"/>
  <c r="F206" i="49"/>
  <c r="F47" i="49"/>
  <c r="F143" i="49"/>
  <c r="F207" i="49"/>
  <c r="F39" i="49"/>
  <c r="F107" i="49"/>
  <c r="F150" i="49"/>
  <c r="O316" i="19"/>
  <c r="K8" i="36"/>
  <c r="I317" i="36"/>
  <c r="E317" i="36"/>
  <c r="J317" i="36"/>
  <c r="H317" i="36"/>
  <c r="F317" i="36"/>
  <c r="D317" i="36"/>
  <c r="G316" i="19"/>
  <c r="G317" i="36"/>
  <c r="K317" i="36" l="1"/>
  <c r="E5" i="32"/>
  <c r="E314" i="32" s="1"/>
  <c r="I315" i="49"/>
  <c r="E14" i="48"/>
  <c r="F15" i="48" s="1"/>
  <c r="H5" i="32"/>
  <c r="D11" i="9" s="1"/>
  <c r="D320" i="9" s="1"/>
  <c r="U7" i="19"/>
  <c r="G6" i="49" s="1"/>
  <c r="F6" i="49"/>
  <c r="F16" i="34"/>
  <c r="F28" i="48"/>
  <c r="F115" i="49"/>
  <c r="J233" i="13"/>
  <c r="F233" i="49"/>
  <c r="F251" i="49"/>
  <c r="F199" i="49"/>
  <c r="F129" i="49"/>
  <c r="F305" i="49"/>
  <c r="J218" i="13"/>
  <c r="F218" i="49"/>
  <c r="F122" i="49"/>
  <c r="F274" i="49"/>
  <c r="F154" i="49"/>
  <c r="F62" i="49"/>
  <c r="F297" i="49"/>
  <c r="F208" i="49"/>
  <c r="F128" i="49"/>
  <c r="F284" i="49"/>
  <c r="F12" i="49"/>
  <c r="F135" i="49"/>
  <c r="F63" i="49"/>
  <c r="F78" i="49"/>
  <c r="F168" i="49"/>
  <c r="F268" i="49"/>
  <c r="F301" i="49"/>
  <c r="F258" i="49"/>
  <c r="F182" i="49"/>
  <c r="F100" i="49"/>
  <c r="F58" i="49"/>
  <c r="F253" i="49"/>
  <c r="F261" i="49"/>
  <c r="F144" i="49"/>
  <c r="F70" i="49"/>
  <c r="F46" i="49"/>
  <c r="F74" i="49"/>
  <c r="F124" i="49"/>
  <c r="F96" i="49"/>
  <c r="F302" i="49"/>
  <c r="F279" i="49"/>
  <c r="J194" i="13"/>
  <c r="F194" i="49"/>
  <c r="F57" i="49"/>
  <c r="F286" i="49"/>
  <c r="J197" i="13"/>
  <c r="F197" i="49"/>
  <c r="F200" i="49"/>
  <c r="F97" i="49"/>
  <c r="J27" i="13"/>
  <c r="F27" i="49"/>
  <c r="F93" i="49"/>
  <c r="F112" i="49"/>
  <c r="F18" i="49"/>
  <c r="J34" i="13"/>
  <c r="F34" i="49"/>
  <c r="F138" i="49"/>
  <c r="F275" i="49"/>
  <c r="F142" i="49"/>
  <c r="J298" i="13"/>
  <c r="F298" i="49"/>
  <c r="F229" i="49"/>
  <c r="F158" i="49"/>
  <c r="F66" i="49"/>
  <c r="F224" i="49"/>
  <c r="J215" i="13"/>
  <c r="F215" i="49"/>
  <c r="J26" i="13"/>
  <c r="F26" i="49"/>
  <c r="F265" i="49"/>
  <c r="F88" i="49"/>
  <c r="F295" i="49"/>
  <c r="J7" i="13"/>
  <c r="F7" i="49"/>
  <c r="F33" i="49"/>
  <c r="F104" i="49"/>
  <c r="F287" i="49"/>
  <c r="J246" i="13"/>
  <c r="F246" i="49"/>
  <c r="F202" i="49"/>
  <c r="F137" i="49"/>
  <c r="F294" i="49"/>
  <c r="F257" i="49"/>
  <c r="F205" i="49"/>
  <c r="F171" i="49"/>
  <c r="F136" i="49"/>
  <c r="F30" i="49"/>
  <c r="F281" i="49"/>
  <c r="F192" i="49"/>
  <c r="F148" i="49"/>
  <c r="F98" i="49"/>
  <c r="F227" i="49"/>
  <c r="J54" i="13"/>
  <c r="F54" i="49"/>
  <c r="F8" i="49"/>
  <c r="F50" i="49"/>
  <c r="F243" i="49"/>
  <c r="F177" i="49"/>
  <c r="F151" i="49"/>
  <c r="J271" i="13"/>
  <c r="F271" i="49"/>
  <c r="F186" i="49"/>
  <c r="F308" i="49"/>
  <c r="F225" i="49"/>
  <c r="F185" i="49"/>
  <c r="F109" i="49"/>
  <c r="F252" i="49"/>
  <c r="J111" i="13"/>
  <c r="F111" i="49"/>
  <c r="F87" i="49"/>
  <c r="J303" i="13"/>
  <c r="F303" i="49"/>
  <c r="F220" i="49"/>
  <c r="F25" i="49"/>
  <c r="J10" i="13"/>
  <c r="F10" i="49"/>
  <c r="J141" i="13"/>
  <c r="F141" i="49"/>
  <c r="F40" i="49"/>
  <c r="F147" i="49"/>
  <c r="F214" i="49"/>
  <c r="F133" i="49"/>
  <c r="F290" i="49"/>
  <c r="J217" i="13"/>
  <c r="F217" i="49"/>
  <c r="F61" i="49"/>
  <c r="F293" i="49"/>
  <c r="F188" i="49"/>
  <c r="J167" i="13"/>
  <c r="F167" i="49"/>
  <c r="J24" i="13"/>
  <c r="F24" i="49"/>
  <c r="F307" i="49"/>
  <c r="J131" i="13"/>
  <c r="F131" i="49"/>
  <c r="F146" i="49"/>
  <c r="F9" i="49"/>
  <c r="F234" i="49"/>
  <c r="F145" i="49"/>
  <c r="F260" i="49"/>
  <c r="J116" i="13"/>
  <c r="F116" i="49"/>
  <c r="F166" i="49"/>
  <c r="F267" i="49"/>
  <c r="F306" i="49"/>
  <c r="J236" i="13"/>
  <c r="F236" i="49"/>
  <c r="F117" i="49"/>
  <c r="F203" i="49"/>
  <c r="F309" i="49"/>
  <c r="F190" i="49"/>
  <c r="J262" i="13"/>
  <c r="F262" i="49"/>
  <c r="F193" i="49"/>
  <c r="F113" i="49"/>
  <c r="F269" i="49"/>
  <c r="F180" i="49"/>
  <c r="F264" i="49"/>
  <c r="F92" i="49"/>
  <c r="F71" i="49"/>
  <c r="F273" i="49"/>
  <c r="F103" i="49"/>
  <c r="J255" i="13"/>
  <c r="F255" i="49"/>
  <c r="F20" i="49"/>
  <c r="F49" i="49"/>
  <c r="F169" i="49"/>
  <c r="F312" i="49"/>
  <c r="F263" i="49"/>
  <c r="F278" i="49"/>
  <c r="F313" i="49"/>
  <c r="F310" i="49"/>
  <c r="F187" i="49"/>
  <c r="F283" i="49"/>
  <c r="F241" i="49"/>
  <c r="F198" i="49"/>
  <c r="F159" i="49"/>
  <c r="F118" i="49"/>
  <c r="F304" i="49"/>
  <c r="F270" i="49"/>
  <c r="F237" i="49"/>
  <c r="F201" i="49"/>
  <c r="F149" i="49"/>
  <c r="F38" i="49"/>
  <c r="J277" i="13"/>
  <c r="F277" i="49"/>
  <c r="F204" i="49"/>
  <c r="F161" i="49"/>
  <c r="J120" i="13"/>
  <c r="F120" i="49"/>
  <c r="F242" i="49"/>
  <c r="F81" i="49"/>
  <c r="F189" i="49"/>
  <c r="J272" i="13"/>
  <c r="F272" i="49"/>
  <c r="F292" i="49"/>
  <c r="F221" i="49"/>
  <c r="F228" i="49"/>
  <c r="F179" i="49"/>
  <c r="F311" i="49"/>
  <c r="F254" i="49"/>
  <c r="J210" i="13"/>
  <c r="F210" i="49"/>
  <c r="F178" i="49"/>
  <c r="F132" i="49"/>
  <c r="F22" i="49"/>
  <c r="J300" i="13"/>
  <c r="F300" i="49"/>
  <c r="F249" i="49"/>
  <c r="F213" i="49"/>
  <c r="F162" i="49"/>
  <c r="J121" i="13"/>
  <c r="F121" i="49"/>
  <c r="F37" i="49"/>
  <c r="F216" i="49"/>
  <c r="F184" i="49"/>
  <c r="F65" i="49"/>
  <c r="F156" i="49"/>
  <c r="F238" i="49"/>
  <c r="F155" i="49"/>
  <c r="F99" i="49"/>
  <c r="F247" i="49"/>
  <c r="F211" i="49"/>
  <c r="J173" i="13"/>
  <c r="F173" i="49"/>
  <c r="F181" i="49"/>
  <c r="F153" i="49"/>
  <c r="F160" i="49"/>
  <c r="F64" i="49"/>
  <c r="F291" i="49"/>
  <c r="F250" i="49"/>
  <c r="F222" i="49"/>
  <c r="J110" i="13"/>
  <c r="F110" i="49"/>
  <c r="F17" i="49"/>
  <c r="F282" i="49"/>
  <c r="F245" i="49"/>
  <c r="F209" i="49"/>
  <c r="F174" i="49"/>
  <c r="F140" i="49"/>
  <c r="J285" i="13"/>
  <c r="F285" i="49"/>
  <c r="F256" i="49"/>
  <c r="F212" i="49"/>
  <c r="F152" i="49"/>
  <c r="F314" i="49"/>
  <c r="F232" i="49"/>
  <c r="F134" i="49"/>
  <c r="F73" i="49"/>
  <c r="F108" i="49"/>
  <c r="F105" i="49"/>
  <c r="F102" i="49"/>
  <c r="F101" i="49"/>
  <c r="F94" i="49"/>
  <c r="F89" i="49"/>
  <c r="F86" i="49"/>
  <c r="F82" i="49"/>
  <c r="F76" i="49"/>
  <c r="F69" i="49"/>
  <c r="F55" i="49"/>
  <c r="J53" i="13"/>
  <c r="F53" i="49"/>
  <c r="J45" i="13"/>
  <c r="F45" i="49"/>
  <c r="F44" i="49"/>
  <c r="F43" i="49"/>
  <c r="F42" i="49"/>
  <c r="F41" i="49"/>
  <c r="F36" i="49"/>
  <c r="F29" i="49"/>
  <c r="H315" i="49"/>
  <c r="F23" i="49"/>
  <c r="F21" i="49"/>
  <c r="T316" i="19"/>
  <c r="G206" i="49"/>
  <c r="G32" i="49"/>
  <c r="G172" i="49"/>
  <c r="G35" i="49"/>
  <c r="G59" i="49"/>
  <c r="G72" i="49"/>
  <c r="G85" i="49"/>
  <c r="G127" i="49"/>
  <c r="G207" i="49"/>
  <c r="G126" i="49"/>
  <c r="G56" i="49"/>
  <c r="G280" i="49"/>
  <c r="G231" i="49"/>
  <c r="G276" i="49"/>
  <c r="G230" i="49"/>
  <c r="G195" i="49"/>
  <c r="G176" i="49"/>
  <c r="G48" i="49"/>
  <c r="G235" i="49"/>
  <c r="G11" i="49"/>
  <c r="G143" i="49"/>
  <c r="G175" i="49"/>
  <c r="G157" i="49"/>
  <c r="G223" i="49"/>
  <c r="G165" i="49"/>
  <c r="G163" i="49"/>
  <c r="G52" i="49"/>
  <c r="G119" i="49"/>
  <c r="G164" i="49"/>
  <c r="G28" i="49"/>
  <c r="G51" i="49"/>
  <c r="G19" i="49"/>
  <c r="G114" i="49"/>
  <c r="G125" i="49"/>
  <c r="G14" i="49"/>
  <c r="G259" i="49"/>
  <c r="G31" i="49"/>
  <c r="G39" i="49"/>
  <c r="G67" i="49"/>
  <c r="G296" i="49"/>
  <c r="G15" i="49"/>
  <c r="G191" i="49"/>
  <c r="G150" i="49"/>
  <c r="G266" i="49"/>
  <c r="G239" i="49"/>
  <c r="G83" i="49"/>
  <c r="G79" i="49"/>
  <c r="G226" i="49"/>
  <c r="G75" i="49"/>
  <c r="G91" i="49"/>
  <c r="G13" i="49"/>
  <c r="G16" i="49"/>
  <c r="G107" i="49"/>
  <c r="G47" i="49"/>
  <c r="G68" i="49"/>
  <c r="G84" i="49"/>
  <c r="G289" i="49"/>
  <c r="G139" i="49"/>
  <c r="G123" i="49"/>
  <c r="G80" i="49"/>
  <c r="G299" i="49"/>
  <c r="G77" i="49"/>
  <c r="G240" i="49"/>
  <c r="G106" i="49"/>
  <c r="G90" i="49"/>
  <c r="G95" i="49"/>
  <c r="G248" i="49"/>
  <c r="G183" i="49"/>
  <c r="G130" i="49"/>
  <c r="G196" i="49"/>
  <c r="G288" i="49"/>
  <c r="G60" i="49"/>
  <c r="C5" i="9"/>
  <c r="D315" i="25"/>
  <c r="D314" i="33"/>
  <c r="R316" i="19"/>
  <c r="J170" i="49" l="1"/>
  <c r="K170" i="49" s="1"/>
  <c r="L170" i="49" s="1"/>
  <c r="J244" i="49"/>
  <c r="J6" i="49"/>
  <c r="L6" i="49" s="1"/>
  <c r="J219" i="49"/>
  <c r="F325" i="34"/>
  <c r="J128" i="13"/>
  <c r="J46" i="13"/>
  <c r="J199" i="13"/>
  <c r="J112" i="13"/>
  <c r="J124" i="13"/>
  <c r="J158" i="13"/>
  <c r="J275" i="13"/>
  <c r="J9" i="13"/>
  <c r="J65" i="13"/>
  <c r="J228" i="13"/>
  <c r="J208" i="13"/>
  <c r="J50" i="13"/>
  <c r="J145" i="13"/>
  <c r="J8" i="49"/>
  <c r="K8" i="49" s="1"/>
  <c r="J297" i="13"/>
  <c r="C5" i="39"/>
  <c r="G36" i="49"/>
  <c r="J36" i="13"/>
  <c r="G42" i="49"/>
  <c r="J42" i="13"/>
  <c r="G44" i="49"/>
  <c r="G53" i="49"/>
  <c r="G82" i="49"/>
  <c r="G89" i="49"/>
  <c r="J89" i="13"/>
  <c r="G101" i="49"/>
  <c r="G105" i="49"/>
  <c r="G73" i="49"/>
  <c r="J73" i="13"/>
  <c r="G232" i="49"/>
  <c r="G152" i="49"/>
  <c r="G256" i="49"/>
  <c r="G140" i="49"/>
  <c r="J140" i="13"/>
  <c r="G209" i="49"/>
  <c r="J209" i="13"/>
  <c r="G282" i="49"/>
  <c r="G110" i="49"/>
  <c r="G222" i="49"/>
  <c r="G291" i="49"/>
  <c r="J291" i="13"/>
  <c r="G160" i="49"/>
  <c r="J160" i="13"/>
  <c r="G153" i="49"/>
  <c r="J153" i="13"/>
  <c r="G173" i="49"/>
  <c r="G247" i="49"/>
  <c r="J247" i="13"/>
  <c r="G155" i="49"/>
  <c r="J155" i="13"/>
  <c r="G156" i="49"/>
  <c r="G184" i="49"/>
  <c r="J184" i="13"/>
  <c r="G37" i="49"/>
  <c r="G162" i="49"/>
  <c r="G249" i="49"/>
  <c r="G22" i="49"/>
  <c r="G178" i="49"/>
  <c r="G254" i="49"/>
  <c r="G179" i="49"/>
  <c r="G221" i="49"/>
  <c r="J221" i="13"/>
  <c r="G292" i="49"/>
  <c r="G189" i="49"/>
  <c r="G81" i="49"/>
  <c r="G120" i="49"/>
  <c r="G204" i="49"/>
  <c r="G38" i="49"/>
  <c r="G201" i="49"/>
  <c r="G270" i="49"/>
  <c r="G118" i="49"/>
  <c r="G198" i="49"/>
  <c r="J198" i="13"/>
  <c r="G283" i="49"/>
  <c r="G310" i="49"/>
  <c r="G278" i="49"/>
  <c r="J278" i="13"/>
  <c r="G312" i="49"/>
  <c r="J312" i="13"/>
  <c r="G49" i="49"/>
  <c r="J49" i="13"/>
  <c r="G255" i="49"/>
  <c r="G273" i="49"/>
  <c r="J273" i="13"/>
  <c r="G92" i="49"/>
  <c r="J92" i="13"/>
  <c r="G180" i="49"/>
  <c r="J180" i="13"/>
  <c r="G113" i="49"/>
  <c r="J113" i="13"/>
  <c r="G262" i="49"/>
  <c r="G203" i="49"/>
  <c r="J203" i="13"/>
  <c r="G236" i="49"/>
  <c r="G267" i="49"/>
  <c r="J267" i="13"/>
  <c r="G260" i="49"/>
  <c r="J260" i="13"/>
  <c r="G234" i="49"/>
  <c r="G146" i="49"/>
  <c r="J146" i="13"/>
  <c r="G131" i="49"/>
  <c r="G24" i="49"/>
  <c r="G188" i="49"/>
  <c r="J188" i="13"/>
  <c r="G61" i="49"/>
  <c r="J61" i="13"/>
  <c r="G290" i="49"/>
  <c r="J290" i="13"/>
  <c r="G214" i="49"/>
  <c r="J214" i="13"/>
  <c r="G40" i="49"/>
  <c r="G141" i="49"/>
  <c r="G25" i="49"/>
  <c r="J25" i="13"/>
  <c r="G303" i="49"/>
  <c r="G111" i="49"/>
  <c r="G252" i="49"/>
  <c r="J252" i="13"/>
  <c r="G185" i="49"/>
  <c r="J185" i="13"/>
  <c r="G308" i="49"/>
  <c r="J308" i="13"/>
  <c r="G271" i="49"/>
  <c r="G177" i="49"/>
  <c r="J177" i="13"/>
  <c r="G50" i="49"/>
  <c r="G54" i="49"/>
  <c r="G98" i="49"/>
  <c r="J98" i="13"/>
  <c r="G192" i="49"/>
  <c r="J192" i="13"/>
  <c r="G281" i="49"/>
  <c r="J281" i="13"/>
  <c r="G136" i="49"/>
  <c r="J136" i="13"/>
  <c r="G205" i="49"/>
  <c r="J205" i="13"/>
  <c r="G294" i="49"/>
  <c r="J294" i="13"/>
  <c r="G202" i="49"/>
  <c r="J202" i="13"/>
  <c r="G287" i="49"/>
  <c r="J287" i="13"/>
  <c r="G33" i="49"/>
  <c r="J33" i="13"/>
  <c r="G295" i="49"/>
  <c r="J295" i="13"/>
  <c r="G265" i="49"/>
  <c r="J265" i="13"/>
  <c r="G215" i="49"/>
  <c r="G66" i="49"/>
  <c r="J66" i="13"/>
  <c r="G229" i="49"/>
  <c r="J229" i="13"/>
  <c r="G142" i="49"/>
  <c r="J142" i="13"/>
  <c r="G138" i="49"/>
  <c r="J138" i="13"/>
  <c r="G18" i="49"/>
  <c r="J18" i="13"/>
  <c r="G93" i="49"/>
  <c r="J93" i="13"/>
  <c r="G97" i="49"/>
  <c r="J97" i="13"/>
  <c r="G197" i="49"/>
  <c r="G57" i="49"/>
  <c r="J57" i="13"/>
  <c r="G279" i="49"/>
  <c r="J279" i="13"/>
  <c r="G96" i="49"/>
  <c r="G74" i="49"/>
  <c r="J74" i="13"/>
  <c r="G70" i="49"/>
  <c r="G261" i="49"/>
  <c r="J261" i="13"/>
  <c r="G253" i="49"/>
  <c r="J253" i="13"/>
  <c r="G100" i="49"/>
  <c r="J100" i="13"/>
  <c r="G258" i="49"/>
  <c r="J258" i="13"/>
  <c r="G268" i="49"/>
  <c r="J268" i="13"/>
  <c r="G78" i="49"/>
  <c r="J78" i="13"/>
  <c r="G135" i="49"/>
  <c r="J135" i="13"/>
  <c r="G284" i="49"/>
  <c r="J284" i="13"/>
  <c r="G208" i="49"/>
  <c r="G62" i="49"/>
  <c r="G274" i="49"/>
  <c r="G218" i="49"/>
  <c r="G129" i="49"/>
  <c r="J129" i="13"/>
  <c r="G251" i="49"/>
  <c r="J251" i="13"/>
  <c r="G115" i="49"/>
  <c r="J115" i="13"/>
  <c r="J62" i="13"/>
  <c r="J274" i="13"/>
  <c r="J105" i="13"/>
  <c r="J234" i="13"/>
  <c r="J40" i="13"/>
  <c r="J152" i="13"/>
  <c r="J118" i="13"/>
  <c r="G69" i="49"/>
  <c r="J69" i="13"/>
  <c r="J96" i="13"/>
  <c r="J70" i="13"/>
  <c r="J282" i="13"/>
  <c r="J310" i="13"/>
  <c r="G21" i="49"/>
  <c r="J159" i="13"/>
  <c r="C5" i="12"/>
  <c r="F5" i="32"/>
  <c r="J6" i="13"/>
  <c r="J305" i="13"/>
  <c r="J302" i="13"/>
  <c r="C5" i="33"/>
  <c r="J7" i="49"/>
  <c r="L7" i="49" s="1"/>
  <c r="J9" i="49"/>
  <c r="J13" i="49"/>
  <c r="J17" i="49"/>
  <c r="J21" i="49"/>
  <c r="J25" i="49"/>
  <c r="J29" i="49"/>
  <c r="J33" i="49"/>
  <c r="J37" i="49"/>
  <c r="J41" i="49"/>
  <c r="J45" i="49"/>
  <c r="J49" i="49"/>
  <c r="J53" i="49"/>
  <c r="J57" i="49"/>
  <c r="J61" i="49"/>
  <c r="J65" i="49"/>
  <c r="J69" i="49"/>
  <c r="J12" i="49"/>
  <c r="J18" i="49"/>
  <c r="J23" i="49"/>
  <c r="J28" i="49"/>
  <c r="J34" i="49"/>
  <c r="J39" i="49"/>
  <c r="J44" i="49"/>
  <c r="J50" i="49"/>
  <c r="J55" i="49"/>
  <c r="J60" i="49"/>
  <c r="J66" i="49"/>
  <c r="J71" i="49"/>
  <c r="J75" i="49"/>
  <c r="J79" i="49"/>
  <c r="J83" i="49"/>
  <c r="J87" i="49"/>
  <c r="J91" i="49"/>
  <c r="J95" i="49"/>
  <c r="J99" i="49"/>
  <c r="J103" i="49"/>
  <c r="J107" i="49"/>
  <c r="J111" i="49"/>
  <c r="J115" i="49"/>
  <c r="J119" i="49"/>
  <c r="L119" i="49" s="1"/>
  <c r="J123" i="49"/>
  <c r="J127" i="49"/>
  <c r="L127" i="49" s="1"/>
  <c r="J131" i="49"/>
  <c r="L131" i="49" s="1"/>
  <c r="J135" i="49"/>
  <c r="L135" i="49" s="1"/>
  <c r="J139" i="49"/>
  <c r="J143" i="49"/>
  <c r="J147" i="49"/>
  <c r="J151" i="49"/>
  <c r="L151" i="49" s="1"/>
  <c r="J155" i="49"/>
  <c r="L155" i="49" s="1"/>
  <c r="J159" i="49"/>
  <c r="J163" i="49"/>
  <c r="J171" i="49"/>
  <c r="J178" i="49"/>
  <c r="J182" i="49"/>
  <c r="J186" i="49"/>
  <c r="J190" i="49"/>
  <c r="J194" i="49"/>
  <c r="J198" i="49"/>
  <c r="J202" i="49"/>
  <c r="L202" i="49" s="1"/>
  <c r="J206" i="49"/>
  <c r="J210" i="49"/>
  <c r="J214" i="49"/>
  <c r="J218" i="49"/>
  <c r="J221" i="49"/>
  <c r="J225" i="49"/>
  <c r="L225" i="49" s="1"/>
  <c r="J229" i="49"/>
  <c r="J11" i="49"/>
  <c r="J19" i="49"/>
  <c r="J26" i="49"/>
  <c r="J32" i="49"/>
  <c r="J40" i="49"/>
  <c r="J47" i="49"/>
  <c r="J54" i="49"/>
  <c r="J62" i="49"/>
  <c r="J68" i="49"/>
  <c r="J74" i="49"/>
  <c r="J80" i="49"/>
  <c r="J85" i="49"/>
  <c r="J90" i="49"/>
  <c r="J96" i="49"/>
  <c r="J101" i="49"/>
  <c r="J106" i="49"/>
  <c r="J112" i="49"/>
  <c r="L112" i="49" s="1"/>
  <c r="J117" i="49"/>
  <c r="L117" i="49" s="1"/>
  <c r="J122" i="49"/>
  <c r="L122" i="49" s="1"/>
  <c r="J128" i="49"/>
  <c r="L128" i="49" s="1"/>
  <c r="J133" i="49"/>
  <c r="J138" i="49"/>
  <c r="J144" i="49"/>
  <c r="L144" i="49" s="1"/>
  <c r="J149" i="49"/>
  <c r="L149" i="49" s="1"/>
  <c r="J154" i="49"/>
  <c r="L154" i="49" s="1"/>
  <c r="J160" i="49"/>
  <c r="J164" i="49"/>
  <c r="J167" i="49"/>
  <c r="J172" i="49"/>
  <c r="J176" i="49"/>
  <c r="J181" i="49"/>
  <c r="J187" i="49"/>
  <c r="J192" i="49"/>
  <c r="J197" i="49"/>
  <c r="J203" i="49"/>
  <c r="L203" i="49" s="1"/>
  <c r="J208" i="49"/>
  <c r="J213" i="49"/>
  <c r="J223" i="49"/>
  <c r="J228" i="49"/>
  <c r="J233" i="49"/>
  <c r="J236" i="49"/>
  <c r="J238" i="49"/>
  <c r="J242" i="49"/>
  <c r="J247" i="49"/>
  <c r="J251" i="49"/>
  <c r="J255" i="49"/>
  <c r="J259" i="49"/>
  <c r="J263" i="49"/>
  <c r="J267" i="49"/>
  <c r="J271" i="49"/>
  <c r="J275" i="49"/>
  <c r="L275" i="49" s="1"/>
  <c r="J279" i="49"/>
  <c r="L279" i="49" s="1"/>
  <c r="J283" i="49"/>
  <c r="L283" i="49" s="1"/>
  <c r="J287" i="49"/>
  <c r="J291" i="49"/>
  <c r="J295" i="49"/>
  <c r="J298" i="49"/>
  <c r="J302" i="49"/>
  <c r="J306" i="49"/>
  <c r="J310" i="49"/>
  <c r="J314" i="49"/>
  <c r="J10" i="49"/>
  <c r="J20" i="49"/>
  <c r="J30" i="49"/>
  <c r="J38" i="49"/>
  <c r="J48" i="49"/>
  <c r="J58" i="49"/>
  <c r="J67" i="49"/>
  <c r="J76" i="49"/>
  <c r="J82" i="49"/>
  <c r="J89" i="49"/>
  <c r="J97" i="49"/>
  <c r="J104" i="49"/>
  <c r="J110" i="49"/>
  <c r="J118" i="49"/>
  <c r="J125" i="49"/>
  <c r="J132" i="49"/>
  <c r="J140" i="49"/>
  <c r="J146" i="49"/>
  <c r="J153" i="49"/>
  <c r="J161" i="49"/>
  <c r="J177" i="49"/>
  <c r="J184" i="49"/>
  <c r="J191" i="49"/>
  <c r="L191" i="49" s="1"/>
  <c r="J199" i="49"/>
  <c r="J205" i="49"/>
  <c r="J212" i="49"/>
  <c r="J220" i="49"/>
  <c r="J226" i="49"/>
  <c r="J232" i="49"/>
  <c r="J240" i="49"/>
  <c r="J246" i="49"/>
  <c r="J252" i="49"/>
  <c r="J257" i="49"/>
  <c r="J262" i="49"/>
  <c r="J268" i="49"/>
  <c r="J273" i="49"/>
  <c r="J278" i="49"/>
  <c r="L278" i="49" s="1"/>
  <c r="J284" i="49"/>
  <c r="L284" i="49" s="1"/>
  <c r="J289" i="49"/>
  <c r="J294" i="49"/>
  <c r="J299" i="49"/>
  <c r="J304" i="49"/>
  <c r="J309" i="49"/>
  <c r="J14" i="49"/>
  <c r="L14" i="49" s="1"/>
  <c r="J22" i="49"/>
  <c r="J31" i="49"/>
  <c r="J42" i="49"/>
  <c r="J51" i="49"/>
  <c r="J59" i="49"/>
  <c r="J70" i="49"/>
  <c r="J77" i="49"/>
  <c r="J84" i="49"/>
  <c r="J92" i="49"/>
  <c r="J98" i="49"/>
  <c r="J105" i="49"/>
  <c r="J113" i="49"/>
  <c r="J120" i="49"/>
  <c r="L120" i="49" s="1"/>
  <c r="J126" i="49"/>
  <c r="L126" i="49" s="1"/>
  <c r="J134" i="49"/>
  <c r="L134" i="49" s="1"/>
  <c r="J141" i="49"/>
  <c r="J148" i="49"/>
  <c r="J156" i="49"/>
  <c r="L156" i="49" s="1"/>
  <c r="J162" i="49"/>
  <c r="J166" i="49"/>
  <c r="J173" i="49"/>
  <c r="J179" i="49"/>
  <c r="J185" i="49"/>
  <c r="J193" i="49"/>
  <c r="J200" i="49"/>
  <c r="J207" i="49"/>
  <c r="J215" i="49"/>
  <c r="J227" i="49"/>
  <c r="J234" i="49"/>
  <c r="J237" i="49"/>
  <c r="J241" i="49"/>
  <c r="J248" i="49"/>
  <c r="J253" i="49"/>
  <c r="J258" i="49"/>
  <c r="J264" i="49"/>
  <c r="J269" i="49"/>
  <c r="J274" i="49"/>
  <c r="J280" i="49"/>
  <c r="L280" i="49" s="1"/>
  <c r="J285" i="49"/>
  <c r="J290" i="49"/>
  <c r="J296" i="49"/>
  <c r="L296" i="49" s="1"/>
  <c r="J300" i="49"/>
  <c r="J305" i="49"/>
  <c r="L305" i="49" s="1"/>
  <c r="J311" i="49"/>
  <c r="J15" i="49"/>
  <c r="J24" i="49"/>
  <c r="J35" i="49"/>
  <c r="J43" i="49"/>
  <c r="J52" i="49"/>
  <c r="J63" i="49"/>
  <c r="J72" i="49"/>
  <c r="J78" i="49"/>
  <c r="J86" i="49"/>
  <c r="J93" i="49"/>
  <c r="J100" i="49"/>
  <c r="J108" i="49"/>
  <c r="J114" i="49"/>
  <c r="L114" i="49" s="1"/>
  <c r="J121" i="49"/>
  <c r="L121" i="49" s="1"/>
  <c r="J129" i="49"/>
  <c r="L129" i="49" s="1"/>
  <c r="J136" i="49"/>
  <c r="J142" i="49"/>
  <c r="J150" i="49"/>
  <c r="L150" i="49" s="1"/>
  <c r="J157" i="49"/>
  <c r="J168" i="49"/>
  <c r="J174" i="49"/>
  <c r="J180" i="49"/>
  <c r="J188" i="49"/>
  <c r="J195" i="49"/>
  <c r="J201" i="49"/>
  <c r="J209" i="49"/>
  <c r="J216" i="49"/>
  <c r="J222" i="49"/>
  <c r="J230" i="49"/>
  <c r="J243" i="49"/>
  <c r="J249" i="49"/>
  <c r="J254" i="49"/>
  <c r="J260" i="49"/>
  <c r="J265" i="49"/>
  <c r="J270" i="49"/>
  <c r="J276" i="49"/>
  <c r="L276" i="49" s="1"/>
  <c r="J281" i="49"/>
  <c r="L281" i="49" s="1"/>
  <c r="J286" i="49"/>
  <c r="J292" i="49"/>
  <c r="J301" i="49"/>
  <c r="J307" i="49"/>
  <c r="J312" i="49"/>
  <c r="J46" i="49"/>
  <c r="J81" i="49"/>
  <c r="J109" i="49"/>
  <c r="J137" i="49"/>
  <c r="L137" i="49" s="1"/>
  <c r="J165" i="49"/>
  <c r="J189" i="49"/>
  <c r="J217" i="49"/>
  <c r="J239" i="49"/>
  <c r="J261" i="49"/>
  <c r="J282" i="49"/>
  <c r="L282" i="49" s="1"/>
  <c r="J303" i="49"/>
  <c r="J64" i="49"/>
  <c r="J175" i="49"/>
  <c r="J250" i="49"/>
  <c r="J293" i="49"/>
  <c r="J36" i="49"/>
  <c r="J73" i="49"/>
  <c r="J102" i="49"/>
  <c r="J130" i="49"/>
  <c r="L130" i="49" s="1"/>
  <c r="J158" i="49"/>
  <c r="L158" i="49" s="1"/>
  <c r="J183" i="49"/>
  <c r="J211" i="49"/>
  <c r="J235" i="49"/>
  <c r="J256" i="49"/>
  <c r="J277" i="49"/>
  <c r="L277" i="49" s="1"/>
  <c r="J297" i="49"/>
  <c r="J16" i="49"/>
  <c r="J56" i="49"/>
  <c r="J88" i="49"/>
  <c r="J116" i="49"/>
  <c r="J145" i="49"/>
  <c r="J169" i="49"/>
  <c r="J196" i="49"/>
  <c r="J224" i="49"/>
  <c r="L224" i="49" s="1"/>
  <c r="J245" i="49"/>
  <c r="J266" i="49"/>
  <c r="J288" i="49"/>
  <c r="J308" i="49"/>
  <c r="J27" i="49"/>
  <c r="J94" i="49"/>
  <c r="J124" i="49"/>
  <c r="L124" i="49" s="1"/>
  <c r="J152" i="49"/>
  <c r="J204" i="49"/>
  <c r="J231" i="49"/>
  <c r="J272" i="49"/>
  <c r="J313" i="49"/>
  <c r="L313" i="49" s="1"/>
  <c r="J254" i="13"/>
  <c r="J222" i="13"/>
  <c r="J94" i="13"/>
  <c r="J44" i="13"/>
  <c r="J29" i="13"/>
  <c r="G23" i="49"/>
  <c r="G29" i="49"/>
  <c r="G41" i="49"/>
  <c r="J41" i="13"/>
  <c r="G43" i="49"/>
  <c r="G45" i="49"/>
  <c r="G55" i="49"/>
  <c r="G76" i="49"/>
  <c r="J76" i="13"/>
  <c r="G86" i="49"/>
  <c r="J86" i="13"/>
  <c r="G94" i="49"/>
  <c r="G102" i="49"/>
  <c r="J102" i="13"/>
  <c r="G108" i="49"/>
  <c r="J108" i="13"/>
  <c r="G134" i="49"/>
  <c r="J134" i="13"/>
  <c r="G314" i="49"/>
  <c r="G212" i="49"/>
  <c r="J212" i="13"/>
  <c r="G285" i="49"/>
  <c r="G174" i="49"/>
  <c r="J174" i="13"/>
  <c r="G245" i="49"/>
  <c r="J245" i="13"/>
  <c r="G17" i="49"/>
  <c r="J17" i="13"/>
  <c r="G250" i="49"/>
  <c r="J250" i="13"/>
  <c r="G64" i="49"/>
  <c r="J64" i="13"/>
  <c r="G181" i="49"/>
  <c r="J181" i="13"/>
  <c r="G211" i="49"/>
  <c r="J211" i="13"/>
  <c r="G99" i="49"/>
  <c r="J99" i="13"/>
  <c r="G238" i="49"/>
  <c r="J238" i="13"/>
  <c r="G65" i="49"/>
  <c r="G216" i="49"/>
  <c r="J216" i="13"/>
  <c r="G121" i="49"/>
  <c r="G213" i="49"/>
  <c r="J213" i="13"/>
  <c r="G300" i="49"/>
  <c r="G132" i="49"/>
  <c r="J132" i="13"/>
  <c r="G210" i="49"/>
  <c r="G311" i="49"/>
  <c r="J311" i="13"/>
  <c r="G228" i="49"/>
  <c r="G272" i="49"/>
  <c r="G242" i="49"/>
  <c r="G161" i="49"/>
  <c r="J161" i="13"/>
  <c r="G277" i="49"/>
  <c r="G149" i="49"/>
  <c r="J149" i="13"/>
  <c r="G237" i="49"/>
  <c r="G304" i="49"/>
  <c r="J304" i="13"/>
  <c r="G159" i="49"/>
  <c r="G241" i="49"/>
  <c r="J241" i="13"/>
  <c r="G187" i="49"/>
  <c r="J187" i="13"/>
  <c r="G313" i="49"/>
  <c r="J313" i="13"/>
  <c r="G263" i="49"/>
  <c r="J263" i="13"/>
  <c r="G169" i="49"/>
  <c r="J169" i="13"/>
  <c r="G20" i="49"/>
  <c r="J20" i="13"/>
  <c r="G103" i="49"/>
  <c r="J103" i="13"/>
  <c r="G71" i="49"/>
  <c r="J71" i="13"/>
  <c r="G264" i="49"/>
  <c r="G269" i="49"/>
  <c r="G193" i="49"/>
  <c r="J193" i="13"/>
  <c r="G190" i="49"/>
  <c r="J190" i="13"/>
  <c r="G309" i="49"/>
  <c r="J309" i="13"/>
  <c r="G117" i="49"/>
  <c r="J117" i="13"/>
  <c r="G306" i="49"/>
  <c r="J306" i="13"/>
  <c r="G166" i="49"/>
  <c r="J166" i="13"/>
  <c r="G116" i="49"/>
  <c r="G145" i="49"/>
  <c r="G9" i="49"/>
  <c r="G307" i="49"/>
  <c r="J307" i="13"/>
  <c r="G167" i="49"/>
  <c r="G293" i="49"/>
  <c r="J293" i="13"/>
  <c r="G217" i="49"/>
  <c r="G133" i="49"/>
  <c r="J133" i="13"/>
  <c r="G147" i="49"/>
  <c r="J147" i="13"/>
  <c r="G10" i="49"/>
  <c r="G220" i="49"/>
  <c r="J220" i="13"/>
  <c r="G87" i="49"/>
  <c r="J87" i="13"/>
  <c r="G109" i="49"/>
  <c r="J109" i="13"/>
  <c r="G225" i="49"/>
  <c r="J225" i="13"/>
  <c r="G186" i="49"/>
  <c r="J186" i="13"/>
  <c r="G151" i="49"/>
  <c r="J151" i="13"/>
  <c r="G243" i="49"/>
  <c r="J243" i="13"/>
  <c r="G8" i="49"/>
  <c r="J8" i="13"/>
  <c r="G227" i="49"/>
  <c r="G148" i="49"/>
  <c r="J148" i="13"/>
  <c r="G30" i="49"/>
  <c r="J30" i="13"/>
  <c r="G171" i="49"/>
  <c r="J171" i="13"/>
  <c r="G257" i="49"/>
  <c r="J257" i="13"/>
  <c r="G137" i="49"/>
  <c r="J137" i="13"/>
  <c r="G246" i="49"/>
  <c r="G104" i="49"/>
  <c r="J104" i="13"/>
  <c r="G7" i="49"/>
  <c r="G88" i="49"/>
  <c r="J88" i="13"/>
  <c r="G26" i="49"/>
  <c r="G224" i="49"/>
  <c r="J224" i="13"/>
  <c r="G158" i="49"/>
  <c r="G298" i="49"/>
  <c r="G275" i="49"/>
  <c r="G34" i="49"/>
  <c r="G112" i="49"/>
  <c r="G27" i="49"/>
  <c r="G200" i="49"/>
  <c r="J200" i="13"/>
  <c r="G286" i="49"/>
  <c r="J286" i="13"/>
  <c r="G194" i="49"/>
  <c r="G302" i="49"/>
  <c r="G124" i="49"/>
  <c r="G46" i="49"/>
  <c r="G144" i="49"/>
  <c r="J144" i="13"/>
  <c r="G58" i="49"/>
  <c r="G182" i="49"/>
  <c r="J182" i="13"/>
  <c r="G301" i="49"/>
  <c r="G168" i="49"/>
  <c r="J168" i="13"/>
  <c r="G63" i="49"/>
  <c r="J63" i="13"/>
  <c r="G12" i="49"/>
  <c r="J12" i="13"/>
  <c r="G128" i="49"/>
  <c r="G297" i="49"/>
  <c r="G154" i="49"/>
  <c r="G122" i="49"/>
  <c r="G305" i="49"/>
  <c r="G199" i="49"/>
  <c r="G233" i="49"/>
  <c r="J154" i="13"/>
  <c r="J122" i="13"/>
  <c r="J264" i="13"/>
  <c r="J269" i="13"/>
  <c r="J58" i="13"/>
  <c r="J301" i="13"/>
  <c r="J227" i="13"/>
  <c r="J314" i="13"/>
  <c r="J242" i="13"/>
  <c r="J237" i="13"/>
  <c r="J82" i="13"/>
  <c r="J21" i="13"/>
  <c r="J232" i="13"/>
  <c r="J256" i="13"/>
  <c r="J156" i="13"/>
  <c r="J37" i="13"/>
  <c r="J162" i="13"/>
  <c r="J249" i="13"/>
  <c r="J22" i="13"/>
  <c r="J178" i="13"/>
  <c r="J179" i="13"/>
  <c r="J292" i="13"/>
  <c r="J189" i="13"/>
  <c r="J81" i="13"/>
  <c r="J204" i="13"/>
  <c r="J38" i="13"/>
  <c r="J201" i="13"/>
  <c r="J270" i="13"/>
  <c r="J283" i="13"/>
  <c r="J101" i="13"/>
  <c r="J55" i="13"/>
  <c r="J43" i="13"/>
  <c r="J23" i="13"/>
  <c r="F315" i="49"/>
  <c r="J196" i="13"/>
  <c r="J289" i="13"/>
  <c r="J16" i="13"/>
  <c r="J239" i="13"/>
  <c r="J67" i="13"/>
  <c r="J51" i="13"/>
  <c r="J143" i="13"/>
  <c r="J230" i="13"/>
  <c r="J207" i="13"/>
  <c r="J32" i="13"/>
  <c r="J90" i="13"/>
  <c r="J13" i="13"/>
  <c r="J266" i="13"/>
  <c r="J125" i="13"/>
  <c r="J52" i="13"/>
  <c r="U316" i="19"/>
  <c r="J11" i="13"/>
  <c r="J56" i="13"/>
  <c r="J35" i="13"/>
  <c r="J60" i="13"/>
  <c r="J183" i="13"/>
  <c r="J106" i="13"/>
  <c r="J299" i="13"/>
  <c r="J123" i="13"/>
  <c r="J84" i="13"/>
  <c r="J91" i="13"/>
  <c r="J79" i="13"/>
  <c r="J150" i="13"/>
  <c r="J15" i="13"/>
  <c r="J31" i="13"/>
  <c r="J114" i="13"/>
  <c r="J28" i="13"/>
  <c r="J163" i="13"/>
  <c r="J157" i="13"/>
  <c r="J176" i="13"/>
  <c r="J276" i="13"/>
  <c r="J126" i="13"/>
  <c r="J85" i="13"/>
  <c r="J95" i="13"/>
  <c r="J68" i="13"/>
  <c r="J75" i="13"/>
  <c r="J191" i="13"/>
  <c r="J14" i="13"/>
  <c r="J119" i="13"/>
  <c r="J223" i="13"/>
  <c r="J48" i="13"/>
  <c r="J280" i="13"/>
  <c r="J59" i="13"/>
  <c r="J130" i="13"/>
  <c r="J77" i="13"/>
  <c r="J47" i="13"/>
  <c r="J226" i="13"/>
  <c r="J39" i="13"/>
  <c r="J127" i="13"/>
  <c r="J206" i="13"/>
  <c r="J288" i="13"/>
  <c r="J248" i="13"/>
  <c r="J240" i="13"/>
  <c r="J80" i="13"/>
  <c r="J139" i="13"/>
  <c r="J107" i="13"/>
  <c r="J83" i="13"/>
  <c r="J296" i="13"/>
  <c r="J259" i="13"/>
  <c r="J19" i="13"/>
  <c r="J164" i="13"/>
  <c r="J165" i="13"/>
  <c r="J175" i="13"/>
  <c r="J235" i="13"/>
  <c r="J195" i="13"/>
  <c r="J231" i="13"/>
  <c r="J72" i="13"/>
  <c r="J172" i="13"/>
  <c r="B60" i="40" l="1"/>
  <c r="B62" i="40" s="1"/>
  <c r="C314" i="39"/>
  <c r="K219" i="49"/>
  <c r="L219" i="49" s="1"/>
  <c r="K244" i="49"/>
  <c r="L244" i="49" s="1"/>
  <c r="J315" i="13"/>
  <c r="E5" i="33"/>
  <c r="G5" i="32"/>
  <c r="F314" i="32"/>
  <c r="S316" i="19"/>
  <c r="L315" i="13" s="1"/>
  <c r="K231" i="49"/>
  <c r="L231" i="49" s="1"/>
  <c r="K266" i="49"/>
  <c r="L266" i="49" s="1"/>
  <c r="K56" i="49"/>
  <c r="L56" i="49" s="1"/>
  <c r="K64" i="49"/>
  <c r="L64" i="49" s="1"/>
  <c r="K254" i="49"/>
  <c r="L254" i="49" s="1"/>
  <c r="K180" i="49"/>
  <c r="L180" i="49" s="1"/>
  <c r="K72" i="49"/>
  <c r="L72" i="49" s="1"/>
  <c r="K35" i="49"/>
  <c r="L35" i="49" s="1"/>
  <c r="K285" i="49"/>
  <c r="L285" i="49" s="1"/>
  <c r="K241" i="49"/>
  <c r="L241" i="49" s="1"/>
  <c r="K193" i="49"/>
  <c r="L193" i="49" s="1"/>
  <c r="K141" i="49"/>
  <c r="L141" i="49" s="1"/>
  <c r="K84" i="49"/>
  <c r="L84" i="49" s="1"/>
  <c r="K51" i="49"/>
  <c r="L51" i="49" s="1"/>
  <c r="K294" i="49"/>
  <c r="L294" i="49" s="1"/>
  <c r="K252" i="49"/>
  <c r="L252" i="49" s="1"/>
  <c r="K232" i="49"/>
  <c r="L232" i="49" s="1"/>
  <c r="K177" i="49"/>
  <c r="L177" i="49" s="1"/>
  <c r="K125" i="49"/>
  <c r="L125" i="49" s="1"/>
  <c r="K67" i="49"/>
  <c r="L67" i="49" s="1"/>
  <c r="K310" i="49"/>
  <c r="L310" i="49" s="1"/>
  <c r="K295" i="49"/>
  <c r="L295" i="49" s="1"/>
  <c r="K263" i="49"/>
  <c r="L263" i="49" s="1"/>
  <c r="K233" i="49"/>
  <c r="L233" i="49" s="1"/>
  <c r="K192" i="49"/>
  <c r="L192" i="49" s="1"/>
  <c r="K172" i="49"/>
  <c r="L172" i="49" s="1"/>
  <c r="K133" i="49"/>
  <c r="L133" i="49" s="1"/>
  <c r="K90" i="49"/>
  <c r="L90" i="49" s="1"/>
  <c r="K40" i="49"/>
  <c r="L40" i="49" s="1"/>
  <c r="K171" i="49"/>
  <c r="L171" i="49" s="1"/>
  <c r="K95" i="49"/>
  <c r="L95" i="49" s="1"/>
  <c r="K79" i="49"/>
  <c r="L79" i="49" s="1"/>
  <c r="K18" i="49"/>
  <c r="L18" i="49" s="1"/>
  <c r="K45" i="49"/>
  <c r="L45" i="49" s="1"/>
  <c r="K13" i="49"/>
  <c r="L13" i="49" s="1"/>
  <c r="K204" i="49"/>
  <c r="L204" i="49" s="1"/>
  <c r="K245" i="49"/>
  <c r="L245" i="49" s="1"/>
  <c r="K16" i="49"/>
  <c r="L16" i="49" s="1"/>
  <c r="K235" i="49"/>
  <c r="L235" i="49" s="1"/>
  <c r="K293" i="49"/>
  <c r="L293" i="49" s="1"/>
  <c r="K217" i="49"/>
  <c r="L217" i="49" s="1"/>
  <c r="K312" i="49"/>
  <c r="L312" i="49" s="1"/>
  <c r="K270" i="49"/>
  <c r="L270" i="49" s="1"/>
  <c r="K249" i="49"/>
  <c r="L249" i="49" s="1"/>
  <c r="K201" i="49"/>
  <c r="L201" i="49" s="1"/>
  <c r="K174" i="49"/>
  <c r="L174" i="49" s="1"/>
  <c r="K63" i="49"/>
  <c r="L63" i="49" s="1"/>
  <c r="K237" i="49"/>
  <c r="L237" i="49" s="1"/>
  <c r="K185" i="49"/>
  <c r="L185" i="49" s="1"/>
  <c r="K77" i="49"/>
  <c r="L77" i="49" s="1"/>
  <c r="K309" i="49"/>
  <c r="L309" i="49" s="1"/>
  <c r="K268" i="49"/>
  <c r="L268" i="49" s="1"/>
  <c r="K226" i="49"/>
  <c r="L226" i="49" s="1"/>
  <c r="K118" i="49"/>
  <c r="L118" i="49" s="1"/>
  <c r="K58" i="49"/>
  <c r="L58" i="49" s="1"/>
  <c r="K306" i="49"/>
  <c r="K242" i="49"/>
  <c r="L242" i="49" s="1"/>
  <c r="K187" i="49"/>
  <c r="L187" i="49" s="1"/>
  <c r="K106" i="49"/>
  <c r="L106" i="49" s="1"/>
  <c r="K62" i="49"/>
  <c r="L62" i="49" s="1"/>
  <c r="K229" i="49"/>
  <c r="L229" i="49" s="1"/>
  <c r="K198" i="49"/>
  <c r="L198" i="49" s="1"/>
  <c r="K182" i="49"/>
  <c r="L182" i="49" s="1"/>
  <c r="K139" i="49"/>
  <c r="L139" i="49" s="1"/>
  <c r="K123" i="49"/>
  <c r="L123" i="49" s="1"/>
  <c r="K107" i="49"/>
  <c r="L107" i="49" s="1"/>
  <c r="K91" i="49"/>
  <c r="L91" i="49" s="1"/>
  <c r="K75" i="49"/>
  <c r="L75" i="49" s="1"/>
  <c r="K55" i="49"/>
  <c r="L55" i="49" s="1"/>
  <c r="K34" i="49"/>
  <c r="L34" i="49" s="1"/>
  <c r="K12" i="49"/>
  <c r="L12" i="49" s="1"/>
  <c r="K57" i="49"/>
  <c r="L57" i="49" s="1"/>
  <c r="K41" i="49"/>
  <c r="L41" i="49" s="1"/>
  <c r="K9" i="49"/>
  <c r="L9" i="49" s="1"/>
  <c r="K272" i="49"/>
  <c r="L272" i="49" s="1"/>
  <c r="K288" i="49"/>
  <c r="L288" i="49" s="1"/>
  <c r="K196" i="49"/>
  <c r="L196" i="49" s="1"/>
  <c r="K88" i="49"/>
  <c r="L88" i="49" s="1"/>
  <c r="K183" i="49"/>
  <c r="L183" i="49" s="1"/>
  <c r="K73" i="49"/>
  <c r="L73" i="49" s="1"/>
  <c r="K175" i="49"/>
  <c r="L175" i="49" s="1"/>
  <c r="K261" i="49"/>
  <c r="L261" i="49" s="1"/>
  <c r="K165" i="49"/>
  <c r="L165" i="49" s="1"/>
  <c r="K46" i="49"/>
  <c r="L46" i="49" s="1"/>
  <c r="K301" i="49"/>
  <c r="L301" i="49" s="1"/>
  <c r="K260" i="49"/>
  <c r="L260" i="49" s="1"/>
  <c r="K216" i="49"/>
  <c r="L216" i="49" s="1"/>
  <c r="K188" i="49"/>
  <c r="L188" i="49" s="1"/>
  <c r="K136" i="49"/>
  <c r="L136" i="49" s="1"/>
  <c r="K108" i="49"/>
  <c r="L108" i="49" s="1"/>
  <c r="K78" i="49"/>
  <c r="L78" i="49" s="1"/>
  <c r="K43" i="49"/>
  <c r="L43" i="49" s="1"/>
  <c r="K311" i="49"/>
  <c r="L311" i="49" s="1"/>
  <c r="K290" i="49"/>
  <c r="L290" i="49" s="1"/>
  <c r="K269" i="49"/>
  <c r="L269" i="49" s="1"/>
  <c r="K248" i="49"/>
  <c r="L248" i="49" s="1"/>
  <c r="K227" i="49"/>
  <c r="L227" i="49" s="1"/>
  <c r="K200" i="49"/>
  <c r="L200" i="49" s="1"/>
  <c r="K173" i="49"/>
  <c r="L173" i="49" s="1"/>
  <c r="K148" i="49"/>
  <c r="L148" i="49" s="1"/>
  <c r="K92" i="49"/>
  <c r="L92" i="49" s="1"/>
  <c r="K59" i="49"/>
  <c r="L59" i="49" s="1"/>
  <c r="K22" i="49"/>
  <c r="L22" i="49" s="1"/>
  <c r="K299" i="49"/>
  <c r="L299" i="49" s="1"/>
  <c r="K257" i="49"/>
  <c r="L257" i="49" s="1"/>
  <c r="K212" i="49"/>
  <c r="L212" i="49" s="1"/>
  <c r="K184" i="49"/>
  <c r="L184" i="49" s="1"/>
  <c r="K161" i="49"/>
  <c r="L161" i="49" s="1"/>
  <c r="K132" i="49"/>
  <c r="L132" i="49" s="1"/>
  <c r="K104" i="49"/>
  <c r="L104" i="49" s="1"/>
  <c r="K76" i="49"/>
  <c r="L76" i="49" s="1"/>
  <c r="K38" i="49"/>
  <c r="L38" i="49" s="1"/>
  <c r="K314" i="49"/>
  <c r="L314" i="49" s="1"/>
  <c r="K298" i="49"/>
  <c r="L298" i="49" s="1"/>
  <c r="K267" i="49"/>
  <c r="L267" i="49" s="1"/>
  <c r="K251" i="49"/>
  <c r="L251" i="49" s="1"/>
  <c r="K236" i="49"/>
  <c r="L236" i="49" s="1"/>
  <c r="K197" i="49"/>
  <c r="L197" i="49" s="1"/>
  <c r="K176" i="49"/>
  <c r="L176" i="49" s="1"/>
  <c r="K160" i="49"/>
  <c r="L160" i="49" s="1"/>
  <c r="K138" i="49"/>
  <c r="L138" i="49" s="1"/>
  <c r="K96" i="49"/>
  <c r="L96" i="49" s="1"/>
  <c r="K74" i="49"/>
  <c r="L74" i="49" s="1"/>
  <c r="K47" i="49"/>
  <c r="L47" i="49" s="1"/>
  <c r="K19" i="49"/>
  <c r="L19" i="49" s="1"/>
  <c r="K221" i="49"/>
  <c r="L221" i="49" s="1"/>
  <c r="K206" i="49"/>
  <c r="L206" i="49" s="1"/>
  <c r="K190" i="49"/>
  <c r="L190" i="49" s="1"/>
  <c r="K163" i="49"/>
  <c r="L163" i="49" s="1"/>
  <c r="K147" i="49"/>
  <c r="L147" i="49" s="1"/>
  <c r="K115" i="49"/>
  <c r="L115" i="49" s="1"/>
  <c r="K99" i="49"/>
  <c r="L99" i="49" s="1"/>
  <c r="K83" i="49"/>
  <c r="L83" i="49" s="1"/>
  <c r="K66" i="49"/>
  <c r="L66" i="49" s="1"/>
  <c r="K44" i="49"/>
  <c r="L44" i="49" s="1"/>
  <c r="K23" i="49"/>
  <c r="L23" i="49" s="1"/>
  <c r="K65" i="49"/>
  <c r="L65" i="49" s="1"/>
  <c r="K49" i="49"/>
  <c r="L49" i="49" s="1"/>
  <c r="K33" i="49"/>
  <c r="L33" i="49" s="1"/>
  <c r="K17" i="49"/>
  <c r="L17" i="49" s="1"/>
  <c r="K94" i="49"/>
  <c r="L94" i="49" s="1"/>
  <c r="K169" i="49"/>
  <c r="L169" i="49" s="1"/>
  <c r="K256" i="49"/>
  <c r="L256" i="49" s="1"/>
  <c r="K36" i="49"/>
  <c r="L36" i="49" s="1"/>
  <c r="K239" i="49"/>
  <c r="L239" i="49" s="1"/>
  <c r="K209" i="49"/>
  <c r="L209" i="49" s="1"/>
  <c r="K157" i="49"/>
  <c r="L157" i="49" s="1"/>
  <c r="K100" i="49"/>
  <c r="L100" i="49" s="1"/>
  <c r="K264" i="49"/>
  <c r="L264" i="49" s="1"/>
  <c r="K166" i="49"/>
  <c r="L166" i="49" s="1"/>
  <c r="K113" i="49"/>
  <c r="L113" i="49" s="1"/>
  <c r="K273" i="49"/>
  <c r="L273" i="49" s="1"/>
  <c r="K205" i="49"/>
  <c r="L205" i="49" s="1"/>
  <c r="K153" i="49"/>
  <c r="L153" i="49" s="1"/>
  <c r="K97" i="49"/>
  <c r="L97" i="49" s="1"/>
  <c r="K30" i="49"/>
  <c r="L30" i="49" s="1"/>
  <c r="K247" i="49"/>
  <c r="L247" i="49" s="1"/>
  <c r="K213" i="49"/>
  <c r="L213" i="49" s="1"/>
  <c r="K68" i="49"/>
  <c r="L68" i="49" s="1"/>
  <c r="K11" i="49"/>
  <c r="L11" i="49" s="1"/>
  <c r="K218" i="49"/>
  <c r="L218" i="49" s="1"/>
  <c r="K186" i="49"/>
  <c r="L186" i="49" s="1"/>
  <c r="K159" i="49"/>
  <c r="L159" i="49" s="1"/>
  <c r="K143" i="49"/>
  <c r="L143" i="49" s="1"/>
  <c r="K111" i="49"/>
  <c r="L111" i="49" s="1"/>
  <c r="K60" i="49"/>
  <c r="L60" i="49" s="1"/>
  <c r="K39" i="49"/>
  <c r="L39" i="49" s="1"/>
  <c r="K61" i="49"/>
  <c r="L61" i="49" s="1"/>
  <c r="K29" i="49"/>
  <c r="L29" i="49" s="1"/>
  <c r="K27" i="49"/>
  <c r="L27" i="49" s="1"/>
  <c r="K145" i="49"/>
  <c r="L145" i="49" s="1"/>
  <c r="L303" i="49"/>
  <c r="K109" i="49"/>
  <c r="L109" i="49" s="1"/>
  <c r="K292" i="49"/>
  <c r="L292" i="49" s="1"/>
  <c r="K230" i="49"/>
  <c r="L230" i="49" s="1"/>
  <c r="K93" i="49"/>
  <c r="L93" i="49" s="1"/>
  <c r="K24" i="49"/>
  <c r="L24" i="49" s="1"/>
  <c r="K300" i="49"/>
  <c r="L300" i="49" s="1"/>
  <c r="K258" i="49"/>
  <c r="L258" i="49" s="1"/>
  <c r="K215" i="49"/>
  <c r="L215" i="49" s="1"/>
  <c r="K162" i="49"/>
  <c r="L162" i="49" s="1"/>
  <c r="K105" i="49"/>
  <c r="L105" i="49" s="1"/>
  <c r="K42" i="49"/>
  <c r="L42" i="49" s="1"/>
  <c r="K289" i="49"/>
  <c r="L289" i="49" s="1"/>
  <c r="K246" i="49"/>
  <c r="L246" i="49" s="1"/>
  <c r="K199" i="49"/>
  <c r="L199" i="49" s="1"/>
  <c r="K146" i="49"/>
  <c r="L146" i="49" s="1"/>
  <c r="K89" i="49"/>
  <c r="L89" i="49" s="1"/>
  <c r="K20" i="49"/>
  <c r="L20" i="49" s="1"/>
  <c r="K291" i="49"/>
  <c r="K259" i="49"/>
  <c r="L259" i="49" s="1"/>
  <c r="K228" i="49"/>
  <c r="L228" i="49" s="1"/>
  <c r="K208" i="49"/>
  <c r="L208" i="49" s="1"/>
  <c r="K167" i="49"/>
  <c r="L167" i="49" s="1"/>
  <c r="K85" i="49"/>
  <c r="L85" i="49" s="1"/>
  <c r="K32" i="49"/>
  <c r="L32" i="49" s="1"/>
  <c r="K214" i="49"/>
  <c r="L214" i="49" s="1"/>
  <c r="K25" i="49"/>
  <c r="L25" i="49" s="1"/>
  <c r="K152" i="49"/>
  <c r="L152" i="49" s="1"/>
  <c r="K308" i="49"/>
  <c r="L308" i="49" s="1"/>
  <c r="K116" i="49"/>
  <c r="L116" i="49" s="1"/>
  <c r="K297" i="49"/>
  <c r="K211" i="49"/>
  <c r="L211" i="49" s="1"/>
  <c r="K102" i="49"/>
  <c r="L102" i="49" s="1"/>
  <c r="K250" i="49"/>
  <c r="L250" i="49" s="1"/>
  <c r="K189" i="49"/>
  <c r="L189" i="49" s="1"/>
  <c r="K81" i="49"/>
  <c r="L81" i="49" s="1"/>
  <c r="K307" i="49"/>
  <c r="K286" i="49"/>
  <c r="L286" i="49" s="1"/>
  <c r="K265" i="49"/>
  <c r="L265" i="49" s="1"/>
  <c r="K243" i="49"/>
  <c r="L243" i="49" s="1"/>
  <c r="K222" i="49"/>
  <c r="L222" i="49" s="1"/>
  <c r="K195" i="49"/>
  <c r="L195" i="49" s="1"/>
  <c r="K168" i="49"/>
  <c r="L168" i="49" s="1"/>
  <c r="K142" i="49"/>
  <c r="L142" i="49" s="1"/>
  <c r="K86" i="49"/>
  <c r="L86" i="49" s="1"/>
  <c r="K52" i="49"/>
  <c r="L52" i="49" s="1"/>
  <c r="K15" i="49"/>
  <c r="L15" i="49" s="1"/>
  <c r="K274" i="49"/>
  <c r="L274" i="49" s="1"/>
  <c r="K253" i="49"/>
  <c r="L253" i="49" s="1"/>
  <c r="K234" i="49"/>
  <c r="L234" i="49" s="1"/>
  <c r="K207" i="49"/>
  <c r="L207" i="49" s="1"/>
  <c r="K179" i="49"/>
  <c r="L179" i="49" s="1"/>
  <c r="K98" i="49"/>
  <c r="L98" i="49" s="1"/>
  <c r="K70" i="49"/>
  <c r="L70" i="49" s="1"/>
  <c r="K31" i="49"/>
  <c r="L31" i="49" s="1"/>
  <c r="K304" i="49"/>
  <c r="L304" i="49" s="1"/>
  <c r="K262" i="49"/>
  <c r="L262" i="49" s="1"/>
  <c r="K240" i="49"/>
  <c r="L240" i="49" s="1"/>
  <c r="K220" i="49"/>
  <c r="L220" i="49" s="1"/>
  <c r="K140" i="49"/>
  <c r="L140" i="49" s="1"/>
  <c r="K110" i="49"/>
  <c r="L110" i="49" s="1"/>
  <c r="K82" i="49"/>
  <c r="L82" i="49" s="1"/>
  <c r="K48" i="49"/>
  <c r="L48" i="49" s="1"/>
  <c r="K10" i="49"/>
  <c r="L10" i="49" s="1"/>
  <c r="K302" i="49"/>
  <c r="L302" i="49" s="1"/>
  <c r="K287" i="49"/>
  <c r="K271" i="49"/>
  <c r="L271" i="49" s="1"/>
  <c r="K255" i="49"/>
  <c r="L255" i="49" s="1"/>
  <c r="K238" i="49"/>
  <c r="L238" i="49" s="1"/>
  <c r="K223" i="49"/>
  <c r="L223" i="49" s="1"/>
  <c r="K181" i="49"/>
  <c r="L181" i="49" s="1"/>
  <c r="K164" i="49"/>
  <c r="L164" i="49" s="1"/>
  <c r="K101" i="49"/>
  <c r="L101" i="49" s="1"/>
  <c r="K80" i="49"/>
  <c r="L80" i="49" s="1"/>
  <c r="K54" i="49"/>
  <c r="L54" i="49" s="1"/>
  <c r="K26" i="49"/>
  <c r="L26" i="49" s="1"/>
  <c r="K210" i="49"/>
  <c r="L210" i="49" s="1"/>
  <c r="K194" i="49"/>
  <c r="L194" i="49" s="1"/>
  <c r="K178" i="49"/>
  <c r="L178" i="49" s="1"/>
  <c r="K103" i="49"/>
  <c r="L103" i="49" s="1"/>
  <c r="K87" i="49"/>
  <c r="L87" i="49" s="1"/>
  <c r="K71" i="49"/>
  <c r="L71" i="49" s="1"/>
  <c r="K50" i="49"/>
  <c r="L50" i="49" s="1"/>
  <c r="K28" i="49"/>
  <c r="L28" i="49" s="1"/>
  <c r="K69" i="49"/>
  <c r="L69" i="49" s="1"/>
  <c r="K53" i="49"/>
  <c r="L53" i="49" s="1"/>
  <c r="K37" i="49"/>
  <c r="L37" i="49" s="1"/>
  <c r="K21" i="49"/>
  <c r="L21" i="49" s="1"/>
  <c r="J315" i="49"/>
  <c r="G315" i="49"/>
  <c r="C314" i="12"/>
  <c r="L291" i="49" l="1"/>
  <c r="L287" i="49"/>
  <c r="L297" i="49"/>
  <c r="L307" i="49"/>
  <c r="L306" i="49"/>
  <c r="E47" i="48"/>
  <c r="L8" i="49"/>
  <c r="L315" i="49" s="1"/>
  <c r="K315" i="49"/>
  <c r="N315" i="49" s="1"/>
  <c r="G314" i="37"/>
  <c r="G314" i="32"/>
  <c r="C314" i="33"/>
  <c r="E314" i="33" s="1"/>
  <c r="B63" i="40"/>
  <c r="B50" i="40" s="1"/>
  <c r="H9" i="37" l="1"/>
  <c r="H21" i="37"/>
  <c r="H24" i="37"/>
  <c r="H30" i="37"/>
  <c r="H53" i="37"/>
  <c r="H56" i="37"/>
  <c r="H62" i="37"/>
  <c r="H6" i="37"/>
  <c r="H27" i="37"/>
  <c r="H35" i="37"/>
  <c r="H59" i="37"/>
  <c r="H67" i="37"/>
  <c r="H17" i="37"/>
  <c r="H38" i="37"/>
  <c r="H41" i="37"/>
  <c r="H49" i="37"/>
  <c r="H70" i="37"/>
  <c r="H16" i="37"/>
  <c r="H19" i="37"/>
  <c r="H43" i="37"/>
  <c r="H51" i="37"/>
  <c r="H75" i="37"/>
  <c r="H8" i="37"/>
  <c r="H46" i="37"/>
  <c r="H117" i="37"/>
  <c r="H129" i="37"/>
  <c r="H132" i="37"/>
  <c r="H151" i="37"/>
  <c r="H163" i="37"/>
  <c r="H180" i="37"/>
  <c r="H215" i="37"/>
  <c r="H218" i="37"/>
  <c r="H232" i="37"/>
  <c r="H239" i="37"/>
  <c r="H246" i="37"/>
  <c r="H69" i="37"/>
  <c r="H85" i="37"/>
  <c r="H88" i="37"/>
  <c r="H137" i="37"/>
  <c r="H150" i="37"/>
  <c r="H153" i="37"/>
  <c r="H156" i="37"/>
  <c r="H169" i="37"/>
  <c r="H193" i="37"/>
  <c r="H204" i="37"/>
  <c r="H211" i="37"/>
  <c r="H221" i="37"/>
  <c r="H235" i="37"/>
  <c r="H242" i="37"/>
  <c r="H25" i="37"/>
  <c r="H116" i="37"/>
  <c r="H119" i="37"/>
  <c r="H128" i="37"/>
  <c r="H143" i="37"/>
  <c r="H172" i="37"/>
  <c r="H179" i="37"/>
  <c r="H183" i="37"/>
  <c r="H203" i="37"/>
  <c r="H207" i="37"/>
  <c r="H214" i="37"/>
  <c r="H231" i="37"/>
  <c r="H14" i="37"/>
  <c r="H33" i="37"/>
  <c r="H54" i="37"/>
  <c r="H78" i="37"/>
  <c r="H124" i="37"/>
  <c r="H127" i="37"/>
  <c r="H158" i="37"/>
  <c r="H161" i="37"/>
  <c r="H174" i="37"/>
  <c r="H209" i="37"/>
  <c r="H223" i="37"/>
  <c r="H226" i="37"/>
  <c r="H40" i="37"/>
  <c r="H57" i="37"/>
  <c r="H72" i="37"/>
  <c r="H86" i="37"/>
  <c r="H139" i="37"/>
  <c r="H190" i="37"/>
  <c r="H201" i="37"/>
  <c r="H206" i="37"/>
  <c r="H213" i="37"/>
  <c r="H248" i="37"/>
  <c r="H251" i="37"/>
  <c r="H254" i="37"/>
  <c r="H278" i="37"/>
  <c r="H294" i="37"/>
  <c r="H307" i="37"/>
  <c r="H141" i="37"/>
  <c r="H195" i="37"/>
  <c r="H264" i="37"/>
  <c r="H274" i="37"/>
  <c r="H290" i="37"/>
  <c r="H310" i="37"/>
  <c r="H65" i="37"/>
  <c r="H83" i="37"/>
  <c r="H175" i="37"/>
  <c r="H185" i="37"/>
  <c r="H247" i="37"/>
  <c r="H250" i="37"/>
  <c r="H253" i="37"/>
  <c r="H267" i="37"/>
  <c r="H277" i="37"/>
  <c r="H293" i="37"/>
  <c r="H306" i="37"/>
  <c r="H73" i="37"/>
  <c r="H123" i="37"/>
  <c r="H133" i="37"/>
  <c r="H147" i="37"/>
  <c r="H167" i="37"/>
  <c r="H199" i="37"/>
  <c r="H243" i="37"/>
  <c r="H262" i="37"/>
  <c r="H269" i="37"/>
  <c r="H282" i="37"/>
  <c r="H298" i="37"/>
  <c r="H171" i="37"/>
  <c r="H196" i="37"/>
  <c r="H230" i="37"/>
  <c r="H272" i="37"/>
  <c r="H312" i="37"/>
  <c r="H148" i="37"/>
  <c r="H159" i="37"/>
  <c r="H164" i="37"/>
  <c r="H182" i="37"/>
  <c r="H237" i="37"/>
  <c r="H240" i="37"/>
  <c r="H259" i="37"/>
  <c r="H299" i="37"/>
  <c r="H302" i="37"/>
  <c r="H135" i="37"/>
  <c r="H191" i="37"/>
  <c r="H227" i="37"/>
  <c r="H234" i="37"/>
  <c r="H256" i="37"/>
  <c r="H261" i="37"/>
  <c r="H266" i="37"/>
  <c r="H304" i="37"/>
  <c r="H309" i="37"/>
  <c r="H22" i="37"/>
  <c r="H121" i="37"/>
  <c r="H219" i="37"/>
  <c r="H255" i="37"/>
  <c r="H270" i="37"/>
  <c r="H288" i="37"/>
  <c r="H89" i="37"/>
  <c r="H224" i="37"/>
  <c r="H301" i="37"/>
  <c r="H283" i="37"/>
  <c r="H188" i="37"/>
  <c r="H263" i="37"/>
  <c r="H285" i="37"/>
  <c r="H296" i="37"/>
  <c r="H125" i="37"/>
  <c r="H238" i="37"/>
  <c r="H275" i="37"/>
  <c r="H286" i="37"/>
  <c r="H216" i="37"/>
  <c r="H11" i="37"/>
  <c r="H145" i="37"/>
  <c r="H258" i="37"/>
  <c r="H222" i="37"/>
  <c r="H245" i="37"/>
  <c r="H229" i="37"/>
  <c r="H37" i="37"/>
  <c r="H81" i="37"/>
  <c r="H291" i="37"/>
  <c r="H280" i="37"/>
  <c r="H177" i="37"/>
  <c r="H273" i="37"/>
  <c r="H268" i="37"/>
  <c r="H66" i="37"/>
  <c r="H90" i="37"/>
  <c r="H205" i="37"/>
  <c r="H107" i="37"/>
  <c r="H168" i="37"/>
  <c r="H287" i="37"/>
  <c r="H271" i="37"/>
  <c r="H131" i="37"/>
  <c r="H186" i="37"/>
  <c r="H249" i="37"/>
  <c r="H99" i="37"/>
  <c r="H98" i="37"/>
  <c r="H115" i="37"/>
  <c r="H181" i="37"/>
  <c r="H140" i="37"/>
  <c r="H77" i="37"/>
  <c r="H311" i="37"/>
  <c r="H112" i="37"/>
  <c r="H194" i="37"/>
  <c r="H289" i="37"/>
  <c r="H157" i="37"/>
  <c r="H105" i="37"/>
  <c r="H165" i="37"/>
  <c r="H260" i="37"/>
  <c r="H29" i="37"/>
  <c r="H257" i="37"/>
  <c r="H233" i="37"/>
  <c r="H61" i="37"/>
  <c r="H113" i="37"/>
  <c r="H176" i="37"/>
  <c r="H74" i="37"/>
  <c r="H228" i="37"/>
  <c r="H94" i="37"/>
  <c r="H48" i="37"/>
  <c r="H241" i="37"/>
  <c r="H225" i="37"/>
  <c r="H197" i="37"/>
  <c r="H52" i="37"/>
  <c r="H39" i="37"/>
  <c r="H192" i="37"/>
  <c r="H265" i="37"/>
  <c r="H84" i="37"/>
  <c r="H120" i="37"/>
  <c r="H103" i="37"/>
  <c r="H244" i="37"/>
  <c r="H160" i="37"/>
  <c r="H208" i="37"/>
  <c r="H18" i="37"/>
  <c r="H236" i="37"/>
  <c r="H198" i="37"/>
  <c r="H42" i="37"/>
  <c r="H111" i="37"/>
  <c r="H146" i="37"/>
  <c r="H71" i="37"/>
  <c r="H200" i="37"/>
  <c r="H82" i="37"/>
  <c r="H31" i="37"/>
  <c r="H55" i="37"/>
  <c r="H297" i="37"/>
  <c r="H144" i="37"/>
  <c r="H308" i="37"/>
  <c r="H155" i="37"/>
  <c r="H178" i="37"/>
  <c r="H101" i="37"/>
  <c r="H60" i="37"/>
  <c r="H13" i="37"/>
  <c r="H118" i="37"/>
  <c r="H138" i="37"/>
  <c r="H93" i="37"/>
  <c r="H87" i="37"/>
  <c r="H154" i="37"/>
  <c r="H279" i="37"/>
  <c r="H28" i="37"/>
  <c r="H210" i="37"/>
  <c r="H97" i="37"/>
  <c r="H149" i="37"/>
  <c r="H110" i="37"/>
  <c r="H217" i="37"/>
  <c r="H36" i="37"/>
  <c r="H106" i="37"/>
  <c r="H126" i="37"/>
  <c r="H7" i="37"/>
  <c r="H23" i="37"/>
  <c r="H47" i="37"/>
  <c r="H12" i="37"/>
  <c r="H114" i="37"/>
  <c r="H136" i="37"/>
  <c r="H305" i="37"/>
  <c r="H152" i="37"/>
  <c r="H202" i="37"/>
  <c r="H26" i="37"/>
  <c r="H187" i="37"/>
  <c r="H313" i="37"/>
  <c r="H300" i="37"/>
  <c r="H102" i="37"/>
  <c r="H100" i="37"/>
  <c r="H162" i="37"/>
  <c r="H252" i="37"/>
  <c r="H96" i="37"/>
  <c r="H34" i="37"/>
  <c r="H109" i="37"/>
  <c r="H63" i="37"/>
  <c r="H20" i="37"/>
  <c r="H32" i="37"/>
  <c r="H68" i="37"/>
  <c r="H276" i="37"/>
  <c r="H281" i="37"/>
  <c r="H295" i="37"/>
  <c r="H108" i="37"/>
  <c r="H166" i="37"/>
  <c r="H64" i="37"/>
  <c r="H220" i="37"/>
  <c r="H122" i="37"/>
  <c r="H92" i="37"/>
  <c r="H184" i="37"/>
  <c r="H76" i="37"/>
  <c r="H134" i="37"/>
  <c r="H104" i="37"/>
  <c r="H45" i="37"/>
  <c r="H79" i="37"/>
  <c r="H58" i="37"/>
  <c r="H15" i="37"/>
  <c r="H284" i="37"/>
  <c r="H170" i="37"/>
  <c r="H91" i="37"/>
  <c r="H80" i="37"/>
  <c r="H130" i="37"/>
  <c r="H50" i="37"/>
  <c r="H44" i="37"/>
  <c r="H212" i="37"/>
  <c r="H292" i="37"/>
  <c r="H303" i="37"/>
  <c r="H95" i="37"/>
  <c r="H142" i="37"/>
  <c r="H189" i="37"/>
  <c r="H173" i="37"/>
  <c r="H10" i="37"/>
  <c r="F25" i="33"/>
  <c r="F45" i="33"/>
  <c r="F67" i="33"/>
  <c r="F17" i="33"/>
  <c r="F107" i="33"/>
  <c r="F44" i="33"/>
  <c r="F78" i="33"/>
  <c r="F84" i="33"/>
  <c r="F21" i="33"/>
  <c r="F98" i="33"/>
  <c r="F109" i="33"/>
  <c r="F60" i="33"/>
  <c r="F174" i="33"/>
  <c r="F49" i="33"/>
  <c r="F81" i="33"/>
  <c r="F122" i="33"/>
  <c r="F128" i="33"/>
  <c r="F178" i="33"/>
  <c r="F137" i="33"/>
  <c r="F220" i="33"/>
  <c r="F230" i="33"/>
  <c r="F71" i="33"/>
  <c r="F142" i="33"/>
  <c r="F247" i="33"/>
  <c r="F150" i="33"/>
  <c r="F190" i="33"/>
  <c r="F285" i="33"/>
  <c r="F151" i="33"/>
  <c r="F182" i="33"/>
  <c r="F274" i="33"/>
  <c r="F308" i="33"/>
  <c r="F89" i="33"/>
  <c r="F196" i="33"/>
  <c r="F208" i="33"/>
  <c r="F144" i="33"/>
  <c r="F166" i="33"/>
  <c r="F259" i="33"/>
  <c r="F301" i="33"/>
  <c r="F118" i="33"/>
  <c r="F199" i="33"/>
  <c r="F265" i="33"/>
  <c r="F262" i="33"/>
  <c r="F280" i="33"/>
  <c r="F214" i="33"/>
  <c r="F140" i="33"/>
  <c r="F211" i="33"/>
  <c r="F281" i="33"/>
  <c r="F12" i="33"/>
  <c r="F269" i="33"/>
  <c r="F273" i="33"/>
  <c r="F252" i="33"/>
  <c r="F276" i="33"/>
  <c r="F290" i="33"/>
  <c r="F162" i="33"/>
  <c r="F149" i="33"/>
  <c r="F68" i="33"/>
  <c r="F70" i="33"/>
  <c r="F197" i="33"/>
  <c r="F284" i="33"/>
  <c r="F246" i="33"/>
  <c r="F200" i="33"/>
  <c r="F131" i="33"/>
  <c r="F176" i="33"/>
  <c r="F110" i="33"/>
  <c r="F59" i="33"/>
  <c r="F133" i="33"/>
  <c r="F33" i="33"/>
  <c r="F52" i="33"/>
  <c r="F31" i="33"/>
  <c r="F56" i="33"/>
  <c r="F291" i="33"/>
  <c r="F312" i="33"/>
  <c r="F282" i="33"/>
  <c r="F179" i="33"/>
  <c r="F239" i="33"/>
  <c r="F173" i="33"/>
  <c r="F41" i="33"/>
  <c r="F181" i="33"/>
  <c r="F250" i="33"/>
  <c r="F234" i="33"/>
  <c r="F115" i="33"/>
  <c r="F272" i="33"/>
  <c r="F160" i="33"/>
  <c r="F126" i="33"/>
  <c r="F74" i="33"/>
  <c r="F241" i="33"/>
  <c r="F268" i="33"/>
  <c r="F309" i="33"/>
  <c r="F266" i="33"/>
  <c r="F184" i="33"/>
  <c r="F164" i="33"/>
  <c r="F218" i="33"/>
  <c r="F93" i="33"/>
  <c r="F224" i="33"/>
  <c r="F227" i="33"/>
  <c r="F61" i="33"/>
  <c r="F97" i="33"/>
  <c r="F127" i="33"/>
  <c r="F112" i="33"/>
  <c r="F57" i="33"/>
  <c r="F11" i="33"/>
  <c r="F82" i="33"/>
  <c r="F58" i="33"/>
  <c r="F64" i="33"/>
  <c r="F38" i="33"/>
  <c r="F302" i="33"/>
  <c r="F229" i="33"/>
  <c r="F165" i="33"/>
  <c r="F101" i="33"/>
  <c r="F203" i="33"/>
  <c r="F245" i="33"/>
  <c r="F157" i="33"/>
  <c r="F104" i="33"/>
  <c r="F62" i="33"/>
  <c r="F307" i="33"/>
  <c r="F156" i="33"/>
  <c r="F87" i="33"/>
  <c r="F287" i="33"/>
  <c r="F216" i="33"/>
  <c r="F155" i="33"/>
  <c r="F242" i="33"/>
  <c r="F226" i="33"/>
  <c r="F202" i="33"/>
  <c r="F169" i="33"/>
  <c r="F86" i="33"/>
  <c r="F298" i="33"/>
  <c r="F240" i="33"/>
  <c r="F236" i="33"/>
  <c r="F193" i="33"/>
  <c r="F167" i="33"/>
  <c r="F222" i="33"/>
  <c r="F183" i="33"/>
  <c r="F124" i="33"/>
  <c r="F121" i="33"/>
  <c r="F132" i="33"/>
  <c r="F53" i="33"/>
  <c r="F23" i="33"/>
  <c r="F30" i="33"/>
  <c r="F77" i="33"/>
  <c r="F100" i="33"/>
  <c r="F50" i="33"/>
  <c r="F36" i="33"/>
  <c r="F48" i="33"/>
  <c r="F99" i="33"/>
  <c r="F15" i="33"/>
  <c r="F303" i="33"/>
  <c r="F170" i="33"/>
  <c r="F154" i="33"/>
  <c r="F106" i="33"/>
  <c r="F297" i="33"/>
  <c r="F278" i="33"/>
  <c r="F171" i="33"/>
  <c r="F92" i="33"/>
  <c r="F257" i="33"/>
  <c r="F148" i="33"/>
  <c r="F205" i="33"/>
  <c r="F277" i="33"/>
  <c r="F28" i="33"/>
  <c r="F195" i="33"/>
  <c r="F73" i="33"/>
  <c r="F79" i="33"/>
  <c r="F103" i="33"/>
  <c r="F47" i="33"/>
  <c r="F16" i="33"/>
  <c r="F188" i="33"/>
  <c r="F80" i="33"/>
  <c r="F24" i="33"/>
  <c r="F9" i="33"/>
  <c r="F22" i="33"/>
  <c r="F108" i="33"/>
  <c r="F32" i="33"/>
  <c r="F39" i="33"/>
  <c r="F311" i="33"/>
  <c r="F90" i="33"/>
  <c r="F228" i="33"/>
  <c r="F213" i="33"/>
  <c r="F163" i="33"/>
  <c r="F95" i="33"/>
  <c r="F231" i="33"/>
  <c r="F119" i="33"/>
  <c r="F258" i="33"/>
  <c r="F238" i="33"/>
  <c r="F114" i="33"/>
  <c r="F209" i="33"/>
  <c r="F153" i="33"/>
  <c r="F135" i="33"/>
  <c r="F141" i="33"/>
  <c r="F233" i="33"/>
  <c r="F130" i="33"/>
  <c r="F54" i="33"/>
  <c r="F175" i="33"/>
  <c r="F237" i="33"/>
  <c r="F161" i="33"/>
  <c r="F143" i="33"/>
  <c r="F159" i="33"/>
  <c r="F20" i="33"/>
  <c r="F147" i="33"/>
  <c r="F46" i="33"/>
  <c r="F37" i="33"/>
  <c r="F65" i="33"/>
  <c r="F13" i="33"/>
  <c r="F313" i="33"/>
  <c r="F304" i="33"/>
  <c r="F225" i="33"/>
  <c r="F206" i="33"/>
  <c r="F139" i="33"/>
  <c r="F117" i="33"/>
  <c r="F177" i="33"/>
  <c r="F88" i="33"/>
  <c r="F293" i="33"/>
  <c r="F180" i="33"/>
  <c r="F158" i="33"/>
  <c r="F123" i="33"/>
  <c r="F235" i="33"/>
  <c r="F253" i="33"/>
  <c r="F288" i="33"/>
  <c r="F299" i="33"/>
  <c r="F198" i="33"/>
  <c r="F289" i="33"/>
  <c r="F72" i="33"/>
  <c r="F134" i="33"/>
  <c r="F76" i="33"/>
  <c r="F7" i="33"/>
  <c r="F14" i="33"/>
  <c r="F305" i="33"/>
  <c r="F63" i="33"/>
  <c r="F296" i="33"/>
  <c r="F286" i="33"/>
  <c r="F243" i="33"/>
  <c r="F219" i="33"/>
  <c r="F283" i="33"/>
  <c r="F40" i="33"/>
  <c r="F187" i="33"/>
  <c r="F223" i="33"/>
  <c r="F310" i="33"/>
  <c r="F248" i="33"/>
  <c r="F261" i="33"/>
  <c r="F186" i="33"/>
  <c r="F204" i="33"/>
  <c r="F201" i="33"/>
  <c r="F138" i="33"/>
  <c r="F55" i="33"/>
  <c r="F270" i="33"/>
  <c r="F217" i="33"/>
  <c r="F275" i="33"/>
  <c r="F6" i="33"/>
  <c r="F96" i="33"/>
  <c r="F189" i="33"/>
  <c r="F102" i="33"/>
  <c r="F215" i="33"/>
  <c r="F267" i="33"/>
  <c r="F244" i="33"/>
  <c r="F113" i="33"/>
  <c r="F125" i="33"/>
  <c r="F94" i="33"/>
  <c r="F85" i="33"/>
  <c r="F18" i="33"/>
  <c r="F8" i="33"/>
  <c r="F251" i="33"/>
  <c r="F207" i="33"/>
  <c r="F29" i="33"/>
  <c r="F254" i="33"/>
  <c r="F42" i="33"/>
  <c r="F194" i="33"/>
  <c r="F111" i="33"/>
  <c r="F249" i="33"/>
  <c r="F232" i="33"/>
  <c r="F212" i="33"/>
  <c r="F66" i="33"/>
  <c r="F256" i="33"/>
  <c r="F271" i="33"/>
  <c r="F19" i="33"/>
  <c r="F295" i="33"/>
  <c r="F292" i="33"/>
  <c r="F152" i="33"/>
  <c r="F136" i="33"/>
  <c r="F43" i="33"/>
  <c r="F168" i="33"/>
  <c r="F10" i="33"/>
  <c r="F145" i="33"/>
  <c r="F264" i="33"/>
  <c r="F172" i="33"/>
  <c r="F210" i="33"/>
  <c r="F221" i="33"/>
  <c r="F192" i="33"/>
  <c r="F91" i="33"/>
  <c r="F75" i="33"/>
  <c r="F120" i="33"/>
  <c r="F51" i="33"/>
  <c r="F116" i="33"/>
  <c r="F185" i="33"/>
  <c r="F279" i="33"/>
  <c r="F83" i="33"/>
  <c r="F300" i="33"/>
  <c r="F129" i="33"/>
  <c r="F260" i="33"/>
  <c r="F306" i="33"/>
  <c r="F263" i="33"/>
  <c r="F191" i="33"/>
  <c r="F34" i="33"/>
  <c r="F105" i="33"/>
  <c r="F255" i="33"/>
  <c r="F69" i="33"/>
  <c r="F26" i="33"/>
  <c r="F294" i="33"/>
  <c r="F146" i="33"/>
  <c r="F35" i="33"/>
  <c r="F27" i="33"/>
  <c r="H2" i="33"/>
  <c r="G2" i="33"/>
  <c r="P5" i="13"/>
  <c r="H314" i="37"/>
  <c r="J2" i="33"/>
  <c r="H5" i="37"/>
  <c r="F5" i="33"/>
  <c r="I2" i="33"/>
  <c r="J21" i="33" l="1"/>
  <c r="J56" i="33"/>
  <c r="J15" i="33"/>
  <c r="J80" i="33"/>
  <c r="J8" i="33"/>
  <c r="J67" i="33"/>
  <c r="J81" i="33"/>
  <c r="J17" i="33"/>
  <c r="J7" i="33"/>
  <c r="J31" i="33"/>
  <c r="J32" i="33"/>
  <c r="J39" i="33"/>
  <c r="J13" i="33"/>
  <c r="J49" i="33"/>
  <c r="J63" i="33"/>
  <c r="J99" i="33"/>
  <c r="J110" i="33"/>
  <c r="J117" i="33"/>
  <c r="J85" i="33"/>
  <c r="J107" i="33"/>
  <c r="J142" i="33"/>
  <c r="J109" i="33"/>
  <c r="J106" i="33"/>
  <c r="J133" i="33"/>
  <c r="J134" i="33"/>
  <c r="J148" i="33"/>
  <c r="J190" i="33"/>
  <c r="J196" i="33"/>
  <c r="J147" i="33"/>
  <c r="J188" i="33"/>
  <c r="J132" i="33"/>
  <c r="J176" i="33"/>
  <c r="J214" i="33"/>
  <c r="J220" i="33"/>
  <c r="J151" i="33"/>
  <c r="J131" i="33"/>
  <c r="J257" i="33"/>
  <c r="J150" i="33"/>
  <c r="J154" i="33"/>
  <c r="J224" i="33"/>
  <c r="J135" i="33"/>
  <c r="J236" i="33"/>
  <c r="J283" i="33"/>
  <c r="J130" i="33"/>
  <c r="J218" i="33"/>
  <c r="J237" i="33"/>
  <c r="J266" i="33"/>
  <c r="J284" i="33"/>
  <c r="J285" i="33"/>
  <c r="J277" i="33"/>
  <c r="J93" i="33"/>
  <c r="J235" i="33"/>
  <c r="J174" i="33"/>
  <c r="J243" i="33"/>
  <c r="J301" i="33"/>
  <c r="J303" i="33"/>
  <c r="J234" i="33"/>
  <c r="J313" i="33"/>
  <c r="J311" i="33"/>
  <c r="J165" i="33"/>
  <c r="J267" i="33"/>
  <c r="J90" i="33"/>
  <c r="J170" i="33"/>
  <c r="J155" i="33"/>
  <c r="J115" i="33"/>
  <c r="J272" i="33"/>
  <c r="J241" i="33"/>
  <c r="J179" i="33"/>
  <c r="J101" i="33"/>
  <c r="J274" i="33"/>
  <c r="J206" i="33"/>
  <c r="J193" i="33"/>
  <c r="J312" i="33"/>
  <c r="J184" i="33"/>
  <c r="J164" i="33"/>
  <c r="J143" i="33"/>
  <c r="J55" i="33"/>
  <c r="J227" i="33"/>
  <c r="J61" i="33"/>
  <c r="J47" i="33"/>
  <c r="J88" i="33"/>
  <c r="J82" i="33"/>
  <c r="J24" i="33"/>
  <c r="J65" i="33"/>
  <c r="J38" i="33"/>
  <c r="J100" i="33"/>
  <c r="J57" i="33"/>
  <c r="J280" i="33"/>
  <c r="J281" i="33"/>
  <c r="J265" i="33"/>
  <c r="J278" i="33"/>
  <c r="J28" i="33"/>
  <c r="J247" i="33"/>
  <c r="J94" i="33"/>
  <c r="J307" i="33"/>
  <c r="J156" i="33"/>
  <c r="J252" i="33"/>
  <c r="J269" i="33"/>
  <c r="J228" i="33"/>
  <c r="J287" i="33"/>
  <c r="J216" i="33"/>
  <c r="J198" i="33"/>
  <c r="J242" i="33"/>
  <c r="J205" i="33"/>
  <c r="J222" i="33"/>
  <c r="J149" i="33"/>
  <c r="J273" i="33"/>
  <c r="J253" i="33"/>
  <c r="J203" i="33"/>
  <c r="J141" i="33"/>
  <c r="J246" i="33"/>
  <c r="J73" i="33"/>
  <c r="J183" i="33"/>
  <c r="J113" i="33"/>
  <c r="J207" i="33"/>
  <c r="J104" i="33"/>
  <c r="J53" i="33"/>
  <c r="J16" i="33"/>
  <c r="J33" i="33"/>
  <c r="J37" i="33"/>
  <c r="J77" i="33"/>
  <c r="J71" i="33"/>
  <c r="J59" i="33"/>
  <c r="J36" i="33"/>
  <c r="J12" i="33"/>
  <c r="J217" i="33"/>
  <c r="J276" i="33"/>
  <c r="J245" i="33"/>
  <c r="J162" i="33"/>
  <c r="J86" i="33"/>
  <c r="J167" i="33"/>
  <c r="J123" i="33"/>
  <c r="J305" i="33"/>
  <c r="J310" i="33"/>
  <c r="J181" i="33"/>
  <c r="J308" i="33"/>
  <c r="J250" i="33"/>
  <c r="J225" i="33"/>
  <c r="J213" i="33"/>
  <c r="J126" i="33"/>
  <c r="J74" i="33"/>
  <c r="J239" i="33"/>
  <c r="J290" i="33"/>
  <c r="J259" i="33"/>
  <c r="J72" i="33"/>
  <c r="J158" i="33"/>
  <c r="J102" i="33"/>
  <c r="J118" i="33"/>
  <c r="J62" i="33"/>
  <c r="J208" i="33"/>
  <c r="J128" i="33"/>
  <c r="J41" i="33"/>
  <c r="J70" i="33"/>
  <c r="J30" i="33"/>
  <c r="J84" i="33"/>
  <c r="J309" i="33"/>
  <c r="J270" i="33"/>
  <c r="J293" i="33"/>
  <c r="J96" i="33"/>
  <c r="J202" i="33"/>
  <c r="J219" i="33"/>
  <c r="J296" i="33"/>
  <c r="J304" i="33"/>
  <c r="J138" i="33"/>
  <c r="J58" i="33"/>
  <c r="J289" i="33"/>
  <c r="J299" i="33"/>
  <c r="J248" i="33"/>
  <c r="J262" i="33"/>
  <c r="J87" i="33"/>
  <c r="J95" i="33"/>
  <c r="J231" i="33"/>
  <c r="J258" i="33"/>
  <c r="J238" i="33"/>
  <c r="J114" i="33"/>
  <c r="J261" i="33"/>
  <c r="J201" i="33"/>
  <c r="J189" i="33"/>
  <c r="J54" i="33"/>
  <c r="J157" i="33"/>
  <c r="J230" i="33"/>
  <c r="J159" i="33"/>
  <c r="J20" i="33"/>
  <c r="J178" i="33"/>
  <c r="J68" i="33"/>
  <c r="J98" i="33"/>
  <c r="J268" i="33"/>
  <c r="J288" i="33"/>
  <c r="J215" i="33"/>
  <c r="J297" i="33"/>
  <c r="J64" i="33"/>
  <c r="J211" i="33"/>
  <c r="J275" i="33"/>
  <c r="J180" i="33"/>
  <c r="J6" i="33"/>
  <c r="J186" i="33"/>
  <c r="J298" i="33"/>
  <c r="J251" i="33"/>
  <c r="J223" i="33"/>
  <c r="J240" i="33"/>
  <c r="J175" i="33"/>
  <c r="J139" i="33"/>
  <c r="J244" i="33"/>
  <c r="J124" i="33"/>
  <c r="J137" i="33"/>
  <c r="J125" i="33"/>
  <c r="J103" i="33"/>
  <c r="J177" i="33"/>
  <c r="J23" i="33"/>
  <c r="J122" i="33"/>
  <c r="J52" i="33"/>
  <c r="J108" i="33"/>
  <c r="J18" i="33"/>
  <c r="J14" i="33"/>
  <c r="J291" i="33"/>
  <c r="J92" i="33"/>
  <c r="J48" i="33"/>
  <c r="J229" i="33"/>
  <c r="J282" i="33"/>
  <c r="J89" i="33"/>
  <c r="J140" i="33"/>
  <c r="J76" i="33"/>
  <c r="J22" i="33"/>
  <c r="J97" i="33"/>
  <c r="J195" i="33"/>
  <c r="J163" i="33"/>
  <c r="J187" i="33"/>
  <c r="J204" i="33"/>
  <c r="J112" i="33"/>
  <c r="J226" i="33"/>
  <c r="J153" i="33"/>
  <c r="J119" i="33"/>
  <c r="J199" i="33"/>
  <c r="J79" i="33"/>
  <c r="J46" i="33"/>
  <c r="J209" i="33"/>
  <c r="J40" i="33"/>
  <c r="J197" i="33"/>
  <c r="J233" i="33"/>
  <c r="J161" i="33"/>
  <c r="J127" i="33"/>
  <c r="J29" i="33"/>
  <c r="J78" i="33"/>
  <c r="J286" i="33"/>
  <c r="J182" i="33"/>
  <c r="J11" i="33"/>
  <c r="J171" i="33"/>
  <c r="J173" i="33"/>
  <c r="J45" i="33"/>
  <c r="J60" i="33"/>
  <c r="J50" i="33"/>
  <c r="J25" i="33"/>
  <c r="J169" i="33"/>
  <c r="J160" i="33"/>
  <c r="J200" i="33"/>
  <c r="J121" i="33"/>
  <c r="J144" i="33"/>
  <c r="J9" i="33"/>
  <c r="J166" i="33"/>
  <c r="J302" i="33"/>
  <c r="J44" i="33"/>
  <c r="J116" i="33"/>
  <c r="J27" i="33"/>
  <c r="J168" i="33"/>
  <c r="J91" i="33"/>
  <c r="J152" i="33"/>
  <c r="J111" i="33"/>
  <c r="J192" i="33"/>
  <c r="J295" i="33"/>
  <c r="J69" i="33"/>
  <c r="J43" i="33"/>
  <c r="J221" i="33"/>
  <c r="J51" i="33"/>
  <c r="J10" i="33"/>
  <c r="J255" i="33"/>
  <c r="J300" i="33"/>
  <c r="J120" i="33"/>
  <c r="J194" i="33"/>
  <c r="J185" i="33"/>
  <c r="J306" i="33"/>
  <c r="J35" i="33"/>
  <c r="J232" i="33"/>
  <c r="J136" i="33"/>
  <c r="J42" i="33"/>
  <c r="J210" i="33"/>
  <c r="J66" i="33"/>
  <c r="J129" i="33"/>
  <c r="J292" i="33"/>
  <c r="J294" i="33"/>
  <c r="J146" i="33"/>
  <c r="J263" i="33"/>
  <c r="J83" i="33"/>
  <c r="J212" i="33"/>
  <c r="J105" i="33"/>
  <c r="J254" i="33"/>
  <c r="J75" i="33"/>
  <c r="J26" i="33"/>
  <c r="J256" i="33"/>
  <c r="J249" i="33"/>
  <c r="J19" i="33"/>
  <c r="J271" i="33"/>
  <c r="J279" i="33"/>
  <c r="J145" i="33"/>
  <c r="J191" i="33"/>
  <c r="J264" i="33"/>
  <c r="J260" i="33"/>
  <c r="J34" i="33"/>
  <c r="J172" i="33"/>
  <c r="H15" i="33"/>
  <c r="H39" i="33"/>
  <c r="H45" i="33"/>
  <c r="H67" i="33"/>
  <c r="H14" i="33"/>
  <c r="H40" i="33"/>
  <c r="H22" i="33"/>
  <c r="H97" i="33"/>
  <c r="H100" i="33"/>
  <c r="H108" i="33"/>
  <c r="H38" i="33"/>
  <c r="H109" i="33"/>
  <c r="H144" i="33"/>
  <c r="H30" i="33"/>
  <c r="H133" i="33"/>
  <c r="H147" i="33"/>
  <c r="H13" i="33"/>
  <c r="H29" i="33"/>
  <c r="H64" i="33"/>
  <c r="H77" i="33"/>
  <c r="H188" i="33"/>
  <c r="H56" i="33"/>
  <c r="H117" i="33"/>
  <c r="H128" i="33"/>
  <c r="H138" i="33"/>
  <c r="H177" i="33"/>
  <c r="H178" i="33"/>
  <c r="H99" i="33"/>
  <c r="H227" i="33"/>
  <c r="H65" i="33"/>
  <c r="H112" i="33"/>
  <c r="H150" i="33"/>
  <c r="H47" i="33"/>
  <c r="H125" i="33"/>
  <c r="H163" i="33"/>
  <c r="H216" i="33"/>
  <c r="H287" i="33"/>
  <c r="H281" i="33"/>
  <c r="H104" i="33"/>
  <c r="H127" i="33"/>
  <c r="H237" i="33"/>
  <c r="H284" i="33"/>
  <c r="H303" i="33"/>
  <c r="H275" i="33"/>
  <c r="H304" i="33"/>
  <c r="H63" i="33"/>
  <c r="H153" i="33"/>
  <c r="H189" i="33"/>
  <c r="H196" i="33"/>
  <c r="H209" i="33"/>
  <c r="H230" i="33"/>
  <c r="H277" i="33"/>
  <c r="H290" i="33"/>
  <c r="H103" i="33"/>
  <c r="H259" i="33"/>
  <c r="H250" i="33"/>
  <c r="H55" i="33"/>
  <c r="H174" i="33"/>
  <c r="H243" i="33"/>
  <c r="H244" i="33"/>
  <c r="H48" i="33"/>
  <c r="H242" i="33"/>
  <c r="H134" i="33"/>
  <c r="H270" i="33"/>
  <c r="H156" i="33"/>
  <c r="H305" i="33"/>
  <c r="H310" i="33"/>
  <c r="H248" i="33"/>
  <c r="H213" i="33"/>
  <c r="H92" i="33"/>
  <c r="H234" i="33"/>
  <c r="H160" i="33"/>
  <c r="H74" i="33"/>
  <c r="H114" i="33"/>
  <c r="H239" i="33"/>
  <c r="H208" i="33"/>
  <c r="H157" i="33"/>
  <c r="H167" i="33"/>
  <c r="H233" i="33"/>
  <c r="H183" i="33"/>
  <c r="H158" i="33"/>
  <c r="H93" i="33"/>
  <c r="H224" i="33"/>
  <c r="H151" i="33"/>
  <c r="H102" i="33"/>
  <c r="H41" i="33"/>
  <c r="H71" i="33"/>
  <c r="H85" i="33"/>
  <c r="H107" i="33"/>
  <c r="H36" i="33"/>
  <c r="H21" i="33"/>
  <c r="H12" i="33"/>
  <c r="H8" i="33"/>
  <c r="H241" i="33"/>
  <c r="H169" i="33"/>
  <c r="H139" i="33"/>
  <c r="H190" i="33"/>
  <c r="H72" i="33"/>
  <c r="H121" i="33"/>
  <c r="H311" i="33"/>
  <c r="H288" i="33"/>
  <c r="H299" i="33"/>
  <c r="H171" i="33"/>
  <c r="H6" i="33"/>
  <c r="H265" i="33"/>
  <c r="H276" i="33"/>
  <c r="H96" i="33"/>
  <c r="H162" i="33"/>
  <c r="H101" i="33"/>
  <c r="H302" i="33"/>
  <c r="H118" i="33"/>
  <c r="H17" i="33"/>
  <c r="H25" i="33"/>
  <c r="H286" i="33"/>
  <c r="H231" i="33"/>
  <c r="H207" i="33"/>
  <c r="H291" i="33"/>
  <c r="H195" i="33"/>
  <c r="H269" i="33"/>
  <c r="H198" i="33"/>
  <c r="H115" i="33"/>
  <c r="H179" i="33"/>
  <c r="H312" i="33"/>
  <c r="H214" i="33"/>
  <c r="H28" i="33"/>
  <c r="H268" i="33"/>
  <c r="H289" i="33"/>
  <c r="H272" i="33"/>
  <c r="H308" i="33"/>
  <c r="H280" i="33"/>
  <c r="H200" i="33"/>
  <c r="H164" i="33"/>
  <c r="H218" i="33"/>
  <c r="H154" i="33"/>
  <c r="H176" i="33"/>
  <c r="H61" i="33"/>
  <c r="H148" i="33"/>
  <c r="H94" i="33"/>
  <c r="H88" i="33"/>
  <c r="H11" i="33"/>
  <c r="H58" i="33"/>
  <c r="H9" i="33"/>
  <c r="H59" i="33"/>
  <c r="H7" i="33"/>
  <c r="H44" i="33"/>
  <c r="H297" i="33"/>
  <c r="H278" i="33"/>
  <c r="H87" i="33"/>
  <c r="H226" i="33"/>
  <c r="H149" i="33"/>
  <c r="H124" i="33"/>
  <c r="H235" i="33"/>
  <c r="H53" i="33"/>
  <c r="H203" i="33"/>
  <c r="H266" i="33"/>
  <c r="H215" i="33"/>
  <c r="H274" i="33"/>
  <c r="H225" i="33"/>
  <c r="H182" i="33"/>
  <c r="H217" i="33"/>
  <c r="H229" i="33"/>
  <c r="H180" i="33"/>
  <c r="H186" i="33"/>
  <c r="H282" i="33"/>
  <c r="H251" i="33"/>
  <c r="H223" i="33"/>
  <c r="H173" i="33"/>
  <c r="H86" i="33"/>
  <c r="H296" i="33"/>
  <c r="H240" i="33"/>
  <c r="H181" i="33"/>
  <c r="H197" i="33"/>
  <c r="H140" i="33"/>
  <c r="H161" i="33"/>
  <c r="H143" i="33"/>
  <c r="H142" i="33"/>
  <c r="H62" i="33"/>
  <c r="H106" i="33"/>
  <c r="H23" i="33"/>
  <c r="H122" i="33"/>
  <c r="H33" i="33"/>
  <c r="H76" i="33"/>
  <c r="H52" i="33"/>
  <c r="H57" i="33"/>
  <c r="H18" i="33"/>
  <c r="H313" i="33"/>
  <c r="H205" i="33"/>
  <c r="H187" i="33"/>
  <c r="H301" i="33"/>
  <c r="H166" i="33"/>
  <c r="H89" i="33"/>
  <c r="H309" i="33"/>
  <c r="H206" i="33"/>
  <c r="H285" i="33"/>
  <c r="H204" i="33"/>
  <c r="H184" i="33"/>
  <c r="H201" i="33"/>
  <c r="H131" i="33"/>
  <c r="H113" i="33"/>
  <c r="H79" i="33"/>
  <c r="H110" i="33"/>
  <c r="H16" i="33"/>
  <c r="H130" i="33"/>
  <c r="H123" i="33"/>
  <c r="H24" i="33"/>
  <c r="H60" i="33"/>
  <c r="H78" i="33"/>
  <c r="H236" i="33"/>
  <c r="H90" i="33"/>
  <c r="H211" i="33"/>
  <c r="H298" i="33"/>
  <c r="H199" i="33"/>
  <c r="H82" i="33"/>
  <c r="H84" i="33"/>
  <c r="H135" i="33"/>
  <c r="H262" i="33"/>
  <c r="H70" i="33"/>
  <c r="H293" i="33"/>
  <c r="H246" i="33"/>
  <c r="H73" i="33"/>
  <c r="H20" i="33"/>
  <c r="H68" i="33"/>
  <c r="H37" i="33"/>
  <c r="H222" i="33"/>
  <c r="H175" i="33"/>
  <c r="H159" i="33"/>
  <c r="H46" i="33"/>
  <c r="H54" i="33"/>
  <c r="H307" i="33"/>
  <c r="H267" i="33"/>
  <c r="H50" i="33"/>
  <c r="H283" i="33"/>
  <c r="H155" i="33"/>
  <c r="H165" i="33"/>
  <c r="H202" i="33"/>
  <c r="H253" i="33"/>
  <c r="H170" i="33"/>
  <c r="H273" i="33"/>
  <c r="H98" i="33"/>
  <c r="H32" i="33"/>
  <c r="H49" i="33"/>
  <c r="H258" i="33"/>
  <c r="H247" i="33"/>
  <c r="H245" i="33"/>
  <c r="H220" i="33"/>
  <c r="H137" i="33"/>
  <c r="H81" i="33"/>
  <c r="H31" i="33"/>
  <c r="H228" i="33"/>
  <c r="H95" i="33"/>
  <c r="H238" i="33"/>
  <c r="H141" i="33"/>
  <c r="H261" i="33"/>
  <c r="H132" i="33"/>
  <c r="H80" i="33"/>
  <c r="H119" i="33"/>
  <c r="H219" i="33"/>
  <c r="H252" i="33"/>
  <c r="H257" i="33"/>
  <c r="H126" i="33"/>
  <c r="H193" i="33"/>
  <c r="H300" i="33"/>
  <c r="H75" i="33"/>
  <c r="H69" i="33"/>
  <c r="H292" i="33"/>
  <c r="H43" i="33"/>
  <c r="H152" i="33"/>
  <c r="H255" i="33"/>
  <c r="H42" i="33"/>
  <c r="H129" i="33"/>
  <c r="H294" i="33"/>
  <c r="H306" i="33"/>
  <c r="H232" i="33"/>
  <c r="H254" i="33"/>
  <c r="H66" i="33"/>
  <c r="H116" i="33"/>
  <c r="H172" i="33"/>
  <c r="H260" i="33"/>
  <c r="H19" i="33"/>
  <c r="H279" i="33"/>
  <c r="H26" i="33"/>
  <c r="H83" i="33"/>
  <c r="H136" i="33"/>
  <c r="H51" i="33"/>
  <c r="H191" i="33"/>
  <c r="H210" i="33"/>
  <c r="H221" i="33"/>
  <c r="H249" i="33"/>
  <c r="H192" i="33"/>
  <c r="H271" i="33"/>
  <c r="H91" i="33"/>
  <c r="H35" i="33"/>
  <c r="H264" i="33"/>
  <c r="H194" i="33"/>
  <c r="H105" i="33"/>
  <c r="H34" i="33"/>
  <c r="H120" i="33"/>
  <c r="H27" i="33"/>
  <c r="H212" i="33"/>
  <c r="H256" i="33"/>
  <c r="H111" i="33"/>
  <c r="H168" i="33"/>
  <c r="H10" i="33"/>
  <c r="H263" i="33"/>
  <c r="H145" i="33"/>
  <c r="H295" i="33"/>
  <c r="H185" i="33"/>
  <c r="H146" i="33"/>
  <c r="I56" i="33"/>
  <c r="I29" i="33"/>
  <c r="I58" i="33"/>
  <c r="I81" i="33"/>
  <c r="I45" i="33"/>
  <c r="I40" i="33"/>
  <c r="I44" i="33"/>
  <c r="I142" i="33"/>
  <c r="I98" i="33"/>
  <c r="I108" i="33"/>
  <c r="I144" i="33"/>
  <c r="I118" i="33"/>
  <c r="I125" i="33"/>
  <c r="I147" i="33"/>
  <c r="I201" i="33"/>
  <c r="I207" i="33"/>
  <c r="I208" i="33"/>
  <c r="I214" i="33"/>
  <c r="I128" i="33"/>
  <c r="I177" i="33"/>
  <c r="I235" i="33"/>
  <c r="I104" i="33"/>
  <c r="I312" i="33"/>
  <c r="I130" i="33"/>
  <c r="I190" i="33"/>
  <c r="I246" i="33"/>
  <c r="I247" i="33"/>
  <c r="I285" i="33"/>
  <c r="I166" i="33"/>
  <c r="I195" i="33"/>
  <c r="I80" i="33"/>
  <c r="I127" i="33"/>
  <c r="I149" i="33"/>
  <c r="I175" i="33"/>
  <c r="I202" i="33"/>
  <c r="I245" i="33"/>
  <c r="I290" i="33"/>
  <c r="I242" i="33"/>
  <c r="I110" i="33"/>
  <c r="I258" i="33"/>
  <c r="I291" i="33"/>
  <c r="I299" i="33"/>
  <c r="I273" i="33"/>
  <c r="I261" i="33"/>
  <c r="I287" i="33"/>
  <c r="I216" i="33"/>
  <c r="I198" i="33"/>
  <c r="I304" i="33"/>
  <c r="I205" i="33"/>
  <c r="I126" i="33"/>
  <c r="I222" i="33"/>
  <c r="I259" i="33"/>
  <c r="I302" i="33"/>
  <c r="I253" i="33"/>
  <c r="I141" i="33"/>
  <c r="I266" i="33"/>
  <c r="I73" i="33"/>
  <c r="I196" i="33"/>
  <c r="I161" i="33"/>
  <c r="I113" i="33"/>
  <c r="I159" i="33"/>
  <c r="I137" i="33"/>
  <c r="I99" i="33"/>
  <c r="I53" i="33"/>
  <c r="I16" i="33"/>
  <c r="I112" i="33"/>
  <c r="I67" i="33"/>
  <c r="I37" i="33"/>
  <c r="I60" i="33"/>
  <c r="I49" i="33"/>
  <c r="I252" i="33"/>
  <c r="I171" i="33"/>
  <c r="I95" i="33"/>
  <c r="I283" i="33"/>
  <c r="I262" i="33"/>
  <c r="I200" i="33"/>
  <c r="I183" i="33"/>
  <c r="I134" i="33"/>
  <c r="I11" i="33"/>
  <c r="I270" i="33"/>
  <c r="I215" i="33"/>
  <c r="I248" i="33"/>
  <c r="I213" i="33"/>
  <c r="I87" i="33"/>
  <c r="I155" i="33"/>
  <c r="I226" i="33"/>
  <c r="I203" i="33"/>
  <c r="I114" i="33"/>
  <c r="I223" i="33"/>
  <c r="I169" i="33"/>
  <c r="I197" i="33"/>
  <c r="I86" i="33"/>
  <c r="I289" i="33"/>
  <c r="I236" i="33"/>
  <c r="I193" i="33"/>
  <c r="I167" i="33"/>
  <c r="I284" i="33"/>
  <c r="I225" i="33"/>
  <c r="I72" i="33"/>
  <c r="I158" i="33"/>
  <c r="I132" i="33"/>
  <c r="I76" i="33"/>
  <c r="I12" i="33"/>
  <c r="I148" i="33"/>
  <c r="I102" i="33"/>
  <c r="I133" i="33"/>
  <c r="I41" i="33"/>
  <c r="I18" i="33"/>
  <c r="I30" i="33"/>
  <c r="I7" i="33"/>
  <c r="I100" i="33"/>
  <c r="I85" i="33"/>
  <c r="I8" i="33"/>
  <c r="I307" i="33"/>
  <c r="I186" i="33"/>
  <c r="I187" i="33"/>
  <c r="I268" i="33"/>
  <c r="I274" i="33"/>
  <c r="I204" i="33"/>
  <c r="I224" i="33"/>
  <c r="I79" i="33"/>
  <c r="I88" i="33"/>
  <c r="I313" i="33"/>
  <c r="I311" i="33"/>
  <c r="I288" i="33"/>
  <c r="I303" i="33"/>
  <c r="I234" i="33"/>
  <c r="I180" i="33"/>
  <c r="I265" i="33"/>
  <c r="I276" i="33"/>
  <c r="I96" i="33"/>
  <c r="I162" i="33"/>
  <c r="I101" i="33"/>
  <c r="I241" i="33"/>
  <c r="I93" i="33"/>
  <c r="I220" i="33"/>
  <c r="I123" i="33"/>
  <c r="I82" i="33"/>
  <c r="I64" i="33"/>
  <c r="I31" i="33"/>
  <c r="I17" i="33"/>
  <c r="I25" i="33"/>
  <c r="I305" i="33"/>
  <c r="I269" i="33"/>
  <c r="I160" i="33"/>
  <c r="I240" i="33"/>
  <c r="I140" i="33"/>
  <c r="I218" i="33"/>
  <c r="I63" i="33"/>
  <c r="I46" i="33"/>
  <c r="I301" i="33"/>
  <c r="I90" i="33"/>
  <c r="I228" i="33"/>
  <c r="I211" i="33"/>
  <c r="I163" i="33"/>
  <c r="I275" i="33"/>
  <c r="I6" i="33"/>
  <c r="I165" i="33"/>
  <c r="I309" i="33"/>
  <c r="I181" i="33"/>
  <c r="I153" i="33"/>
  <c r="I219" i="33"/>
  <c r="I154" i="33"/>
  <c r="I139" i="33"/>
  <c r="I233" i="33"/>
  <c r="I244" i="33"/>
  <c r="I124" i="33"/>
  <c r="I243" i="33"/>
  <c r="I138" i="33"/>
  <c r="I77" i="33"/>
  <c r="I117" i="33"/>
  <c r="I174" i="33"/>
  <c r="I65" i="33"/>
  <c r="I13" i="33"/>
  <c r="I14" i="33"/>
  <c r="I298" i="33"/>
  <c r="I156" i="33"/>
  <c r="I286" i="33"/>
  <c r="I310" i="33"/>
  <c r="I267" i="33"/>
  <c r="I182" i="33"/>
  <c r="I92" i="33"/>
  <c r="I257" i="33"/>
  <c r="I217" i="33"/>
  <c r="I115" i="33"/>
  <c r="I229" i="33"/>
  <c r="I293" i="33"/>
  <c r="I282" i="33"/>
  <c r="I178" i="33"/>
  <c r="I173" i="33"/>
  <c r="I280" i="33"/>
  <c r="I250" i="33"/>
  <c r="I189" i="33"/>
  <c r="I199" i="33"/>
  <c r="I230" i="33"/>
  <c r="I62" i="33"/>
  <c r="I94" i="33"/>
  <c r="I33" i="33"/>
  <c r="I55" i="33"/>
  <c r="I57" i="33"/>
  <c r="I50" i="33"/>
  <c r="I296" i="33"/>
  <c r="I150" i="33"/>
  <c r="I176" i="33"/>
  <c r="I61" i="33"/>
  <c r="I52" i="33"/>
  <c r="I15" i="33"/>
  <c r="I109" i="33"/>
  <c r="I39" i="33"/>
  <c r="I231" i="33"/>
  <c r="I238" i="33"/>
  <c r="I251" i="33"/>
  <c r="I277" i="33"/>
  <c r="I89" i="33"/>
  <c r="I206" i="33"/>
  <c r="I237" i="33"/>
  <c r="I84" i="33"/>
  <c r="I97" i="33"/>
  <c r="I70" i="33"/>
  <c r="I119" i="33"/>
  <c r="I135" i="33"/>
  <c r="I157" i="33"/>
  <c r="I24" i="33"/>
  <c r="I297" i="33"/>
  <c r="I272" i="33"/>
  <c r="I54" i="33"/>
  <c r="I20" i="33"/>
  <c r="I103" i="33"/>
  <c r="I68" i="33"/>
  <c r="I71" i="33"/>
  <c r="I107" i="33"/>
  <c r="I21" i="33"/>
  <c r="I278" i="33"/>
  <c r="I23" i="33"/>
  <c r="I78" i="33"/>
  <c r="I281" i="33"/>
  <c r="I121" i="33"/>
  <c r="I179" i="33"/>
  <c r="I28" i="33"/>
  <c r="I131" i="33"/>
  <c r="I143" i="33"/>
  <c r="I227" i="33"/>
  <c r="I47" i="33"/>
  <c r="I9" i="33"/>
  <c r="I170" i="33"/>
  <c r="I106" i="33"/>
  <c r="I59" i="33"/>
  <c r="I38" i="33"/>
  <c r="I48" i="33"/>
  <c r="I74" i="33"/>
  <c r="I32" i="33"/>
  <c r="I308" i="33"/>
  <c r="I184" i="33"/>
  <c r="I164" i="33"/>
  <c r="I188" i="33"/>
  <c r="I122" i="33"/>
  <c r="I22" i="33"/>
  <c r="I36" i="33"/>
  <c r="I239" i="33"/>
  <c r="I209" i="33"/>
  <c r="I151" i="33"/>
  <c r="I152" i="33"/>
  <c r="I51" i="33"/>
  <c r="I256" i="33"/>
  <c r="I260" i="33"/>
  <c r="I264" i="33"/>
  <c r="I83" i="33"/>
  <c r="I300" i="33"/>
  <c r="I27" i="33"/>
  <c r="I172" i="33"/>
  <c r="I194" i="33"/>
  <c r="I111" i="33"/>
  <c r="I279" i="33"/>
  <c r="I191" i="33"/>
  <c r="I145" i="33"/>
  <c r="I69" i="33"/>
  <c r="I212" i="33"/>
  <c r="I146" i="33"/>
  <c r="I34" i="33"/>
  <c r="I294" i="33"/>
  <c r="I75" i="33"/>
  <c r="I120" i="33"/>
  <c r="I185" i="33"/>
  <c r="I249" i="33"/>
  <c r="I35" i="33"/>
  <c r="I105" i="33"/>
  <c r="I295" i="33"/>
  <c r="I136" i="33"/>
  <c r="I254" i="33"/>
  <c r="I26" i="33"/>
  <c r="I129" i="33"/>
  <c r="I292" i="33"/>
  <c r="I306" i="33"/>
  <c r="I10" i="33"/>
  <c r="I263" i="33"/>
  <c r="I255" i="33"/>
  <c r="I116" i="33"/>
  <c r="I210" i="33"/>
  <c r="I271" i="33"/>
  <c r="I91" i="33"/>
  <c r="I232" i="33"/>
  <c r="I221" i="33"/>
  <c r="I42" i="33"/>
  <c r="I43" i="33"/>
  <c r="I192" i="33"/>
  <c r="I19" i="33"/>
  <c r="I66" i="33"/>
  <c r="I168" i="33"/>
  <c r="G8" i="33"/>
  <c r="G14" i="33"/>
  <c r="G40" i="33"/>
  <c r="G99" i="33"/>
  <c r="G25" i="33"/>
  <c r="G56" i="33"/>
  <c r="G65" i="33"/>
  <c r="G48" i="33"/>
  <c r="G107" i="33"/>
  <c r="G144" i="33"/>
  <c r="G82" i="33"/>
  <c r="G133" i="33"/>
  <c r="K133" i="33" s="1"/>
  <c r="G147" i="33"/>
  <c r="G174" i="33"/>
  <c r="G70" i="33"/>
  <c r="G59" i="33"/>
  <c r="G100" i="33"/>
  <c r="G117" i="33"/>
  <c r="G140" i="33"/>
  <c r="G214" i="33"/>
  <c r="G18" i="33"/>
  <c r="G97" i="33"/>
  <c r="G227" i="33"/>
  <c r="G235" i="33"/>
  <c r="G76" i="33"/>
  <c r="G137" i="33"/>
  <c r="G230" i="33"/>
  <c r="G81" i="33"/>
  <c r="K81" i="33" s="1"/>
  <c r="G151" i="33"/>
  <c r="G122" i="33"/>
  <c r="G142" i="33"/>
  <c r="G157" i="33"/>
  <c r="G246" i="33"/>
  <c r="G247" i="33"/>
  <c r="G284" i="33"/>
  <c r="G84" i="33"/>
  <c r="G163" i="33"/>
  <c r="G207" i="33"/>
  <c r="G287" i="33"/>
  <c r="G189" i="33"/>
  <c r="G58" i="33"/>
  <c r="G244" i="33"/>
  <c r="G301" i="33"/>
  <c r="G95" i="33"/>
  <c r="G158" i="33"/>
  <c r="G216" i="33"/>
  <c r="G24" i="33"/>
  <c r="G245" i="33"/>
  <c r="G67" i="33"/>
  <c r="G183" i="33"/>
  <c r="G208" i="33"/>
  <c r="G148" i="33"/>
  <c r="G164" i="33"/>
  <c r="G198" i="33"/>
  <c r="G201" i="33"/>
  <c r="G251" i="33"/>
  <c r="G275" i="33"/>
  <c r="G304" i="33"/>
  <c r="G312" i="33"/>
  <c r="G261" i="33"/>
  <c r="G288" i="33"/>
  <c r="G215" i="33"/>
  <c r="G228" i="33"/>
  <c r="G182" i="33"/>
  <c r="G242" i="33"/>
  <c r="G226" i="33"/>
  <c r="G6" i="33"/>
  <c r="G265" i="33"/>
  <c r="G223" i="33"/>
  <c r="G96" i="33"/>
  <c r="G169" i="33"/>
  <c r="G289" i="33"/>
  <c r="G237" i="33"/>
  <c r="G72" i="33"/>
  <c r="G54" i="33"/>
  <c r="G218" i="33"/>
  <c r="G125" i="33"/>
  <c r="G127" i="33"/>
  <c r="G11" i="33"/>
  <c r="G77" i="33"/>
  <c r="G7" i="33"/>
  <c r="G250" i="33"/>
  <c r="G257" i="33"/>
  <c r="G211" i="33"/>
  <c r="G180" i="33"/>
  <c r="G236" i="33"/>
  <c r="G220" i="33"/>
  <c r="G132" i="33"/>
  <c r="G118" i="33"/>
  <c r="G291" i="33"/>
  <c r="G313" i="33"/>
  <c r="G305" i="33"/>
  <c r="G310" i="33"/>
  <c r="G308" i="33"/>
  <c r="G302" i="33"/>
  <c r="G179" i="33"/>
  <c r="G239" i="33"/>
  <c r="G290" i="33"/>
  <c r="G259" i="33"/>
  <c r="G202" i="33"/>
  <c r="K202" i="33" s="1"/>
  <c r="G28" i="33"/>
  <c r="G200" i="33"/>
  <c r="G196" i="33"/>
  <c r="G131" i="33"/>
  <c r="G154" i="33"/>
  <c r="G121" i="33"/>
  <c r="G176" i="33"/>
  <c r="G88" i="33"/>
  <c r="G44" i="33"/>
  <c r="G31" i="33"/>
  <c r="G49" i="33"/>
  <c r="G141" i="33"/>
  <c r="G181" i="33"/>
  <c r="G225" i="33"/>
  <c r="G134" i="33"/>
  <c r="G155" i="33"/>
  <c r="G126" i="33"/>
  <c r="G20" i="33"/>
  <c r="G128" i="33"/>
  <c r="G270" i="33"/>
  <c r="G297" i="33"/>
  <c r="G252" i="33"/>
  <c r="G171" i="33"/>
  <c r="G143" i="33"/>
  <c r="G272" i="33"/>
  <c r="G160" i="33"/>
  <c r="G281" i="33"/>
  <c r="G186" i="33"/>
  <c r="G241" i="33"/>
  <c r="G222" i="33"/>
  <c r="G149" i="33"/>
  <c r="G197" i="33"/>
  <c r="G203" i="33"/>
  <c r="G139" i="33"/>
  <c r="G266" i="33"/>
  <c r="G184" i="33"/>
  <c r="G190" i="33"/>
  <c r="G224" i="33"/>
  <c r="G138" i="33"/>
  <c r="G104" i="33"/>
  <c r="G63" i="33"/>
  <c r="G112" i="33"/>
  <c r="G29" i="33"/>
  <c r="G38" i="33"/>
  <c r="G74" i="33"/>
  <c r="G193" i="33"/>
  <c r="G238" i="33"/>
  <c r="G23" i="33"/>
  <c r="G276" i="33"/>
  <c r="G167" i="33"/>
  <c r="G307" i="33"/>
  <c r="G286" i="33"/>
  <c r="G119" i="33"/>
  <c r="G296" i="33"/>
  <c r="G309" i="33"/>
  <c r="G187" i="33"/>
  <c r="K187" i="33" s="1"/>
  <c r="G209" i="33"/>
  <c r="G166" i="33"/>
  <c r="G135" i="33"/>
  <c r="G89" i="33"/>
  <c r="G283" i="33"/>
  <c r="G206" i="33"/>
  <c r="G269" i="33"/>
  <c r="G204" i="33"/>
  <c r="K204" i="33" s="1"/>
  <c r="G199" i="33"/>
  <c r="G175" i="33"/>
  <c r="G113" i="33"/>
  <c r="G130" i="33"/>
  <c r="G123" i="33"/>
  <c r="G94" i="33"/>
  <c r="G46" i="33"/>
  <c r="G37" i="33"/>
  <c r="K37" i="33" s="1"/>
  <c r="G60" i="33"/>
  <c r="G78" i="33"/>
  <c r="G55" i="33"/>
  <c r="G50" i="33"/>
  <c r="G45" i="33"/>
  <c r="G299" i="33"/>
  <c r="G248" i="33"/>
  <c r="G274" i="33"/>
  <c r="G262" i="33"/>
  <c r="G170" i="33"/>
  <c r="G165" i="33"/>
  <c r="G277" i="33"/>
  <c r="G219" i="33"/>
  <c r="G293" i="33"/>
  <c r="G253" i="33"/>
  <c r="G195" i="33"/>
  <c r="G268" i="33"/>
  <c r="G73" i="33"/>
  <c r="G177" i="33"/>
  <c r="G61" i="33"/>
  <c r="G47" i="33"/>
  <c r="G150" i="33"/>
  <c r="G102" i="33"/>
  <c r="G68" i="33"/>
  <c r="G80" i="33"/>
  <c r="G9" i="33"/>
  <c r="G71" i="33"/>
  <c r="G22" i="33"/>
  <c r="G85" i="33"/>
  <c r="G32" i="33"/>
  <c r="G21" i="33"/>
  <c r="G39" i="33"/>
  <c r="G311" i="33"/>
  <c r="G303" i="33"/>
  <c r="G298" i="33"/>
  <c r="G162" i="33"/>
  <c r="G243" i="33"/>
  <c r="G79" i="33"/>
  <c r="G178" i="33"/>
  <c r="G12" i="33"/>
  <c r="G41" i="33"/>
  <c r="G173" i="33"/>
  <c r="G90" i="33"/>
  <c r="G213" i="33"/>
  <c r="G92" i="33"/>
  <c r="G110" i="33"/>
  <c r="G30" i="33"/>
  <c r="G273" i="33"/>
  <c r="K273" i="33" s="1"/>
  <c r="G161" i="33"/>
  <c r="G62" i="33"/>
  <c r="G285" i="33"/>
  <c r="G280" i="33"/>
  <c r="G87" i="33"/>
  <c r="G231" i="33"/>
  <c r="G205" i="33"/>
  <c r="G153" i="33"/>
  <c r="G109" i="33"/>
  <c r="G57" i="33"/>
  <c r="G159" i="33"/>
  <c r="G17" i="33"/>
  <c r="G64" i="33"/>
  <c r="G234" i="33"/>
  <c r="G106" i="33"/>
  <c r="G278" i="33"/>
  <c r="G115" i="33"/>
  <c r="G114" i="33"/>
  <c r="G86" i="33"/>
  <c r="G240" i="33"/>
  <c r="G267" i="33"/>
  <c r="G124" i="33"/>
  <c r="G16" i="33"/>
  <c r="G98" i="33"/>
  <c r="G36" i="33"/>
  <c r="G13" i="33"/>
  <c r="G156" i="33"/>
  <c r="G217" i="33"/>
  <c r="G229" i="33"/>
  <c r="G282" i="33"/>
  <c r="G101" i="33"/>
  <c r="G93" i="33"/>
  <c r="G52" i="33"/>
  <c r="G15" i="33"/>
  <c r="G188" i="33"/>
  <c r="G258" i="33"/>
  <c r="G233" i="33"/>
  <c r="G103" i="33"/>
  <c r="G53" i="33"/>
  <c r="G33" i="33"/>
  <c r="G108" i="33"/>
  <c r="G83" i="33"/>
  <c r="G255" i="33"/>
  <c r="G129" i="33"/>
  <c r="G306" i="33"/>
  <c r="G263" i="33"/>
  <c r="G75" i="33"/>
  <c r="G116" i="33"/>
  <c r="G260" i="33"/>
  <c r="G168" i="33"/>
  <c r="G146" i="33"/>
  <c r="G145" i="33"/>
  <c r="G34" i="33"/>
  <c r="G249" i="33"/>
  <c r="G42" i="33"/>
  <c r="G27" i="33"/>
  <c r="G256" i="33"/>
  <c r="G111" i="33"/>
  <c r="G294" i="33"/>
  <c r="G295" i="33"/>
  <c r="G91" i="33"/>
  <c r="G105" i="33"/>
  <c r="G254" i="33"/>
  <c r="G43" i="33"/>
  <c r="G26" i="33"/>
  <c r="G212" i="33"/>
  <c r="G271" i="33"/>
  <c r="G10" i="33"/>
  <c r="G300" i="33"/>
  <c r="G264" i="33"/>
  <c r="G194" i="33"/>
  <c r="G191" i="33"/>
  <c r="G232" i="33"/>
  <c r="G69" i="33"/>
  <c r="G51" i="33"/>
  <c r="G292" i="33"/>
  <c r="G221" i="33"/>
  <c r="G192" i="33"/>
  <c r="G279" i="33"/>
  <c r="G19" i="33"/>
  <c r="K19" i="33" s="1"/>
  <c r="G152" i="33"/>
  <c r="G136" i="33"/>
  <c r="G66" i="33"/>
  <c r="G172" i="33"/>
  <c r="G210" i="33"/>
  <c r="G185" i="33"/>
  <c r="G120" i="33"/>
  <c r="G35" i="33"/>
  <c r="G5" i="33"/>
  <c r="H4" i="12"/>
  <c r="J5" i="33"/>
  <c r="H5" i="33"/>
  <c r="I5" i="33"/>
  <c r="K210" i="33" l="1"/>
  <c r="K229" i="33"/>
  <c r="K74" i="33"/>
  <c r="K98" i="33"/>
  <c r="K261" i="33"/>
  <c r="L261" i="33" s="1"/>
  <c r="K84" i="33"/>
  <c r="K312" i="33"/>
  <c r="L312" i="33" s="1"/>
  <c r="K226" i="33"/>
  <c r="L226" i="33" s="1"/>
  <c r="K278" i="33"/>
  <c r="L278" i="33" s="1"/>
  <c r="K102" i="33"/>
  <c r="L102" i="33" s="1"/>
  <c r="K301" i="33"/>
  <c r="L301" i="33" s="1"/>
  <c r="K300" i="33"/>
  <c r="L300" i="33" s="1"/>
  <c r="K267" i="33"/>
  <c r="L267" i="33" s="1"/>
  <c r="K219" i="33"/>
  <c r="K283" i="33"/>
  <c r="L283" i="33" s="1"/>
  <c r="K190" i="33"/>
  <c r="L190" i="33" s="1"/>
  <c r="K118" i="33"/>
  <c r="L118" i="33" s="1"/>
  <c r="K58" i="33"/>
  <c r="L58" i="33" s="1"/>
  <c r="K8" i="33"/>
  <c r="L8" i="33" s="1"/>
  <c r="K153" i="33"/>
  <c r="L153" i="33" s="1"/>
  <c r="K143" i="33"/>
  <c r="L143" i="33" s="1"/>
  <c r="K214" i="33"/>
  <c r="K189" i="33"/>
  <c r="L189" i="33" s="1"/>
  <c r="K191" i="33"/>
  <c r="L191" i="33" s="1"/>
  <c r="K23" i="33"/>
  <c r="L23" i="33" s="1"/>
  <c r="K88" i="33"/>
  <c r="L88" i="33" s="1"/>
  <c r="K213" i="33"/>
  <c r="L213" i="33" s="1"/>
  <c r="K50" i="33"/>
  <c r="L50" i="33" s="1"/>
  <c r="K105" i="33"/>
  <c r="L105" i="33" s="1"/>
  <c r="K293" i="33"/>
  <c r="K72" i="33"/>
  <c r="L72" i="33" s="1"/>
  <c r="K144" i="33"/>
  <c r="L144" i="33" s="1"/>
  <c r="K78" i="33"/>
  <c r="L78" i="33" s="1"/>
  <c r="K43" i="33"/>
  <c r="L43" i="33" s="1"/>
  <c r="K116" i="33"/>
  <c r="L116" i="33" s="1"/>
  <c r="K33" i="33"/>
  <c r="L33" i="33" s="1"/>
  <c r="K93" i="33"/>
  <c r="L93" i="33" s="1"/>
  <c r="K39" i="33"/>
  <c r="K195" i="33"/>
  <c r="L195" i="33" s="1"/>
  <c r="K274" i="33"/>
  <c r="L274" i="33" s="1"/>
  <c r="K104" i="33"/>
  <c r="L104" i="33" s="1"/>
  <c r="K197" i="33"/>
  <c r="L197" i="33" s="1"/>
  <c r="K211" i="33"/>
  <c r="L211" i="33" s="1"/>
  <c r="K95" i="33"/>
  <c r="L95" i="33" s="1"/>
  <c r="K254" i="33"/>
  <c r="L254" i="33" s="1"/>
  <c r="K16" i="33"/>
  <c r="L16" i="33" s="1"/>
  <c r="K106" i="33"/>
  <c r="L106" i="33" s="1"/>
  <c r="K46" i="33"/>
  <c r="L46" i="33" s="1"/>
  <c r="K238" i="33"/>
  <c r="L238" i="33" s="1"/>
  <c r="K134" i="33"/>
  <c r="L134" i="33" s="1"/>
  <c r="K35" i="33"/>
  <c r="L35" i="33" s="1"/>
  <c r="K68" i="33"/>
  <c r="L68" i="33" s="1"/>
  <c r="K155" i="33"/>
  <c r="L155" i="33" s="1"/>
  <c r="K305" i="33"/>
  <c r="L305" i="33" s="1"/>
  <c r="K218" i="33"/>
  <c r="L218" i="33" s="1"/>
  <c r="K265" i="33"/>
  <c r="L265" i="33" s="1"/>
  <c r="K120" i="33"/>
  <c r="L120" i="33" s="1"/>
  <c r="K309" i="33"/>
  <c r="L309" i="33" s="1"/>
  <c r="K149" i="33"/>
  <c r="L149" i="33" s="1"/>
  <c r="K313" i="33"/>
  <c r="L313" i="33" s="1"/>
  <c r="K257" i="33"/>
  <c r="L257" i="33" s="1"/>
  <c r="K82" i="33"/>
  <c r="L82" i="33" s="1"/>
  <c r="K27" i="33"/>
  <c r="L27" i="33" s="1"/>
  <c r="K12" i="33"/>
  <c r="L12" i="33" s="1"/>
  <c r="K148" i="33"/>
  <c r="L148" i="33" s="1"/>
  <c r="K279" i="33"/>
  <c r="L279" i="33" s="1"/>
  <c r="K194" i="33"/>
  <c r="L194" i="33" s="1"/>
  <c r="K42" i="33"/>
  <c r="L42" i="33" s="1"/>
  <c r="K264" i="33"/>
  <c r="L264" i="33" s="1"/>
  <c r="K225" i="33"/>
  <c r="L225" i="33" s="1"/>
  <c r="K117" i="33"/>
  <c r="L117" i="33" s="1"/>
  <c r="K56" i="33"/>
  <c r="L56" i="33" s="1"/>
  <c r="K260" i="33"/>
  <c r="L260" i="33" s="1"/>
  <c r="K138" i="33"/>
  <c r="L138" i="33" s="1"/>
  <c r="K99" i="33"/>
  <c r="L99" i="33" s="1"/>
  <c r="K101" i="33"/>
  <c r="L101" i="33" s="1"/>
  <c r="K30" i="33"/>
  <c r="L30" i="33" s="1"/>
  <c r="K6" i="33"/>
  <c r="L6" i="33" s="1"/>
  <c r="K230" i="33"/>
  <c r="L230" i="33" s="1"/>
  <c r="K140" i="33"/>
  <c r="L140" i="33" s="1"/>
  <c r="K40" i="33"/>
  <c r="L40" i="33" s="1"/>
  <c r="K192" i="33"/>
  <c r="L192" i="33" s="1"/>
  <c r="K249" i="33"/>
  <c r="L249" i="33" s="1"/>
  <c r="K79" i="33"/>
  <c r="L79" i="33" s="1"/>
  <c r="K32" i="33"/>
  <c r="L32" i="33" s="1"/>
  <c r="K150" i="33"/>
  <c r="L150" i="33" s="1"/>
  <c r="K94" i="33"/>
  <c r="L94" i="33" s="1"/>
  <c r="K296" i="33"/>
  <c r="L296" i="33" s="1"/>
  <c r="K222" i="33"/>
  <c r="L222" i="33" s="1"/>
  <c r="K183" i="33"/>
  <c r="L183" i="33" s="1"/>
  <c r="K137" i="33"/>
  <c r="L137" i="33" s="1"/>
  <c r="K86" i="33"/>
  <c r="L86" i="33" s="1"/>
  <c r="K113" i="33"/>
  <c r="L113" i="33" s="1"/>
  <c r="K281" i="33"/>
  <c r="L281" i="33" s="1"/>
  <c r="K9" i="33"/>
  <c r="L9" i="33" s="1"/>
  <c r="K139" i="33"/>
  <c r="L139" i="33" s="1"/>
  <c r="K31" i="33"/>
  <c r="L31" i="33" s="1"/>
  <c r="K262" i="33"/>
  <c r="L262" i="33" s="1"/>
  <c r="K272" i="33"/>
  <c r="L272" i="33" s="1"/>
  <c r="K205" i="33"/>
  <c r="L205" i="33" s="1"/>
  <c r="K269" i="33"/>
  <c r="L269" i="33" s="1"/>
  <c r="K171" i="33"/>
  <c r="L171" i="33" s="1"/>
  <c r="K259" i="33"/>
  <c r="L259" i="33" s="1"/>
  <c r="K54" i="33"/>
  <c r="L54" i="33" s="1"/>
  <c r="K263" i="33"/>
  <c r="L263" i="33" s="1"/>
  <c r="K234" i="33"/>
  <c r="L234" i="33" s="1"/>
  <c r="K110" i="33"/>
  <c r="L110" i="33" s="1"/>
  <c r="K206" i="33"/>
  <c r="L206" i="33" s="1"/>
  <c r="K224" i="33"/>
  <c r="L224" i="33" s="1"/>
  <c r="K121" i="33"/>
  <c r="L121" i="33" s="1"/>
  <c r="K244" i="33"/>
  <c r="L244" i="33" s="1"/>
  <c r="K14" i="33"/>
  <c r="L14" i="33" s="1"/>
  <c r="K34" i="33"/>
  <c r="L34" i="33" s="1"/>
  <c r="K85" i="33"/>
  <c r="L85" i="33" s="1"/>
  <c r="K241" i="33"/>
  <c r="L241" i="33" s="1"/>
  <c r="K154" i="33"/>
  <c r="L154" i="33" s="1"/>
  <c r="K7" i="33"/>
  <c r="L7" i="33" s="1"/>
  <c r="K275" i="33"/>
  <c r="L275" i="33" s="1"/>
  <c r="K67" i="33"/>
  <c r="L67" i="33" s="1"/>
  <c r="K246" i="33"/>
  <c r="L246" i="33" s="1"/>
  <c r="K100" i="33"/>
  <c r="L100" i="33" s="1"/>
  <c r="K172" i="33"/>
  <c r="L172" i="33" s="1"/>
  <c r="K292" i="33"/>
  <c r="L292" i="33" s="1"/>
  <c r="K10" i="33"/>
  <c r="L10" i="33" s="1"/>
  <c r="K295" i="33"/>
  <c r="L295" i="33" s="1"/>
  <c r="K145" i="33"/>
  <c r="L145" i="33" s="1"/>
  <c r="K129" i="33"/>
  <c r="L129" i="33" s="1"/>
  <c r="K258" i="33"/>
  <c r="L258" i="33" s="1"/>
  <c r="K217" i="33"/>
  <c r="L217" i="33" s="1"/>
  <c r="K240" i="33"/>
  <c r="L240" i="33" s="1"/>
  <c r="K17" i="33"/>
  <c r="L17" i="33" s="1"/>
  <c r="K280" i="33"/>
  <c r="L280" i="33" s="1"/>
  <c r="K162" i="33"/>
  <c r="L162" i="33" s="1"/>
  <c r="K22" i="33"/>
  <c r="L22" i="33" s="1"/>
  <c r="K61" i="33"/>
  <c r="L61" i="33" s="1"/>
  <c r="K277" i="33"/>
  <c r="L277" i="33" s="1"/>
  <c r="K130" i="33"/>
  <c r="L130" i="33" s="1"/>
  <c r="K89" i="33"/>
  <c r="L89" i="33" s="1"/>
  <c r="K286" i="33"/>
  <c r="L286" i="33" s="1"/>
  <c r="K38" i="33"/>
  <c r="L38" i="33" s="1"/>
  <c r="K184" i="33"/>
  <c r="L184" i="33" s="1"/>
  <c r="K186" i="33"/>
  <c r="L186" i="33" s="1"/>
  <c r="K270" i="33"/>
  <c r="L270" i="33" s="1"/>
  <c r="K141" i="33"/>
  <c r="L141" i="33" s="1"/>
  <c r="K131" i="33"/>
  <c r="K179" i="33"/>
  <c r="L179" i="33" s="1"/>
  <c r="K132" i="33"/>
  <c r="L132" i="33" s="1"/>
  <c r="K77" i="33"/>
  <c r="L77" i="33" s="1"/>
  <c r="K289" i="33"/>
  <c r="L289" i="33" s="1"/>
  <c r="K182" i="33"/>
  <c r="L182" i="33" s="1"/>
  <c r="K251" i="33"/>
  <c r="L251" i="33" s="1"/>
  <c r="K245" i="33"/>
  <c r="L245" i="33" s="1"/>
  <c r="K157" i="33"/>
  <c r="L157" i="33" s="1"/>
  <c r="K235" i="33"/>
  <c r="L235" i="33" s="1"/>
  <c r="K59" i="33"/>
  <c r="L59" i="33" s="1"/>
  <c r="K48" i="33"/>
  <c r="L48" i="33" s="1"/>
  <c r="K75" i="33"/>
  <c r="L75" i="33" s="1"/>
  <c r="K178" i="33"/>
  <c r="L178" i="33" s="1"/>
  <c r="K248" i="33"/>
  <c r="L248" i="33" s="1"/>
  <c r="K124" i="33"/>
  <c r="L124" i="33" s="1"/>
  <c r="K299" i="33"/>
  <c r="L299" i="33" s="1"/>
  <c r="K290" i="33"/>
  <c r="L290" i="33" s="1"/>
  <c r="K247" i="33"/>
  <c r="L247" i="33" s="1"/>
  <c r="K306" i="33"/>
  <c r="L306" i="33" s="1"/>
  <c r="K87" i="33"/>
  <c r="L87" i="33" s="1"/>
  <c r="K47" i="33"/>
  <c r="L47" i="33" s="1"/>
  <c r="K107" i="33"/>
  <c r="L107" i="33" s="1"/>
  <c r="K51" i="33"/>
  <c r="L51" i="33" s="1"/>
  <c r="K294" i="33"/>
  <c r="L294" i="33" s="1"/>
  <c r="K146" i="33"/>
  <c r="L146" i="33" s="1"/>
  <c r="K255" i="33"/>
  <c r="L255" i="33" s="1"/>
  <c r="K188" i="33"/>
  <c r="L188" i="33" s="1"/>
  <c r="K156" i="33"/>
  <c r="L156" i="33" s="1"/>
  <c r="K159" i="33"/>
  <c r="L159" i="33" s="1"/>
  <c r="K285" i="33"/>
  <c r="L285" i="33" s="1"/>
  <c r="K90" i="33"/>
  <c r="L90" i="33" s="1"/>
  <c r="K298" i="33"/>
  <c r="L298" i="33" s="1"/>
  <c r="K71" i="33"/>
  <c r="L71" i="33" s="1"/>
  <c r="K177" i="33"/>
  <c r="L177" i="33" s="1"/>
  <c r="K165" i="33"/>
  <c r="L165" i="33" s="1"/>
  <c r="K55" i="33"/>
  <c r="L55" i="33" s="1"/>
  <c r="K135" i="33"/>
  <c r="L135" i="33" s="1"/>
  <c r="K307" i="33"/>
  <c r="L307" i="33" s="1"/>
  <c r="K29" i="33"/>
  <c r="L29" i="33" s="1"/>
  <c r="K266" i="33"/>
  <c r="L266" i="33" s="1"/>
  <c r="K128" i="33"/>
  <c r="L128" i="33" s="1"/>
  <c r="K49" i="33"/>
  <c r="L49" i="33" s="1"/>
  <c r="K196" i="33"/>
  <c r="L196" i="33" s="1"/>
  <c r="K302" i="33"/>
  <c r="L302" i="33" s="1"/>
  <c r="K220" i="33"/>
  <c r="L220" i="33" s="1"/>
  <c r="K11" i="33"/>
  <c r="L11" i="33" s="1"/>
  <c r="K169" i="33"/>
  <c r="L169" i="33" s="1"/>
  <c r="K228" i="33"/>
  <c r="L228" i="33" s="1"/>
  <c r="K201" i="33"/>
  <c r="L201" i="33" s="1"/>
  <c r="K24" i="33"/>
  <c r="L24" i="33" s="1"/>
  <c r="K287" i="33"/>
  <c r="L287" i="33" s="1"/>
  <c r="K142" i="33"/>
  <c r="L142" i="33" s="1"/>
  <c r="K227" i="33"/>
  <c r="L227" i="33" s="1"/>
  <c r="K70" i="33"/>
  <c r="L70" i="33" s="1"/>
  <c r="K65" i="33"/>
  <c r="L65" i="33" s="1"/>
  <c r="K53" i="33"/>
  <c r="L53" i="33" s="1"/>
  <c r="K176" i="33"/>
  <c r="L176" i="33" s="1"/>
  <c r="K284" i="33"/>
  <c r="L284" i="33" s="1"/>
  <c r="K282" i="33"/>
  <c r="L282" i="33" s="1"/>
  <c r="K193" i="33"/>
  <c r="L193" i="33" s="1"/>
  <c r="K252" i="33"/>
  <c r="L252" i="33" s="1"/>
  <c r="K291" i="33"/>
  <c r="L291" i="33" s="1"/>
  <c r="K91" i="33"/>
  <c r="L91" i="33" s="1"/>
  <c r="K233" i="33"/>
  <c r="L233" i="33" s="1"/>
  <c r="K92" i="33"/>
  <c r="L92" i="33" s="1"/>
  <c r="K243" i="33"/>
  <c r="L243" i="33" s="1"/>
  <c r="K45" i="33"/>
  <c r="L45" i="33" s="1"/>
  <c r="K181" i="33"/>
  <c r="K237" i="33"/>
  <c r="L237" i="33" s="1"/>
  <c r="K66" i="33"/>
  <c r="L66" i="33" s="1"/>
  <c r="K271" i="33"/>
  <c r="L271" i="33" s="1"/>
  <c r="K136" i="33"/>
  <c r="L136" i="33" s="1"/>
  <c r="K69" i="33"/>
  <c r="L69" i="33" s="1"/>
  <c r="K212" i="33"/>
  <c r="L212" i="33" s="1"/>
  <c r="K111" i="33"/>
  <c r="L111" i="33" s="1"/>
  <c r="K168" i="33"/>
  <c r="L168" i="33" s="1"/>
  <c r="K83" i="33"/>
  <c r="L83" i="33" s="1"/>
  <c r="K15" i="33"/>
  <c r="L15" i="33" s="1"/>
  <c r="K13" i="33"/>
  <c r="L13" i="33" s="1"/>
  <c r="K114" i="33"/>
  <c r="L114" i="33" s="1"/>
  <c r="K57" i="33"/>
  <c r="L57" i="33" s="1"/>
  <c r="K62" i="33"/>
  <c r="L62" i="33" s="1"/>
  <c r="K173" i="33"/>
  <c r="L173" i="33" s="1"/>
  <c r="K303" i="33"/>
  <c r="L303" i="33" s="1"/>
  <c r="K73" i="33"/>
  <c r="L73" i="33" s="1"/>
  <c r="K170" i="33"/>
  <c r="L170" i="33" s="1"/>
  <c r="K175" i="33"/>
  <c r="L175" i="33" s="1"/>
  <c r="K166" i="33"/>
  <c r="L166" i="33" s="1"/>
  <c r="K167" i="33"/>
  <c r="L167" i="33" s="1"/>
  <c r="K112" i="33"/>
  <c r="L112" i="33" s="1"/>
  <c r="K160" i="33"/>
  <c r="L160" i="33" s="1"/>
  <c r="K20" i="33"/>
  <c r="L20" i="33" s="1"/>
  <c r="K200" i="33"/>
  <c r="L200" i="33" s="1"/>
  <c r="K308" i="33"/>
  <c r="L308" i="33" s="1"/>
  <c r="K236" i="33"/>
  <c r="L236" i="33" s="1"/>
  <c r="K127" i="33"/>
  <c r="L127" i="33" s="1"/>
  <c r="K96" i="33"/>
  <c r="L96" i="33" s="1"/>
  <c r="K215" i="33"/>
  <c r="L215" i="33" s="1"/>
  <c r="K198" i="33"/>
  <c r="L198" i="33" s="1"/>
  <c r="K216" i="33"/>
  <c r="L216" i="33" s="1"/>
  <c r="K207" i="33"/>
  <c r="L207" i="33" s="1"/>
  <c r="K122" i="33"/>
  <c r="L122" i="33" s="1"/>
  <c r="K97" i="33"/>
  <c r="L97" i="33" s="1"/>
  <c r="K174" i="33"/>
  <c r="L174" i="33" s="1"/>
  <c r="K21" i="33"/>
  <c r="L21" i="33" s="1"/>
  <c r="K253" i="33"/>
  <c r="L253" i="33" s="1"/>
  <c r="K208" i="33"/>
  <c r="L208" i="33" s="1"/>
  <c r="K185" i="33"/>
  <c r="L185" i="33" s="1"/>
  <c r="K103" i="33"/>
  <c r="L103" i="33" s="1"/>
  <c r="K231" i="33"/>
  <c r="L231" i="33" s="1"/>
  <c r="K250" i="33"/>
  <c r="L250" i="33" s="1"/>
  <c r="K304" i="33"/>
  <c r="L304" i="33" s="1"/>
  <c r="K221" i="33"/>
  <c r="L221" i="33" s="1"/>
  <c r="K64" i="33"/>
  <c r="L64" i="33" s="1"/>
  <c r="K123" i="33"/>
  <c r="L123" i="33" s="1"/>
  <c r="K119" i="33"/>
  <c r="L119" i="33" s="1"/>
  <c r="K297" i="33"/>
  <c r="L297" i="33" s="1"/>
  <c r="K239" i="33"/>
  <c r="L239" i="33" s="1"/>
  <c r="K242" i="33"/>
  <c r="L242" i="33" s="1"/>
  <c r="K76" i="33"/>
  <c r="L76" i="33" s="1"/>
  <c r="K152" i="33"/>
  <c r="L152" i="33" s="1"/>
  <c r="K232" i="33"/>
  <c r="L232" i="33" s="1"/>
  <c r="K26" i="33"/>
  <c r="L26" i="33" s="1"/>
  <c r="K256" i="33"/>
  <c r="L256" i="33" s="1"/>
  <c r="K108" i="33"/>
  <c r="L108" i="33" s="1"/>
  <c r="K52" i="33"/>
  <c r="L52" i="33" s="1"/>
  <c r="K36" i="33"/>
  <c r="L36" i="33" s="1"/>
  <c r="K115" i="33"/>
  <c r="L115" i="33" s="1"/>
  <c r="K109" i="33"/>
  <c r="L109" i="33" s="1"/>
  <c r="K161" i="33"/>
  <c r="L161" i="33" s="1"/>
  <c r="K41" i="33"/>
  <c r="L41" i="33" s="1"/>
  <c r="K311" i="33"/>
  <c r="L311" i="33" s="1"/>
  <c r="K80" i="33"/>
  <c r="L80" i="33" s="1"/>
  <c r="K268" i="33"/>
  <c r="L268" i="33" s="1"/>
  <c r="K60" i="33"/>
  <c r="L60" i="33" s="1"/>
  <c r="K199" i="33"/>
  <c r="L199" i="33" s="1"/>
  <c r="K209" i="33"/>
  <c r="L209" i="33" s="1"/>
  <c r="K276" i="33"/>
  <c r="L276" i="33" s="1"/>
  <c r="K63" i="33"/>
  <c r="L63" i="33" s="1"/>
  <c r="K203" i="33"/>
  <c r="L203" i="33" s="1"/>
  <c r="K126" i="33"/>
  <c r="L126" i="33" s="1"/>
  <c r="K44" i="33"/>
  <c r="L44" i="33" s="1"/>
  <c r="K28" i="33"/>
  <c r="L28" i="33" s="1"/>
  <c r="K310" i="33"/>
  <c r="L310" i="33" s="1"/>
  <c r="K180" i="33"/>
  <c r="L180" i="33" s="1"/>
  <c r="K125" i="33"/>
  <c r="L125" i="33" s="1"/>
  <c r="K223" i="33"/>
  <c r="L223" i="33" s="1"/>
  <c r="K288" i="33"/>
  <c r="L288" i="33" s="1"/>
  <c r="K164" i="33"/>
  <c r="L164" i="33" s="1"/>
  <c r="K158" i="33"/>
  <c r="L158" i="33" s="1"/>
  <c r="K163" i="33"/>
  <c r="L163" i="33" s="1"/>
  <c r="K151" i="33"/>
  <c r="L151" i="33" s="1"/>
  <c r="K18" i="33"/>
  <c r="L18" i="33" s="1"/>
  <c r="K147" i="33"/>
  <c r="L147" i="33" s="1"/>
  <c r="K25" i="33"/>
  <c r="L25" i="33" s="1"/>
  <c r="L37" i="33"/>
  <c r="L84" i="33"/>
  <c r="L181" i="33"/>
  <c r="L229" i="33"/>
  <c r="L273" i="33"/>
  <c r="L133" i="33"/>
  <c r="L19" i="33"/>
  <c r="L74" i="33"/>
  <c r="L98" i="33"/>
  <c r="L202" i="33"/>
  <c r="L210" i="33"/>
  <c r="L214" i="33"/>
  <c r="L204" i="33"/>
  <c r="L293" i="33"/>
  <c r="L219" i="33"/>
  <c r="L187" i="33"/>
  <c r="L81" i="33"/>
  <c r="L39" i="33"/>
  <c r="K5" i="33"/>
  <c r="M212" i="33" l="1"/>
  <c r="E218" i="9"/>
  <c r="E23" i="9"/>
  <c r="M17" i="33"/>
  <c r="M272" i="33"/>
  <c r="E278" i="9"/>
  <c r="E143" i="9"/>
  <c r="M137" i="33"/>
  <c r="E255" i="9"/>
  <c r="M249" i="33"/>
  <c r="M92" i="33"/>
  <c r="M93" i="49" s="1"/>
  <c r="E98" i="9"/>
  <c r="M176" i="33"/>
  <c r="M177" i="49" s="1"/>
  <c r="E182" i="9"/>
  <c r="M290" i="33"/>
  <c r="E296" i="9"/>
  <c r="E268" i="9"/>
  <c r="M262" i="33"/>
  <c r="M263" i="49" s="1"/>
  <c r="E189" i="9"/>
  <c r="M183" i="33"/>
  <c r="M184" i="49" s="1"/>
  <c r="E169" i="9"/>
  <c r="M163" i="33"/>
  <c r="M164" i="49" s="1"/>
  <c r="M242" i="33"/>
  <c r="E248" i="9"/>
  <c r="E251" i="9"/>
  <c r="M245" i="33"/>
  <c r="M246" i="49" s="1"/>
  <c r="M139" i="33"/>
  <c r="E145" i="9"/>
  <c r="E274" i="9"/>
  <c r="M268" i="33"/>
  <c r="E245" i="9"/>
  <c r="M239" i="33"/>
  <c r="M248" i="33"/>
  <c r="M249" i="49" s="1"/>
  <c r="E254" i="9"/>
  <c r="M259" i="33"/>
  <c r="M260" i="49" s="1"/>
  <c r="E265" i="9"/>
  <c r="M60" i="33"/>
  <c r="E66" i="9"/>
  <c r="M51" i="33"/>
  <c r="E57" i="9"/>
  <c r="E283" i="9"/>
  <c r="M277" i="33"/>
  <c r="M278" i="49" s="1"/>
  <c r="E58" i="9"/>
  <c r="M52" i="33"/>
  <c r="E297" i="9"/>
  <c r="M291" i="33"/>
  <c r="M292" i="49" s="1"/>
  <c r="E257" i="9"/>
  <c r="M251" i="33"/>
  <c r="E103" i="9"/>
  <c r="M97" i="33"/>
  <c r="M98" i="49" s="1"/>
  <c r="M140" i="33"/>
  <c r="M141" i="49" s="1"/>
  <c r="E146" i="9"/>
  <c r="E237" i="9"/>
  <c r="M231" i="33"/>
  <c r="M232" i="49" s="1"/>
  <c r="M70" i="33"/>
  <c r="E76" i="9"/>
  <c r="M270" i="33"/>
  <c r="E276" i="9"/>
  <c r="E127" i="9"/>
  <c r="M121" i="33"/>
  <c r="M280" i="33"/>
  <c r="E286" i="9"/>
  <c r="M210" i="33"/>
  <c r="E216" i="9"/>
  <c r="E80" i="9"/>
  <c r="M74" i="33"/>
  <c r="M296" i="33"/>
  <c r="M297" i="49" s="1"/>
  <c r="E302" i="9"/>
  <c r="M185" i="33"/>
  <c r="E191" i="9"/>
  <c r="E153" i="9"/>
  <c r="M147" i="33"/>
  <c r="E167" i="9"/>
  <c r="M161" i="33"/>
  <c r="E221" i="9"/>
  <c r="M215" i="33"/>
  <c r="M216" i="49" s="1"/>
  <c r="M284" i="33"/>
  <c r="E290" i="9"/>
  <c r="E261" i="9"/>
  <c r="M255" i="33"/>
  <c r="M256" i="49" s="1"/>
  <c r="M286" i="33"/>
  <c r="E292" i="9"/>
  <c r="M110" i="33"/>
  <c r="M111" i="49" s="1"/>
  <c r="E116" i="9"/>
  <c r="E289" i="9"/>
  <c r="M283" i="33"/>
  <c r="M284" i="49" s="1"/>
  <c r="E306" i="9"/>
  <c r="M300" i="33"/>
  <c r="M264" i="33"/>
  <c r="E270" i="9"/>
  <c r="E32" i="9"/>
  <c r="M26" i="33"/>
  <c r="M27" i="49" s="1"/>
  <c r="M246" i="33"/>
  <c r="M247" i="49" s="1"/>
  <c r="E252" i="9"/>
  <c r="E194" i="9"/>
  <c r="M188" i="33"/>
  <c r="E212" i="9"/>
  <c r="M206" i="33"/>
  <c r="M207" i="49" s="1"/>
  <c r="M170" i="33"/>
  <c r="M171" i="49" s="1"/>
  <c r="E176" i="9"/>
  <c r="E97" i="9"/>
  <c r="M91" i="33"/>
  <c r="M92" i="49" s="1"/>
  <c r="E44" i="9"/>
  <c r="M38" i="33"/>
  <c r="E67" i="9"/>
  <c r="M61" i="33"/>
  <c r="M62" i="49" s="1"/>
  <c r="M50" i="33"/>
  <c r="M51" i="49" s="1"/>
  <c r="E56" i="9"/>
  <c r="E83" i="9"/>
  <c r="M77" i="33"/>
  <c r="M175" i="33"/>
  <c r="M176" i="49" s="1"/>
  <c r="E181" i="9"/>
  <c r="E293" i="9"/>
  <c r="M287" i="33"/>
  <c r="M288" i="49" s="1"/>
  <c r="M288" i="33"/>
  <c r="E294" i="9"/>
  <c r="M192" i="33"/>
  <c r="E198" i="9"/>
  <c r="E275" i="9"/>
  <c r="M269" i="33"/>
  <c r="E231" i="9"/>
  <c r="M225" i="33"/>
  <c r="E20" i="9"/>
  <c r="M14" i="33"/>
  <c r="M15" i="49" s="1"/>
  <c r="M181" i="33"/>
  <c r="M182" i="49" s="1"/>
  <c r="E187" i="9"/>
  <c r="E125" i="9"/>
  <c r="M119" i="33"/>
  <c r="M116" i="33"/>
  <c r="E122" i="9"/>
  <c r="E132" i="9"/>
  <c r="M126" i="33"/>
  <c r="M80" i="33"/>
  <c r="E86" i="9"/>
  <c r="E24" i="9"/>
  <c r="M18" i="33"/>
  <c r="M180" i="33"/>
  <c r="E186" i="9"/>
  <c r="E215" i="9"/>
  <c r="M209" i="33"/>
  <c r="M210" i="49" s="1"/>
  <c r="E115" i="9"/>
  <c r="M109" i="33"/>
  <c r="M110" i="49" s="1"/>
  <c r="M152" i="33"/>
  <c r="E158" i="9"/>
  <c r="E227" i="9"/>
  <c r="M221" i="33"/>
  <c r="E27" i="9"/>
  <c r="M21" i="33"/>
  <c r="M96" i="33"/>
  <c r="E102" i="9"/>
  <c r="E63" i="9"/>
  <c r="M57" i="33"/>
  <c r="E75" i="9"/>
  <c r="M69" i="33"/>
  <c r="M201" i="33"/>
  <c r="E207" i="9"/>
  <c r="M128" i="33"/>
  <c r="M129" i="49" s="1"/>
  <c r="E134" i="9"/>
  <c r="E77" i="9"/>
  <c r="M71" i="33"/>
  <c r="M146" i="33"/>
  <c r="M147" i="49" s="1"/>
  <c r="E152" i="9"/>
  <c r="E185" i="9"/>
  <c r="M179" i="33"/>
  <c r="E95" i="9"/>
  <c r="M89" i="33"/>
  <c r="M240" i="33"/>
  <c r="E246" i="9"/>
  <c r="M172" i="33"/>
  <c r="M173" i="49" s="1"/>
  <c r="E178" i="9"/>
  <c r="E91" i="9"/>
  <c r="M85" i="33"/>
  <c r="M86" i="49" s="1"/>
  <c r="M234" i="33"/>
  <c r="E240" i="9"/>
  <c r="E225" i="9"/>
  <c r="M219" i="33"/>
  <c r="M220" i="49" s="1"/>
  <c r="E295" i="9"/>
  <c r="M289" i="33"/>
  <c r="M290" i="49" s="1"/>
  <c r="E16" i="9"/>
  <c r="M10" i="33"/>
  <c r="M156" i="33"/>
  <c r="E162" i="9"/>
  <c r="M202" i="33"/>
  <c r="M203" i="49" s="1"/>
  <c r="E208" i="9"/>
  <c r="M162" i="33"/>
  <c r="E168" i="9"/>
  <c r="E89" i="9"/>
  <c r="M83" i="33"/>
  <c r="M138" i="33"/>
  <c r="E144" i="9"/>
  <c r="E51" i="9"/>
  <c r="M45" i="33"/>
  <c r="E25" i="9"/>
  <c r="M19" i="33"/>
  <c r="M20" i="49" s="1"/>
  <c r="E99" i="9"/>
  <c r="M93" i="33"/>
  <c r="M260" i="33"/>
  <c r="M261" i="49" s="1"/>
  <c r="E266" i="9"/>
  <c r="E271" i="9"/>
  <c r="M265" i="33"/>
  <c r="M217" i="33"/>
  <c r="M218" i="49" s="1"/>
  <c r="E223" i="9"/>
  <c r="E179" i="9"/>
  <c r="M173" i="33"/>
  <c r="E117" i="9"/>
  <c r="M111" i="33"/>
  <c r="M100" i="33"/>
  <c r="E106" i="9"/>
  <c r="M118" i="33"/>
  <c r="M119" i="49" s="1"/>
  <c r="E124" i="9"/>
  <c r="E31" i="9"/>
  <c r="M25" i="33"/>
  <c r="E157" i="9"/>
  <c r="M151" i="33"/>
  <c r="E316" i="9"/>
  <c r="M310" i="33"/>
  <c r="E205" i="9"/>
  <c r="M199" i="33"/>
  <c r="M200" i="49" s="1"/>
  <c r="E121" i="9"/>
  <c r="M115" i="33"/>
  <c r="E180" i="9"/>
  <c r="M174" i="33"/>
  <c r="E133" i="9"/>
  <c r="M127" i="33"/>
  <c r="M166" i="33"/>
  <c r="M167" i="49" s="1"/>
  <c r="E172" i="9"/>
  <c r="M114" i="33"/>
  <c r="E120" i="9"/>
  <c r="M136" i="33"/>
  <c r="E142" i="9"/>
  <c r="E239" i="9"/>
  <c r="M233" i="33"/>
  <c r="E59" i="9"/>
  <c r="M53" i="33"/>
  <c r="M228" i="33"/>
  <c r="E234" i="9"/>
  <c r="M266" i="33"/>
  <c r="E272" i="9"/>
  <c r="E305" i="9"/>
  <c r="M299" i="33"/>
  <c r="E40" i="9"/>
  <c r="M34" i="33"/>
  <c r="E269" i="9"/>
  <c r="M263" i="33"/>
  <c r="M55" i="33"/>
  <c r="M56" i="49" s="1"/>
  <c r="E61" i="9"/>
  <c r="E281" i="9"/>
  <c r="M275" i="33"/>
  <c r="E50" i="9"/>
  <c r="M44" i="33"/>
  <c r="M45" i="49" s="1"/>
  <c r="M178" i="33"/>
  <c r="E184" i="9"/>
  <c r="E72" i="9"/>
  <c r="M66" i="33"/>
  <c r="M67" i="49" s="1"/>
  <c r="M279" i="33"/>
  <c r="E285" i="9"/>
  <c r="M208" i="33"/>
  <c r="M209" i="49" s="1"/>
  <c r="E214" i="9"/>
  <c r="E235" i="9"/>
  <c r="M229" i="33"/>
  <c r="E141" i="9"/>
  <c r="M135" i="33"/>
  <c r="M136" i="49" s="1"/>
  <c r="M134" i="33"/>
  <c r="E140" i="9"/>
  <c r="E43" i="9"/>
  <c r="M37" i="33"/>
  <c r="E238" i="9"/>
  <c r="M232" i="33"/>
  <c r="M233" i="49" s="1"/>
  <c r="M112" i="33"/>
  <c r="M113" i="49" s="1"/>
  <c r="E118" i="9"/>
  <c r="E249" i="9"/>
  <c r="M243" i="33"/>
  <c r="E183" i="9"/>
  <c r="M177" i="33"/>
  <c r="M178" i="49" s="1"/>
  <c r="E247" i="9"/>
  <c r="M241" i="33"/>
  <c r="E217" i="9"/>
  <c r="M211" i="33"/>
  <c r="M212" i="49" s="1"/>
  <c r="E14" i="9"/>
  <c r="M8" i="33"/>
  <c r="M9" i="49" s="1"/>
  <c r="M155" i="33"/>
  <c r="E161" i="9"/>
  <c r="M252" i="33"/>
  <c r="M253" i="49" s="1"/>
  <c r="E258" i="9"/>
  <c r="M238" i="33"/>
  <c r="M239" i="49" s="1"/>
  <c r="E244" i="9"/>
  <c r="M154" i="33"/>
  <c r="M155" i="49" s="1"/>
  <c r="E160" i="9"/>
  <c r="M120" i="33"/>
  <c r="E126" i="9"/>
  <c r="E197" i="9"/>
  <c r="M191" i="33"/>
  <c r="M160" i="33"/>
  <c r="E166" i="9"/>
  <c r="E219" i="9"/>
  <c r="M213" i="33"/>
  <c r="M214" i="49" s="1"/>
  <c r="E90" i="9"/>
  <c r="M84" i="33"/>
  <c r="E277" i="9"/>
  <c r="M271" i="33"/>
  <c r="M272" i="49" s="1"/>
  <c r="M258" i="33"/>
  <c r="E264" i="9"/>
  <c r="M200" i="33"/>
  <c r="M201" i="49" s="1"/>
  <c r="E206" i="9"/>
  <c r="E200" i="9"/>
  <c r="M194" i="33"/>
  <c r="M195" i="49" s="1"/>
  <c r="E128" i="9"/>
  <c r="M122" i="33"/>
  <c r="M123" i="49" s="1"/>
  <c r="E213" i="9"/>
  <c r="M207" i="33"/>
  <c r="M144" i="33"/>
  <c r="M145" i="49" s="1"/>
  <c r="E150" i="9"/>
  <c r="E211" i="9"/>
  <c r="M205" i="33"/>
  <c r="E101" i="9"/>
  <c r="M95" i="33"/>
  <c r="M94" i="33"/>
  <c r="E100" i="9"/>
  <c r="M308" i="33"/>
  <c r="E314" i="9"/>
  <c r="E291" i="9"/>
  <c r="M285" i="33"/>
  <c r="E37" i="9"/>
  <c r="M31" i="33"/>
  <c r="M32" i="49" s="1"/>
  <c r="E177" i="9"/>
  <c r="M171" i="33"/>
  <c r="M301" i="33"/>
  <c r="E307" i="9"/>
  <c r="M306" i="33"/>
  <c r="E312" i="9"/>
  <c r="M184" i="33"/>
  <c r="E190" i="9"/>
  <c r="M274" i="33"/>
  <c r="E280" i="9"/>
  <c r="E232" i="9"/>
  <c r="M226" i="33"/>
  <c r="E28" i="9"/>
  <c r="M22" i="33"/>
  <c r="E196" i="9"/>
  <c r="M190" i="33"/>
  <c r="E148" i="9"/>
  <c r="M142" i="33"/>
  <c r="M108" i="33"/>
  <c r="E114" i="9"/>
  <c r="E112" i="9"/>
  <c r="M106" i="33"/>
  <c r="M88" i="33"/>
  <c r="E94" i="9"/>
  <c r="E41" i="9"/>
  <c r="M35" i="33"/>
  <c r="M36" i="49" s="1"/>
  <c r="E139" i="9"/>
  <c r="M133" i="33"/>
  <c r="E229" i="9"/>
  <c r="M223" i="33"/>
  <c r="M311" i="33"/>
  <c r="E317" i="9"/>
  <c r="M148" i="33"/>
  <c r="E154" i="9"/>
  <c r="E203" i="9"/>
  <c r="M197" i="33"/>
  <c r="E159" i="9"/>
  <c r="M153" i="33"/>
  <c r="M154" i="49" s="1"/>
  <c r="E93" i="9"/>
  <c r="M87" i="33"/>
  <c r="M46" i="33"/>
  <c r="M47" i="49" s="1"/>
  <c r="E52" i="9"/>
  <c r="M86" i="33"/>
  <c r="E92" i="9"/>
  <c r="E48" i="9"/>
  <c r="M42" i="33"/>
  <c r="M43" i="49" s="1"/>
  <c r="E209" i="9"/>
  <c r="M203" i="33"/>
  <c r="E210" i="9"/>
  <c r="M204" i="33"/>
  <c r="M205" i="49" s="1"/>
  <c r="E35" i="9"/>
  <c r="M29" i="33"/>
  <c r="E173" i="9"/>
  <c r="M167" i="33"/>
  <c r="M168" i="49" s="1"/>
  <c r="E36" i="9"/>
  <c r="M30" i="33"/>
  <c r="M31" i="49" s="1"/>
  <c r="E131" i="9"/>
  <c r="M125" i="33"/>
  <c r="M126" i="49" s="1"/>
  <c r="M64" i="33"/>
  <c r="E70" i="9"/>
  <c r="E68" i="9"/>
  <c r="M62" i="33"/>
  <c r="M49" i="33"/>
  <c r="M50" i="49" s="1"/>
  <c r="E55" i="9"/>
  <c r="E65" i="9"/>
  <c r="M59" i="33"/>
  <c r="E135" i="9"/>
  <c r="M129" i="33"/>
  <c r="M130" i="49" s="1"/>
  <c r="E233" i="9"/>
  <c r="M227" i="33"/>
  <c r="M228" i="49" s="1"/>
  <c r="M282" i="33"/>
  <c r="E288" i="9"/>
  <c r="E204" i="9"/>
  <c r="M198" i="33"/>
  <c r="M130" i="33"/>
  <c r="E136" i="9"/>
  <c r="E107" i="9"/>
  <c r="M101" i="33"/>
  <c r="M102" i="49" s="1"/>
  <c r="M302" i="33"/>
  <c r="M303" i="49" s="1"/>
  <c r="E308" i="9"/>
  <c r="E202" i="9"/>
  <c r="M196" i="33"/>
  <c r="M197" i="49" s="1"/>
  <c r="E109" i="9"/>
  <c r="M103" i="33"/>
  <c r="E15" i="9"/>
  <c r="M9" i="33"/>
  <c r="E42" i="9"/>
  <c r="M36" i="33"/>
  <c r="M236" i="33"/>
  <c r="M237" i="49" s="1"/>
  <c r="E242" i="9"/>
  <c r="M65" i="33"/>
  <c r="E71" i="9"/>
  <c r="E96" i="9"/>
  <c r="M90" i="33"/>
  <c r="E147" i="9"/>
  <c r="M141" i="33"/>
  <c r="M54" i="33"/>
  <c r="E60" i="9"/>
  <c r="E22" i="9"/>
  <c r="M16" i="33"/>
  <c r="M17" i="49" s="1"/>
  <c r="E303" i="9"/>
  <c r="M297" i="33"/>
  <c r="M298" i="49" s="1"/>
  <c r="E284" i="9"/>
  <c r="M278" i="33"/>
  <c r="M279" i="49" s="1"/>
  <c r="E38" i="9"/>
  <c r="M32" i="33"/>
  <c r="M33" i="49" s="1"/>
  <c r="E39" i="9"/>
  <c r="M33" i="33"/>
  <c r="E26" i="9"/>
  <c r="M20" i="33"/>
  <c r="E300" i="9"/>
  <c r="M294" i="33"/>
  <c r="M295" i="49" s="1"/>
  <c r="E170" i="9"/>
  <c r="M164" i="33"/>
  <c r="E74" i="9"/>
  <c r="M68" i="33"/>
  <c r="M69" i="49" s="1"/>
  <c r="E64" i="9"/>
  <c r="M58" i="33"/>
  <c r="E21" i="9"/>
  <c r="M15" i="33"/>
  <c r="M16" i="49" s="1"/>
  <c r="E313" i="9"/>
  <c r="M307" i="33"/>
  <c r="M308" i="49" s="1"/>
  <c r="E45" i="9"/>
  <c r="M39" i="33"/>
  <c r="E111" i="9"/>
  <c r="M105" i="33"/>
  <c r="M106" i="49" s="1"/>
  <c r="E193" i="9"/>
  <c r="M187" i="33"/>
  <c r="M188" i="49" s="1"/>
  <c r="E311" i="9"/>
  <c r="M305" i="33"/>
  <c r="M306" i="49" s="1"/>
  <c r="M298" i="33"/>
  <c r="E304" i="9"/>
  <c r="M168" i="33"/>
  <c r="E174" i="9"/>
  <c r="E228" i="9"/>
  <c r="M222" i="33"/>
  <c r="E12" i="9"/>
  <c r="M6" i="33"/>
  <c r="M7" i="49" s="1"/>
  <c r="M186" i="33"/>
  <c r="E192" i="9"/>
  <c r="M98" i="33"/>
  <c r="M99" i="49" s="1"/>
  <c r="E104" i="9"/>
  <c r="M72" i="33"/>
  <c r="M73" i="49" s="1"/>
  <c r="E78" i="9"/>
  <c r="E49" i="9"/>
  <c r="M43" i="33"/>
  <c r="M44" i="49" s="1"/>
  <c r="E149" i="9"/>
  <c r="M143" i="33"/>
  <c r="M312" i="33"/>
  <c r="E318" i="9"/>
  <c r="M256" i="33"/>
  <c r="M257" i="49" s="1"/>
  <c r="E262" i="9"/>
  <c r="E287" i="9"/>
  <c r="M281" i="33"/>
  <c r="M282" i="49" s="1"/>
  <c r="M56" i="33"/>
  <c r="M57" i="49" s="1"/>
  <c r="E62" i="9"/>
  <c r="E199" i="9"/>
  <c r="M193" i="33"/>
  <c r="M194" i="49" s="1"/>
  <c r="M149" i="33"/>
  <c r="E155" i="9"/>
  <c r="E85" i="9"/>
  <c r="M79" i="33"/>
  <c r="E29" i="9"/>
  <c r="M23" i="33"/>
  <c r="E84" i="9"/>
  <c r="M78" i="33"/>
  <c r="E33" i="9"/>
  <c r="M27" i="33"/>
  <c r="E319" i="9"/>
  <c r="M313" i="33"/>
  <c r="M314" i="49" s="1"/>
  <c r="M254" i="33"/>
  <c r="E260" i="9"/>
  <c r="E105" i="9"/>
  <c r="M99" i="33"/>
  <c r="E73" i="9"/>
  <c r="M67" i="33"/>
  <c r="E279" i="9"/>
  <c r="M273" i="33"/>
  <c r="E138" i="9"/>
  <c r="M132" i="33"/>
  <c r="M133" i="49" s="1"/>
  <c r="M276" i="33"/>
  <c r="E282" i="9"/>
  <c r="E259" i="9"/>
  <c r="M253" i="33"/>
  <c r="M254" i="49" s="1"/>
  <c r="E30" i="9"/>
  <c r="M24" i="33"/>
  <c r="M25" i="49" s="1"/>
  <c r="E253" i="9"/>
  <c r="M247" i="33"/>
  <c r="M248" i="49" s="1"/>
  <c r="M292" i="33"/>
  <c r="M293" i="49" s="1"/>
  <c r="E298" i="9"/>
  <c r="E69" i="9"/>
  <c r="M63" i="33"/>
  <c r="E79" i="9"/>
  <c r="M73" i="33"/>
  <c r="E299" i="9"/>
  <c r="M293" i="33"/>
  <c r="M294" i="49" s="1"/>
  <c r="E222" i="9"/>
  <c r="M216" i="33"/>
  <c r="E54" i="9"/>
  <c r="M48" i="33"/>
  <c r="E81" i="9"/>
  <c r="M75" i="33"/>
  <c r="M76" i="49" s="1"/>
  <c r="E18" i="9"/>
  <c r="M12" i="33"/>
  <c r="M13" i="49" s="1"/>
  <c r="M295" i="33"/>
  <c r="E301" i="9"/>
  <c r="E267" i="9"/>
  <c r="M261" i="33"/>
  <c r="M165" i="33"/>
  <c r="M166" i="49" s="1"/>
  <c r="E171" i="9"/>
  <c r="M102" i="33"/>
  <c r="E108" i="9"/>
  <c r="E34" i="9"/>
  <c r="M28" i="33"/>
  <c r="M29" i="49" s="1"/>
  <c r="M250" i="33"/>
  <c r="E256" i="9"/>
  <c r="E19" i="9"/>
  <c r="M13" i="33"/>
  <c r="M14" i="49" s="1"/>
  <c r="E175" i="9"/>
  <c r="M169" i="33"/>
  <c r="M124" i="33"/>
  <c r="E130" i="9"/>
  <c r="M81" i="33"/>
  <c r="E87" i="9"/>
  <c r="E241" i="9"/>
  <c r="M235" i="33"/>
  <c r="E226" i="9"/>
  <c r="M220" i="33"/>
  <c r="M230" i="33"/>
  <c r="M231" i="49" s="1"/>
  <c r="E236" i="9"/>
  <c r="M150" i="33"/>
  <c r="M151" i="49" s="1"/>
  <c r="E156" i="9"/>
  <c r="M104" i="33"/>
  <c r="E110" i="9"/>
  <c r="E123" i="9"/>
  <c r="M117" i="33"/>
  <c r="E309" i="9"/>
  <c r="M303" i="33"/>
  <c r="M304" i="49" s="1"/>
  <c r="E263" i="9"/>
  <c r="M257" i="33"/>
  <c r="E163" i="9"/>
  <c r="M157" i="33"/>
  <c r="M158" i="49" s="1"/>
  <c r="E164" i="9"/>
  <c r="M158" i="33"/>
  <c r="E17" i="9"/>
  <c r="M11" i="33"/>
  <c r="M12" i="49" s="1"/>
  <c r="E113" i="9"/>
  <c r="M107" i="33"/>
  <c r="M244" i="33"/>
  <c r="E250" i="9"/>
  <c r="M47" i="33"/>
  <c r="E53" i="9"/>
  <c r="E119" i="9"/>
  <c r="M113" i="33"/>
  <c r="M114" i="49" s="1"/>
  <c r="E201" i="9"/>
  <c r="M195" i="33"/>
  <c r="E273" i="9"/>
  <c r="M267" i="33"/>
  <c r="E315" i="9"/>
  <c r="M309" i="33"/>
  <c r="M218" i="33"/>
  <c r="E224" i="9"/>
  <c r="M214" i="33"/>
  <c r="E220" i="9"/>
  <c r="M182" i="33"/>
  <c r="M183" i="49" s="1"/>
  <c r="E188" i="9"/>
  <c r="M123" i="33"/>
  <c r="E129" i="9"/>
  <c r="M76" i="33"/>
  <c r="M77" i="49" s="1"/>
  <c r="E82" i="9"/>
  <c r="E88" i="9"/>
  <c r="M82" i="33"/>
  <c r="E165" i="9"/>
  <c r="M159" i="33"/>
  <c r="M160" i="49" s="1"/>
  <c r="E310" i="9"/>
  <c r="M304" i="33"/>
  <c r="M224" i="33"/>
  <c r="E230" i="9"/>
  <c r="E243" i="9"/>
  <c r="M237" i="33"/>
  <c r="E46" i="9"/>
  <c r="M40" i="33"/>
  <c r="E195" i="9"/>
  <c r="M189" i="33"/>
  <c r="E151" i="9"/>
  <c r="M145" i="33"/>
  <c r="M146" i="49" s="1"/>
  <c r="E47" i="9"/>
  <c r="M41" i="33"/>
  <c r="M42" i="49" s="1"/>
  <c r="E13" i="9"/>
  <c r="M7" i="33"/>
  <c r="M8" i="49" s="1"/>
  <c r="M82" i="49"/>
  <c r="M185" i="49"/>
  <c r="M271" i="49"/>
  <c r="M163" i="49"/>
  <c r="M140" i="49"/>
  <c r="M117" i="49"/>
  <c r="M54" i="49"/>
  <c r="M307" i="49"/>
  <c r="L131" i="33"/>
  <c r="D18" i="48"/>
  <c r="M89" i="49"/>
  <c r="M312" i="49"/>
  <c r="M181" i="49"/>
  <c r="L5" i="33"/>
  <c r="M5" i="33" s="1"/>
  <c r="C5" i="11" s="1"/>
  <c r="H5" i="11" s="1"/>
  <c r="I5" i="11" s="1"/>
  <c r="C200" i="34" l="1"/>
  <c r="E190" i="25"/>
  <c r="C189" i="11"/>
  <c r="H189" i="11" s="1"/>
  <c r="I189" i="11" s="1"/>
  <c r="N189" i="33"/>
  <c r="D189" i="37" s="1"/>
  <c r="E221" i="25"/>
  <c r="C220" i="11"/>
  <c r="H220" i="11" s="1"/>
  <c r="I220" i="11" s="1"/>
  <c r="N220" i="33"/>
  <c r="D220" i="37" s="1"/>
  <c r="C231" i="34"/>
  <c r="E24" i="25"/>
  <c r="C23" i="11"/>
  <c r="H23" i="11" s="1"/>
  <c r="I23" i="11" s="1"/>
  <c r="N23" i="33"/>
  <c r="D23" i="37" s="1"/>
  <c r="C34" i="34"/>
  <c r="E40" i="25"/>
  <c r="C39" i="11"/>
  <c r="H39" i="11" s="1"/>
  <c r="I39" i="11" s="1"/>
  <c r="C50" i="34"/>
  <c r="N39" i="33"/>
  <c r="D39" i="37" s="1"/>
  <c r="N129" i="33"/>
  <c r="D129" i="37" s="1"/>
  <c r="E130" i="25"/>
  <c r="C129" i="11"/>
  <c r="H129" i="11" s="1"/>
  <c r="I129" i="11" s="1"/>
  <c r="C140" i="34"/>
  <c r="C29" i="11"/>
  <c r="H29" i="11" s="1"/>
  <c r="I29" i="11" s="1"/>
  <c r="C40" i="34"/>
  <c r="E30" i="25"/>
  <c r="N29" i="33"/>
  <c r="D29" i="37" s="1"/>
  <c r="E198" i="25"/>
  <c r="C208" i="34"/>
  <c r="C197" i="11"/>
  <c r="H197" i="11" s="1"/>
  <c r="I197" i="11" s="1"/>
  <c r="N197" i="33"/>
  <c r="D197" i="37" s="1"/>
  <c r="E134" i="25"/>
  <c r="C144" i="34"/>
  <c r="N133" i="33"/>
  <c r="D133" i="37" s="1"/>
  <c r="C133" i="11"/>
  <c r="H133" i="11" s="1"/>
  <c r="I133" i="11" s="1"/>
  <c r="N226" i="33"/>
  <c r="D226" i="37" s="1"/>
  <c r="E227" i="25"/>
  <c r="C237" i="34"/>
  <c r="C226" i="11"/>
  <c r="H226" i="11" s="1"/>
  <c r="I226" i="11" s="1"/>
  <c r="C8" i="11"/>
  <c r="H8" i="11" s="1"/>
  <c r="I8" i="11" s="1"/>
  <c r="C19" i="34"/>
  <c r="E9" i="25"/>
  <c r="N8" i="33"/>
  <c r="D8" i="37" s="1"/>
  <c r="N243" i="33"/>
  <c r="D243" i="37" s="1"/>
  <c r="E244" i="25"/>
  <c r="C243" i="11"/>
  <c r="H243" i="11" s="1"/>
  <c r="I243" i="11" s="1"/>
  <c r="C254" i="34"/>
  <c r="N275" i="33"/>
  <c r="D275" i="37" s="1"/>
  <c r="C275" i="11"/>
  <c r="H275" i="11" s="1"/>
  <c r="I275" i="11" s="1"/>
  <c r="E276" i="25"/>
  <c r="C286" i="34"/>
  <c r="N299" i="33"/>
  <c r="D299" i="37" s="1"/>
  <c r="C299" i="11"/>
  <c r="H299" i="11" s="1"/>
  <c r="I299" i="11" s="1"/>
  <c r="E300" i="25"/>
  <c r="C310" i="34"/>
  <c r="N233" i="33"/>
  <c r="D233" i="37" s="1"/>
  <c r="E234" i="25"/>
  <c r="C233" i="11"/>
  <c r="H233" i="11" s="1"/>
  <c r="I233" i="11" s="1"/>
  <c r="C244" i="34"/>
  <c r="N127" i="33"/>
  <c r="D127" i="37" s="1"/>
  <c r="E128" i="25"/>
  <c r="C138" i="34"/>
  <c r="C127" i="11"/>
  <c r="H127" i="11" s="1"/>
  <c r="I127" i="11" s="1"/>
  <c r="E311" i="25"/>
  <c r="C310" i="11"/>
  <c r="H310" i="11" s="1"/>
  <c r="I310" i="11" s="1"/>
  <c r="N310" i="33"/>
  <c r="D310" i="37" s="1"/>
  <c r="C321" i="34"/>
  <c r="N265" i="33"/>
  <c r="D265" i="37" s="1"/>
  <c r="E266" i="25"/>
  <c r="C265" i="11"/>
  <c r="H265" i="11" s="1"/>
  <c r="I265" i="11" s="1"/>
  <c r="C276" i="34"/>
  <c r="C45" i="11"/>
  <c r="H45" i="11" s="1"/>
  <c r="I45" i="11" s="1"/>
  <c r="C56" i="34"/>
  <c r="E46" i="25"/>
  <c r="N45" i="33"/>
  <c r="D45" i="37" s="1"/>
  <c r="N219" i="33"/>
  <c r="D219" i="37" s="1"/>
  <c r="E220" i="25"/>
  <c r="C219" i="11"/>
  <c r="H219" i="11" s="1"/>
  <c r="I219" i="11" s="1"/>
  <c r="C230" i="34"/>
  <c r="E72" i="25"/>
  <c r="C71" i="11"/>
  <c r="H71" i="11" s="1"/>
  <c r="I71" i="11" s="1"/>
  <c r="C82" i="34"/>
  <c r="N71" i="33"/>
  <c r="D71" i="37" s="1"/>
  <c r="E58" i="25"/>
  <c r="C57" i="11"/>
  <c r="H57" i="11" s="1"/>
  <c r="I57" i="11" s="1"/>
  <c r="C68" i="34"/>
  <c r="N57" i="33"/>
  <c r="D57" i="37" s="1"/>
  <c r="N18" i="33"/>
  <c r="D18" i="37" s="1"/>
  <c r="E19" i="25"/>
  <c r="C29" i="34"/>
  <c r="C18" i="11"/>
  <c r="H18" i="11" s="1"/>
  <c r="I18" i="11" s="1"/>
  <c r="E120" i="25"/>
  <c r="C119" i="11"/>
  <c r="H119" i="11" s="1"/>
  <c r="I119" i="11" s="1"/>
  <c r="C130" i="34"/>
  <c r="N119" i="33"/>
  <c r="D119" i="37" s="1"/>
  <c r="C280" i="34"/>
  <c r="E270" i="25"/>
  <c r="C269" i="11"/>
  <c r="H269" i="11" s="1"/>
  <c r="I269" i="11" s="1"/>
  <c r="N269" i="33"/>
  <c r="D269" i="37" s="1"/>
  <c r="E39" i="25"/>
  <c r="C38" i="11"/>
  <c r="H38" i="11" s="1"/>
  <c r="I38" i="11" s="1"/>
  <c r="C49" i="34"/>
  <c r="N38" i="33"/>
  <c r="D38" i="37" s="1"/>
  <c r="E189" i="25"/>
  <c r="C188" i="11"/>
  <c r="H188" i="11" s="1"/>
  <c r="I188" i="11" s="1"/>
  <c r="C199" i="34"/>
  <c r="N188" i="33"/>
  <c r="D188" i="37" s="1"/>
  <c r="E301" i="25"/>
  <c r="C300" i="11"/>
  <c r="H300" i="11" s="1"/>
  <c r="I300" i="11" s="1"/>
  <c r="C311" i="34"/>
  <c r="N300" i="33"/>
  <c r="D300" i="37" s="1"/>
  <c r="N255" i="33"/>
  <c r="D255" i="37" s="1"/>
  <c r="E256" i="25"/>
  <c r="C255" i="11"/>
  <c r="H255" i="11" s="1"/>
  <c r="I255" i="11" s="1"/>
  <c r="C266" i="34"/>
  <c r="N147" i="33"/>
  <c r="D147" i="37" s="1"/>
  <c r="E148" i="25"/>
  <c r="C147" i="11"/>
  <c r="H147" i="11" s="1"/>
  <c r="I147" i="11" s="1"/>
  <c r="C158" i="34"/>
  <c r="N251" i="33"/>
  <c r="D251" i="37" s="1"/>
  <c r="E252" i="25"/>
  <c r="C251" i="11"/>
  <c r="H251" i="11" s="1"/>
  <c r="I251" i="11" s="1"/>
  <c r="C262" i="34"/>
  <c r="E240" i="25"/>
  <c r="C239" i="11"/>
  <c r="H239" i="11" s="1"/>
  <c r="I239" i="11" s="1"/>
  <c r="C250" i="34"/>
  <c r="N239" i="33"/>
  <c r="D239" i="37" s="1"/>
  <c r="N137" i="33"/>
  <c r="D137" i="37" s="1"/>
  <c r="E138" i="25"/>
  <c r="C137" i="11"/>
  <c r="H137" i="11" s="1"/>
  <c r="I137" i="11" s="1"/>
  <c r="C148" i="34"/>
  <c r="M72" i="49"/>
  <c r="M270" i="49"/>
  <c r="M311" i="49"/>
  <c r="N123" i="33"/>
  <c r="D123" i="37" s="1"/>
  <c r="E124" i="25"/>
  <c r="C123" i="11"/>
  <c r="H123" i="11" s="1"/>
  <c r="I123" i="11" s="1"/>
  <c r="C134" i="34"/>
  <c r="E48" i="25"/>
  <c r="C47" i="11"/>
  <c r="H47" i="11" s="1"/>
  <c r="I47" i="11" s="1"/>
  <c r="C58" i="34"/>
  <c r="N47" i="33"/>
  <c r="D47" i="37" s="1"/>
  <c r="E103" i="25"/>
  <c r="C102" i="11"/>
  <c r="H102" i="11" s="1"/>
  <c r="I102" i="11" s="1"/>
  <c r="C113" i="34"/>
  <c r="N102" i="33"/>
  <c r="D102" i="37" s="1"/>
  <c r="C254" i="11"/>
  <c r="H254" i="11" s="1"/>
  <c r="I254" i="11" s="1"/>
  <c r="C265" i="34"/>
  <c r="N254" i="33"/>
  <c r="D254" i="37" s="1"/>
  <c r="E255" i="25"/>
  <c r="C56" i="11"/>
  <c r="H56" i="11" s="1"/>
  <c r="I56" i="11" s="1"/>
  <c r="C67" i="34"/>
  <c r="E57" i="25"/>
  <c r="N56" i="33"/>
  <c r="D56" i="37" s="1"/>
  <c r="N186" i="33"/>
  <c r="D186" i="37" s="1"/>
  <c r="E187" i="25"/>
  <c r="C197" i="34"/>
  <c r="C186" i="11"/>
  <c r="H186" i="11" s="1"/>
  <c r="I186" i="11" s="1"/>
  <c r="N298" i="33"/>
  <c r="D298" i="37" s="1"/>
  <c r="E299" i="25"/>
  <c r="C309" i="34"/>
  <c r="C298" i="11"/>
  <c r="H298" i="11" s="1"/>
  <c r="I298" i="11" s="1"/>
  <c r="N65" i="33"/>
  <c r="D65" i="37" s="1"/>
  <c r="E66" i="25"/>
  <c r="C65" i="11"/>
  <c r="H65" i="11" s="1"/>
  <c r="I65" i="11" s="1"/>
  <c r="C76" i="34"/>
  <c r="N130" i="33"/>
  <c r="D130" i="37" s="1"/>
  <c r="E131" i="25"/>
  <c r="C141" i="34"/>
  <c r="C130" i="11"/>
  <c r="H130" i="11" s="1"/>
  <c r="I130" i="11" s="1"/>
  <c r="N64" i="33"/>
  <c r="D64" i="37" s="1"/>
  <c r="C75" i="34"/>
  <c r="E65" i="25"/>
  <c r="C64" i="11"/>
  <c r="H64" i="11" s="1"/>
  <c r="I64" i="11" s="1"/>
  <c r="E87" i="25"/>
  <c r="C86" i="11"/>
  <c r="H86" i="11" s="1"/>
  <c r="I86" i="11" s="1"/>
  <c r="C97" i="34"/>
  <c r="N86" i="33"/>
  <c r="D86" i="37" s="1"/>
  <c r="E109" i="25"/>
  <c r="C108" i="11"/>
  <c r="H108" i="11" s="1"/>
  <c r="I108" i="11" s="1"/>
  <c r="C119" i="34"/>
  <c r="N108" i="33"/>
  <c r="D108" i="37" s="1"/>
  <c r="C312" i="34"/>
  <c r="E302" i="25"/>
  <c r="C301" i="11"/>
  <c r="H301" i="11" s="1"/>
  <c r="I301" i="11" s="1"/>
  <c r="N301" i="33"/>
  <c r="D301" i="37" s="1"/>
  <c r="E309" i="25"/>
  <c r="C319" i="34"/>
  <c r="C308" i="11"/>
  <c r="H308" i="11" s="1"/>
  <c r="I308" i="11" s="1"/>
  <c r="N308" i="33"/>
  <c r="D308" i="37" s="1"/>
  <c r="C155" i="34"/>
  <c r="E145" i="25"/>
  <c r="C144" i="11"/>
  <c r="H144" i="11" s="1"/>
  <c r="I144" i="11" s="1"/>
  <c r="N144" i="33"/>
  <c r="D144" i="37" s="1"/>
  <c r="N200" i="33"/>
  <c r="D200" i="37" s="1"/>
  <c r="C211" i="34"/>
  <c r="E201" i="25"/>
  <c r="C200" i="11"/>
  <c r="H200" i="11" s="1"/>
  <c r="I200" i="11" s="1"/>
  <c r="N154" i="33"/>
  <c r="D154" i="37" s="1"/>
  <c r="E155" i="25"/>
  <c r="C165" i="34"/>
  <c r="C154" i="11"/>
  <c r="H154" i="11" s="1"/>
  <c r="I154" i="11" s="1"/>
  <c r="E135" i="25"/>
  <c r="C134" i="11"/>
  <c r="H134" i="11" s="1"/>
  <c r="I134" i="11" s="1"/>
  <c r="C145" i="34"/>
  <c r="N134" i="33"/>
  <c r="D134" i="37" s="1"/>
  <c r="N279" i="33"/>
  <c r="D279" i="37" s="1"/>
  <c r="E280" i="25"/>
  <c r="C279" i="11"/>
  <c r="H279" i="11" s="1"/>
  <c r="I279" i="11" s="1"/>
  <c r="C290" i="34"/>
  <c r="E101" i="25"/>
  <c r="C100" i="11"/>
  <c r="H100" i="11" s="1"/>
  <c r="I100" i="11" s="1"/>
  <c r="C111" i="34"/>
  <c r="N100" i="33"/>
  <c r="D100" i="37" s="1"/>
  <c r="N202" i="33"/>
  <c r="D202" i="37" s="1"/>
  <c r="E203" i="25"/>
  <c r="C213" i="34"/>
  <c r="C202" i="11"/>
  <c r="H202" i="11" s="1"/>
  <c r="I202" i="11" s="1"/>
  <c r="N240" i="33"/>
  <c r="D240" i="37" s="1"/>
  <c r="C251" i="34"/>
  <c r="E241" i="25"/>
  <c r="C240" i="11"/>
  <c r="H240" i="11" s="1"/>
  <c r="I240" i="11" s="1"/>
  <c r="N152" i="33"/>
  <c r="D152" i="37" s="1"/>
  <c r="C163" i="34"/>
  <c r="E153" i="25"/>
  <c r="C152" i="11"/>
  <c r="H152" i="11" s="1"/>
  <c r="I152" i="11" s="1"/>
  <c r="E176" i="25"/>
  <c r="C186" i="34"/>
  <c r="C175" i="11"/>
  <c r="H175" i="11" s="1"/>
  <c r="I175" i="11" s="1"/>
  <c r="N175" i="33"/>
  <c r="D175" i="37" s="1"/>
  <c r="N210" i="33"/>
  <c r="D210" i="37" s="1"/>
  <c r="E211" i="25"/>
  <c r="C221" i="34"/>
  <c r="C210" i="11"/>
  <c r="H210" i="11" s="1"/>
  <c r="I210" i="11" s="1"/>
  <c r="E71" i="25"/>
  <c r="C70" i="11"/>
  <c r="H70" i="11" s="1"/>
  <c r="I70" i="11" s="1"/>
  <c r="C81" i="34"/>
  <c r="N70" i="33"/>
  <c r="D70" i="37" s="1"/>
  <c r="N51" i="33"/>
  <c r="D51" i="37" s="1"/>
  <c r="E52" i="25"/>
  <c r="C51" i="11"/>
  <c r="H51" i="11" s="1"/>
  <c r="I51" i="11" s="1"/>
  <c r="C62" i="34"/>
  <c r="N242" i="33"/>
  <c r="D242" i="37" s="1"/>
  <c r="E243" i="25"/>
  <c r="C253" i="34"/>
  <c r="C242" i="11"/>
  <c r="N290" i="33"/>
  <c r="D290" i="37" s="1"/>
  <c r="E291" i="25"/>
  <c r="C301" i="34"/>
  <c r="C290" i="11"/>
  <c r="H290" i="11" s="1"/>
  <c r="I290" i="11" s="1"/>
  <c r="M71" i="49"/>
  <c r="M252" i="49"/>
  <c r="M120" i="49"/>
  <c r="M131" i="49"/>
  <c r="M255" i="49"/>
  <c r="M299" i="49"/>
  <c r="M276" i="49"/>
  <c r="E8" i="25"/>
  <c r="C18" i="34"/>
  <c r="C7" i="11"/>
  <c r="H7" i="11" s="1"/>
  <c r="I7" i="11" s="1"/>
  <c r="N7" i="33"/>
  <c r="D7" i="37" s="1"/>
  <c r="C40" i="11"/>
  <c r="H40" i="11" s="1"/>
  <c r="I40" i="11" s="1"/>
  <c r="C51" i="34"/>
  <c r="E41" i="25"/>
  <c r="N40" i="33"/>
  <c r="D40" i="37" s="1"/>
  <c r="E160" i="25"/>
  <c r="C170" i="34"/>
  <c r="C159" i="11"/>
  <c r="H159" i="11" s="1"/>
  <c r="I159" i="11" s="1"/>
  <c r="N159" i="33"/>
  <c r="D159" i="37" s="1"/>
  <c r="N267" i="33"/>
  <c r="D267" i="37" s="1"/>
  <c r="E268" i="25"/>
  <c r="C267" i="11"/>
  <c r="H267" i="11" s="1"/>
  <c r="I267" i="11" s="1"/>
  <c r="C278" i="34"/>
  <c r="C168" i="34"/>
  <c r="E158" i="25"/>
  <c r="C157" i="11"/>
  <c r="H157" i="11" s="1"/>
  <c r="I157" i="11" s="1"/>
  <c r="N157" i="33"/>
  <c r="D157" i="37" s="1"/>
  <c r="N235" i="33"/>
  <c r="D235" i="37" s="1"/>
  <c r="E236" i="25"/>
  <c r="C235" i="11"/>
  <c r="H235" i="11" s="1"/>
  <c r="I235" i="11" s="1"/>
  <c r="C246" i="34"/>
  <c r="C13" i="11"/>
  <c r="H13" i="11" s="1"/>
  <c r="I13" i="11" s="1"/>
  <c r="C24" i="34"/>
  <c r="E14" i="25"/>
  <c r="N13" i="33"/>
  <c r="D13" i="37" s="1"/>
  <c r="N75" i="33"/>
  <c r="D75" i="37" s="1"/>
  <c r="E76" i="25"/>
  <c r="C86" i="34"/>
  <c r="C75" i="11"/>
  <c r="H75" i="11" s="1"/>
  <c r="I75" i="11" s="1"/>
  <c r="N73" i="33"/>
  <c r="D73" i="37" s="1"/>
  <c r="E74" i="25"/>
  <c r="C73" i="11"/>
  <c r="H73" i="11" s="1"/>
  <c r="I73" i="11" s="1"/>
  <c r="C84" i="34"/>
  <c r="C24" i="11"/>
  <c r="H24" i="11" s="1"/>
  <c r="I24" i="11" s="1"/>
  <c r="C35" i="34"/>
  <c r="E25" i="25"/>
  <c r="N24" i="33"/>
  <c r="D24" i="37" s="1"/>
  <c r="N273" i="33"/>
  <c r="D273" i="37" s="1"/>
  <c r="C273" i="11"/>
  <c r="H273" i="11" s="1"/>
  <c r="I273" i="11" s="1"/>
  <c r="E274" i="25"/>
  <c r="C284" i="34"/>
  <c r="N313" i="33"/>
  <c r="D313" i="37" s="1"/>
  <c r="C313" i="11"/>
  <c r="H313" i="11" s="1"/>
  <c r="I313" i="11" s="1"/>
  <c r="E314" i="25"/>
  <c r="C324" i="34"/>
  <c r="E80" i="25"/>
  <c r="C90" i="34"/>
  <c r="C79" i="11"/>
  <c r="H79" i="11" s="1"/>
  <c r="I79" i="11" s="1"/>
  <c r="N79" i="33"/>
  <c r="D79" i="37" s="1"/>
  <c r="N281" i="33"/>
  <c r="D281" i="37" s="1"/>
  <c r="C281" i="11"/>
  <c r="H281" i="11" s="1"/>
  <c r="I281" i="11" s="1"/>
  <c r="E282" i="25"/>
  <c r="C292" i="34"/>
  <c r="N43" i="33"/>
  <c r="D43" i="37" s="1"/>
  <c r="E44" i="25"/>
  <c r="C43" i="11"/>
  <c r="H43" i="11" s="1"/>
  <c r="I43" i="11" s="1"/>
  <c r="C54" i="34"/>
  <c r="E7" i="25"/>
  <c r="C6" i="11"/>
  <c r="H6" i="11" s="1"/>
  <c r="I6" i="11" s="1"/>
  <c r="C17" i="34"/>
  <c r="N6" i="33"/>
  <c r="D6" i="37" s="1"/>
  <c r="N305" i="33"/>
  <c r="D305" i="37" s="1"/>
  <c r="C305" i="11"/>
  <c r="H305" i="11" s="1"/>
  <c r="I305" i="11" s="1"/>
  <c r="E306" i="25"/>
  <c r="C316" i="34"/>
  <c r="N307" i="33"/>
  <c r="D307" i="37" s="1"/>
  <c r="C307" i="11"/>
  <c r="H307" i="11" s="1"/>
  <c r="I307" i="11" s="1"/>
  <c r="E308" i="25"/>
  <c r="C318" i="34"/>
  <c r="E165" i="25"/>
  <c r="C164" i="11"/>
  <c r="H164" i="11" s="1"/>
  <c r="I164" i="11" s="1"/>
  <c r="C175" i="34"/>
  <c r="N164" i="33"/>
  <c r="D164" i="37" s="1"/>
  <c r="C43" i="34"/>
  <c r="E33" i="25"/>
  <c r="N32" i="33"/>
  <c r="D32" i="37" s="1"/>
  <c r="C32" i="11"/>
  <c r="H32" i="11" s="1"/>
  <c r="I32" i="11" s="1"/>
  <c r="E197" i="25"/>
  <c r="C196" i="11"/>
  <c r="H196" i="11" s="1"/>
  <c r="I196" i="11" s="1"/>
  <c r="N196" i="33"/>
  <c r="D196" i="37" s="1"/>
  <c r="C207" i="34"/>
  <c r="E199" i="25"/>
  <c r="C198" i="11"/>
  <c r="H198" i="11" s="1"/>
  <c r="I198" i="11" s="1"/>
  <c r="C209" i="34"/>
  <c r="N198" i="33"/>
  <c r="D198" i="37" s="1"/>
  <c r="N59" i="33"/>
  <c r="D59" i="37" s="1"/>
  <c r="E60" i="25"/>
  <c r="C59" i="11"/>
  <c r="H59" i="11" s="1"/>
  <c r="I59" i="11" s="1"/>
  <c r="C70" i="34"/>
  <c r="C136" i="34"/>
  <c r="E126" i="25"/>
  <c r="C125" i="11"/>
  <c r="H125" i="11" s="1"/>
  <c r="I125" i="11" s="1"/>
  <c r="N125" i="33"/>
  <c r="D125" i="37" s="1"/>
  <c r="E205" i="25"/>
  <c r="C204" i="11"/>
  <c r="H204" i="11" s="1"/>
  <c r="I204" i="11" s="1"/>
  <c r="C215" i="34"/>
  <c r="N204" i="33"/>
  <c r="D204" i="37" s="1"/>
  <c r="N35" i="33"/>
  <c r="D35" i="37" s="1"/>
  <c r="E36" i="25"/>
  <c r="C35" i="11"/>
  <c r="H35" i="11" s="1"/>
  <c r="I35" i="11" s="1"/>
  <c r="C46" i="34"/>
  <c r="E143" i="25"/>
  <c r="C142" i="11"/>
  <c r="H142" i="11" s="1"/>
  <c r="I142" i="11" s="1"/>
  <c r="C153" i="34"/>
  <c r="N142" i="33"/>
  <c r="D142" i="37" s="1"/>
  <c r="N171" i="33"/>
  <c r="D171" i="37" s="1"/>
  <c r="E172" i="25"/>
  <c r="C171" i="11"/>
  <c r="H171" i="11" s="1"/>
  <c r="I171" i="11" s="1"/>
  <c r="C182" i="34"/>
  <c r="E208" i="25"/>
  <c r="C207" i="11"/>
  <c r="H207" i="11" s="1"/>
  <c r="I207" i="11" s="1"/>
  <c r="C218" i="34"/>
  <c r="N207" i="33"/>
  <c r="D207" i="37" s="1"/>
  <c r="N211" i="33"/>
  <c r="D211" i="37" s="1"/>
  <c r="E212" i="25"/>
  <c r="C211" i="11"/>
  <c r="H211" i="11" s="1"/>
  <c r="I211" i="11" s="1"/>
  <c r="C222" i="34"/>
  <c r="E136" i="25"/>
  <c r="C135" i="11"/>
  <c r="H135" i="11" s="1"/>
  <c r="I135" i="11" s="1"/>
  <c r="C146" i="34"/>
  <c r="N135" i="33"/>
  <c r="D135" i="37" s="1"/>
  <c r="N66" i="33"/>
  <c r="D66" i="37" s="1"/>
  <c r="E67" i="25"/>
  <c r="C77" i="34"/>
  <c r="C66" i="11"/>
  <c r="H66" i="11" s="1"/>
  <c r="I66" i="11" s="1"/>
  <c r="E175" i="25"/>
  <c r="C174" i="11"/>
  <c r="H174" i="11" s="1"/>
  <c r="I174" i="11" s="1"/>
  <c r="C185" i="34"/>
  <c r="N174" i="33"/>
  <c r="D174" i="37" s="1"/>
  <c r="N151" i="33"/>
  <c r="D151" i="37" s="1"/>
  <c r="E152" i="25"/>
  <c r="C151" i="11"/>
  <c r="H151" i="11" s="1"/>
  <c r="I151" i="11" s="1"/>
  <c r="C162" i="34"/>
  <c r="E112" i="25"/>
  <c r="C122" i="34"/>
  <c r="C111" i="11"/>
  <c r="H111" i="11" s="1"/>
  <c r="I111" i="11" s="1"/>
  <c r="N111" i="33"/>
  <c r="D111" i="37" s="1"/>
  <c r="N89" i="33"/>
  <c r="D89" i="37" s="1"/>
  <c r="E90" i="25"/>
  <c r="C89" i="11"/>
  <c r="H89" i="11" s="1"/>
  <c r="I89" i="11" s="1"/>
  <c r="C100" i="34"/>
  <c r="C120" i="34"/>
  <c r="E110" i="25"/>
  <c r="C109" i="11"/>
  <c r="H109" i="11" s="1"/>
  <c r="I109" i="11" s="1"/>
  <c r="N109" i="33"/>
  <c r="D109" i="37" s="1"/>
  <c r="C77" i="11"/>
  <c r="H77" i="11" s="1"/>
  <c r="I77" i="11" s="1"/>
  <c r="C88" i="34"/>
  <c r="E78" i="25"/>
  <c r="N77" i="33"/>
  <c r="D77" i="37" s="1"/>
  <c r="N91" i="33"/>
  <c r="D91" i="37" s="1"/>
  <c r="E92" i="25"/>
  <c r="C91" i="11"/>
  <c r="H91" i="11" s="1"/>
  <c r="I91" i="11" s="1"/>
  <c r="C102" i="34"/>
  <c r="N283" i="33"/>
  <c r="D283" i="37" s="1"/>
  <c r="C283" i="11"/>
  <c r="H283" i="11" s="1"/>
  <c r="I283" i="11" s="1"/>
  <c r="C294" i="34"/>
  <c r="E284" i="25"/>
  <c r="N231" i="33"/>
  <c r="D231" i="37" s="1"/>
  <c r="E232" i="25"/>
  <c r="C231" i="11"/>
  <c r="H231" i="11" s="1"/>
  <c r="I231" i="11" s="1"/>
  <c r="C242" i="34"/>
  <c r="N291" i="33"/>
  <c r="D291" i="37" s="1"/>
  <c r="C291" i="11"/>
  <c r="H291" i="11" s="1"/>
  <c r="I291" i="11" s="1"/>
  <c r="E292" i="25"/>
  <c r="C302" i="34"/>
  <c r="E269" i="25"/>
  <c r="C268" i="11"/>
  <c r="H268" i="11" s="1"/>
  <c r="I268" i="11" s="1"/>
  <c r="C279" i="34"/>
  <c r="N268" i="33"/>
  <c r="D268" i="37" s="1"/>
  <c r="N163" i="33"/>
  <c r="D163" i="37" s="1"/>
  <c r="E164" i="25"/>
  <c r="C163" i="11"/>
  <c r="H163" i="11" s="1"/>
  <c r="I163" i="11" s="1"/>
  <c r="C174" i="34"/>
  <c r="E137" i="9"/>
  <c r="M131" i="33"/>
  <c r="N304" i="33"/>
  <c r="D304" i="37" s="1"/>
  <c r="E305" i="25"/>
  <c r="C315" i="34"/>
  <c r="C304" i="11"/>
  <c r="H304" i="11" s="1"/>
  <c r="I304" i="11" s="1"/>
  <c r="N169" i="33"/>
  <c r="D169" i="37" s="1"/>
  <c r="E170" i="25"/>
  <c r="C169" i="11"/>
  <c r="H169" i="11" s="1"/>
  <c r="I169" i="11" s="1"/>
  <c r="C180" i="34"/>
  <c r="C304" i="34"/>
  <c r="E294" i="25"/>
  <c r="C293" i="11"/>
  <c r="H293" i="11" s="1"/>
  <c r="I293" i="11" s="1"/>
  <c r="N293" i="33"/>
  <c r="D293" i="37" s="1"/>
  <c r="E34" i="25"/>
  <c r="C33" i="11"/>
  <c r="H33" i="11" s="1"/>
  <c r="I33" i="11" s="1"/>
  <c r="C44" i="34"/>
  <c r="N33" i="33"/>
  <c r="D33" i="37" s="1"/>
  <c r="E214" i="25"/>
  <c r="C224" i="34"/>
  <c r="C213" i="11"/>
  <c r="H213" i="11" s="1"/>
  <c r="I213" i="11" s="1"/>
  <c r="N213" i="33"/>
  <c r="D213" i="37" s="1"/>
  <c r="E183" i="25"/>
  <c r="C182" i="11"/>
  <c r="H182" i="11" s="1"/>
  <c r="I182" i="11" s="1"/>
  <c r="C193" i="34"/>
  <c r="N182" i="33"/>
  <c r="D182" i="37" s="1"/>
  <c r="E245" i="25"/>
  <c r="C255" i="34"/>
  <c r="N244" i="33"/>
  <c r="D244" i="37" s="1"/>
  <c r="C244" i="11"/>
  <c r="H244" i="11" s="1"/>
  <c r="I244" i="11" s="1"/>
  <c r="E55" i="25"/>
  <c r="C54" i="11"/>
  <c r="H54" i="11" s="1"/>
  <c r="I54" i="11" s="1"/>
  <c r="C65" i="34"/>
  <c r="N54" i="33"/>
  <c r="D54" i="37" s="1"/>
  <c r="E149" i="25"/>
  <c r="C148" i="11"/>
  <c r="H148" i="11" s="1"/>
  <c r="I148" i="11" s="1"/>
  <c r="C159" i="34"/>
  <c r="N148" i="33"/>
  <c r="D148" i="37" s="1"/>
  <c r="N274" i="33"/>
  <c r="D274" i="37" s="1"/>
  <c r="E275" i="25"/>
  <c r="C285" i="34"/>
  <c r="C274" i="11"/>
  <c r="H274" i="11" s="1"/>
  <c r="I274" i="11" s="1"/>
  <c r="C171" i="34"/>
  <c r="E161" i="25"/>
  <c r="N160" i="33"/>
  <c r="D160" i="37" s="1"/>
  <c r="C160" i="11"/>
  <c r="H160" i="11" s="1"/>
  <c r="I160" i="11" s="1"/>
  <c r="N112" i="33"/>
  <c r="D112" i="37" s="1"/>
  <c r="C123" i="34"/>
  <c r="E113" i="25"/>
  <c r="C112" i="11"/>
  <c r="H112" i="11" s="1"/>
  <c r="I112" i="11" s="1"/>
  <c r="N136" i="33"/>
  <c r="D136" i="37" s="1"/>
  <c r="C147" i="34"/>
  <c r="E137" i="25"/>
  <c r="C136" i="11"/>
  <c r="H136" i="11" s="1"/>
  <c r="I136" i="11" s="1"/>
  <c r="E261" i="25"/>
  <c r="C260" i="11"/>
  <c r="H260" i="11" s="1"/>
  <c r="I260" i="11" s="1"/>
  <c r="C271" i="34"/>
  <c r="N260" i="33"/>
  <c r="D260" i="37" s="1"/>
  <c r="E157" i="25"/>
  <c r="C156" i="11"/>
  <c r="H156" i="11" s="1"/>
  <c r="I156" i="11" s="1"/>
  <c r="C167" i="34"/>
  <c r="N156" i="33"/>
  <c r="D156" i="37" s="1"/>
  <c r="N96" i="33"/>
  <c r="D96" i="37" s="1"/>
  <c r="C107" i="34"/>
  <c r="E97" i="25"/>
  <c r="C96" i="11"/>
  <c r="H96" i="11" s="1"/>
  <c r="I96" i="11" s="1"/>
  <c r="E182" i="25"/>
  <c r="C192" i="34"/>
  <c r="N181" i="33"/>
  <c r="D181" i="37" s="1"/>
  <c r="C181" i="11"/>
  <c r="H181" i="11" s="1"/>
  <c r="I181" i="11" s="1"/>
  <c r="E285" i="25"/>
  <c r="C284" i="11"/>
  <c r="H284" i="11" s="1"/>
  <c r="I284" i="11" s="1"/>
  <c r="C295" i="34"/>
  <c r="N284" i="33"/>
  <c r="D284" i="37" s="1"/>
  <c r="N185" i="33"/>
  <c r="D185" i="37" s="1"/>
  <c r="E186" i="25"/>
  <c r="C185" i="11"/>
  <c r="H185" i="11" s="1"/>
  <c r="I185" i="11" s="1"/>
  <c r="C196" i="34"/>
  <c r="E273" i="25"/>
  <c r="C283" i="34"/>
  <c r="C272" i="11"/>
  <c r="H272" i="11" s="1"/>
  <c r="I272" i="11" s="1"/>
  <c r="N272" i="33"/>
  <c r="D272" i="37" s="1"/>
  <c r="M55" i="49"/>
  <c r="C248" i="34"/>
  <c r="E238" i="25"/>
  <c r="C237" i="11"/>
  <c r="H237" i="11" s="1"/>
  <c r="I237" i="11" s="1"/>
  <c r="N237" i="33"/>
  <c r="D237" i="37" s="1"/>
  <c r="N195" i="33"/>
  <c r="D195" i="37" s="1"/>
  <c r="E196" i="25"/>
  <c r="C195" i="11"/>
  <c r="H195" i="11" s="1"/>
  <c r="I195" i="11" s="1"/>
  <c r="C206" i="34"/>
  <c r="N257" i="33"/>
  <c r="D257" i="37" s="1"/>
  <c r="E258" i="25"/>
  <c r="C257" i="11"/>
  <c r="H257" i="11" s="1"/>
  <c r="I257" i="11" s="1"/>
  <c r="C268" i="34"/>
  <c r="C59" i="34"/>
  <c r="C48" i="11"/>
  <c r="H48" i="11" s="1"/>
  <c r="I48" i="11" s="1"/>
  <c r="E49" i="25"/>
  <c r="N48" i="33"/>
  <c r="D48" i="37" s="1"/>
  <c r="E254" i="25"/>
  <c r="C264" i="34"/>
  <c r="C253" i="11"/>
  <c r="H253" i="11" s="1"/>
  <c r="I253" i="11" s="1"/>
  <c r="N253" i="33"/>
  <c r="D253" i="37" s="1"/>
  <c r="N67" i="33"/>
  <c r="D67" i="37" s="1"/>
  <c r="E68" i="25"/>
  <c r="C67" i="11"/>
  <c r="H67" i="11" s="1"/>
  <c r="I67" i="11" s="1"/>
  <c r="C78" i="34"/>
  <c r="N187" i="33"/>
  <c r="D187" i="37" s="1"/>
  <c r="E188" i="25"/>
  <c r="C187" i="11"/>
  <c r="H187" i="11" s="1"/>
  <c r="I187" i="11" s="1"/>
  <c r="C198" i="34"/>
  <c r="E295" i="25"/>
  <c r="C294" i="11"/>
  <c r="H294" i="11" s="1"/>
  <c r="I294" i="11" s="1"/>
  <c r="C305" i="34"/>
  <c r="N294" i="33"/>
  <c r="D294" i="37" s="1"/>
  <c r="C152" i="34"/>
  <c r="E142" i="25"/>
  <c r="C141" i="11"/>
  <c r="H141" i="11" s="1"/>
  <c r="I141" i="11" s="1"/>
  <c r="N141" i="33"/>
  <c r="D141" i="37" s="1"/>
  <c r="N203" i="33"/>
  <c r="D203" i="37" s="1"/>
  <c r="E204" i="25"/>
  <c r="C203" i="11"/>
  <c r="H203" i="11" s="1"/>
  <c r="I203" i="11" s="1"/>
  <c r="C214" i="34"/>
  <c r="E191" i="25"/>
  <c r="C190" i="11"/>
  <c r="H190" i="11" s="1"/>
  <c r="I190" i="11" s="1"/>
  <c r="C201" i="34"/>
  <c r="N190" i="33"/>
  <c r="D190" i="37" s="1"/>
  <c r="E32" i="25"/>
  <c r="C42" i="34"/>
  <c r="C31" i="11"/>
  <c r="H31" i="11" s="1"/>
  <c r="I31" i="11" s="1"/>
  <c r="N31" i="33"/>
  <c r="D31" i="37" s="1"/>
  <c r="N122" i="33"/>
  <c r="D122" i="37" s="1"/>
  <c r="E123" i="25"/>
  <c r="C133" i="34"/>
  <c r="C122" i="11"/>
  <c r="H122" i="11" s="1"/>
  <c r="I122" i="11" s="1"/>
  <c r="N191" i="33"/>
  <c r="D191" i="37" s="1"/>
  <c r="E192" i="25"/>
  <c r="C191" i="11"/>
  <c r="H191" i="11" s="1"/>
  <c r="I191" i="11" s="1"/>
  <c r="C202" i="34"/>
  <c r="N241" i="33"/>
  <c r="D241" i="37" s="1"/>
  <c r="E242" i="25"/>
  <c r="C241" i="11"/>
  <c r="H241" i="11" s="1"/>
  <c r="I241" i="11" s="1"/>
  <c r="C252" i="34"/>
  <c r="E230" i="25"/>
  <c r="C240" i="34"/>
  <c r="C229" i="11"/>
  <c r="H229" i="11" s="1"/>
  <c r="I229" i="11" s="1"/>
  <c r="N229" i="33"/>
  <c r="D229" i="37" s="1"/>
  <c r="N115" i="33"/>
  <c r="D115" i="37" s="1"/>
  <c r="E116" i="25"/>
  <c r="C115" i="11"/>
  <c r="H115" i="11" s="1"/>
  <c r="I115" i="11" s="1"/>
  <c r="C126" i="34"/>
  <c r="C184" i="34"/>
  <c r="E174" i="25"/>
  <c r="C173" i="11"/>
  <c r="H173" i="11" s="1"/>
  <c r="I173" i="11" s="1"/>
  <c r="N173" i="33"/>
  <c r="D173" i="37" s="1"/>
  <c r="N83" i="33"/>
  <c r="D83" i="37" s="1"/>
  <c r="E84" i="25"/>
  <c r="C83" i="11"/>
  <c r="H83" i="11" s="1"/>
  <c r="I83" i="11" s="1"/>
  <c r="C94" i="34"/>
  <c r="N179" i="33"/>
  <c r="D179" i="37" s="1"/>
  <c r="E180" i="25"/>
  <c r="C179" i="11"/>
  <c r="H179" i="11" s="1"/>
  <c r="I179" i="11" s="1"/>
  <c r="C190" i="34"/>
  <c r="C21" i="11"/>
  <c r="H21" i="11" s="1"/>
  <c r="I21" i="11" s="1"/>
  <c r="E22" i="25"/>
  <c r="C32" i="34"/>
  <c r="N21" i="33"/>
  <c r="D21" i="37" s="1"/>
  <c r="E15" i="25"/>
  <c r="C14" i="11"/>
  <c r="H14" i="11" s="1"/>
  <c r="I14" i="11" s="1"/>
  <c r="C25" i="34"/>
  <c r="N14" i="33"/>
  <c r="D14" i="37" s="1"/>
  <c r="N26" i="33"/>
  <c r="D26" i="37" s="1"/>
  <c r="E27" i="25"/>
  <c r="C37" i="34"/>
  <c r="C26" i="11"/>
  <c r="H26" i="11" s="1"/>
  <c r="I26" i="11" s="1"/>
  <c r="E53" i="25"/>
  <c r="C52" i="11"/>
  <c r="H52" i="11" s="1"/>
  <c r="I52" i="11" s="1"/>
  <c r="C63" i="34"/>
  <c r="N52" i="33"/>
  <c r="D52" i="37" s="1"/>
  <c r="M234" i="49"/>
  <c r="M68" i="49"/>
  <c r="M109" i="49"/>
  <c r="M227" i="49"/>
  <c r="M230" i="49"/>
  <c r="M30" i="49"/>
  <c r="M301" i="49"/>
  <c r="E215" i="25"/>
  <c r="C214" i="11"/>
  <c r="H214" i="11" s="1"/>
  <c r="I214" i="11" s="1"/>
  <c r="C225" i="34"/>
  <c r="N214" i="33"/>
  <c r="D214" i="37" s="1"/>
  <c r="E151" i="25"/>
  <c r="C150" i="11"/>
  <c r="H150" i="11" s="1"/>
  <c r="I150" i="11" s="1"/>
  <c r="C161" i="34"/>
  <c r="N150" i="33"/>
  <c r="D150" i="37" s="1"/>
  <c r="N81" i="33"/>
  <c r="D81" i="37" s="1"/>
  <c r="E82" i="25"/>
  <c r="C81" i="11"/>
  <c r="H81" i="11" s="1"/>
  <c r="I81" i="11" s="1"/>
  <c r="C92" i="34"/>
  <c r="N250" i="33"/>
  <c r="D250" i="37" s="1"/>
  <c r="C261" i="34"/>
  <c r="E251" i="25"/>
  <c r="C250" i="11"/>
  <c r="H250" i="11" s="1"/>
  <c r="I250" i="11" s="1"/>
  <c r="E150" i="25"/>
  <c r="C160" i="34"/>
  <c r="N149" i="33"/>
  <c r="D149" i="37" s="1"/>
  <c r="C149" i="11"/>
  <c r="H149" i="11" s="1"/>
  <c r="I149" i="11" s="1"/>
  <c r="E257" i="25"/>
  <c r="C267" i="34"/>
  <c r="N256" i="33"/>
  <c r="D256" i="37" s="1"/>
  <c r="C256" i="11"/>
  <c r="H256" i="11" s="1"/>
  <c r="I256" i="11" s="1"/>
  <c r="N72" i="33"/>
  <c r="D72" i="37" s="1"/>
  <c r="C72" i="11"/>
  <c r="H72" i="11" s="1"/>
  <c r="I72" i="11" s="1"/>
  <c r="C83" i="34"/>
  <c r="E73" i="25"/>
  <c r="E303" i="25"/>
  <c r="C302" i="11"/>
  <c r="H302" i="11" s="1"/>
  <c r="I302" i="11" s="1"/>
  <c r="C313" i="34"/>
  <c r="N302" i="33"/>
  <c r="D302" i="37" s="1"/>
  <c r="N282" i="33"/>
  <c r="D282" i="37" s="1"/>
  <c r="E283" i="25"/>
  <c r="C293" i="34"/>
  <c r="C282" i="11"/>
  <c r="H282" i="11" s="1"/>
  <c r="I282" i="11" s="1"/>
  <c r="E50" i="25"/>
  <c r="C49" i="11"/>
  <c r="H49" i="11" s="1"/>
  <c r="I49" i="11" s="1"/>
  <c r="C60" i="34"/>
  <c r="N49" i="33"/>
  <c r="D49" i="37" s="1"/>
  <c r="E312" i="25"/>
  <c r="C311" i="11"/>
  <c r="H311" i="11" s="1"/>
  <c r="I311" i="11" s="1"/>
  <c r="C322" i="34"/>
  <c r="N311" i="33"/>
  <c r="D311" i="37" s="1"/>
  <c r="N88" i="33"/>
  <c r="D88" i="37" s="1"/>
  <c r="C99" i="34"/>
  <c r="C88" i="11"/>
  <c r="H88" i="11" s="1"/>
  <c r="I88" i="11" s="1"/>
  <c r="E89" i="25"/>
  <c r="C195" i="34"/>
  <c r="E185" i="25"/>
  <c r="C184" i="11"/>
  <c r="H184" i="11" s="1"/>
  <c r="I184" i="11" s="1"/>
  <c r="N184" i="33"/>
  <c r="D184" i="37" s="1"/>
  <c r="E253" i="25"/>
  <c r="C252" i="11"/>
  <c r="H252" i="11" s="1"/>
  <c r="I252" i="11" s="1"/>
  <c r="C263" i="34"/>
  <c r="N252" i="33"/>
  <c r="D252" i="37" s="1"/>
  <c r="N178" i="33"/>
  <c r="D178" i="37" s="1"/>
  <c r="E179" i="25"/>
  <c r="C189" i="34"/>
  <c r="C178" i="11"/>
  <c r="H178" i="11" s="1"/>
  <c r="I178" i="11" s="1"/>
  <c r="E229" i="25"/>
  <c r="C228" i="11"/>
  <c r="H228" i="11" s="1"/>
  <c r="I228" i="11" s="1"/>
  <c r="C239" i="34"/>
  <c r="N228" i="33"/>
  <c r="D228" i="37" s="1"/>
  <c r="N114" i="33"/>
  <c r="D114" i="37" s="1"/>
  <c r="E115" i="25"/>
  <c r="C125" i="34"/>
  <c r="C114" i="11"/>
  <c r="H114" i="11" s="1"/>
  <c r="I114" i="11" s="1"/>
  <c r="N201" i="33"/>
  <c r="D201" i="37" s="1"/>
  <c r="E202" i="25"/>
  <c r="C201" i="11"/>
  <c r="H201" i="11" s="1"/>
  <c r="I201" i="11" s="1"/>
  <c r="C212" i="34"/>
  <c r="E289" i="25"/>
  <c r="C299" i="34"/>
  <c r="N288" i="33"/>
  <c r="D288" i="37" s="1"/>
  <c r="C288" i="11"/>
  <c r="H288" i="11" s="1"/>
  <c r="I288" i="11" s="1"/>
  <c r="N50" i="33"/>
  <c r="D50" i="37" s="1"/>
  <c r="E51" i="25"/>
  <c r="C61" i="34"/>
  <c r="C50" i="11"/>
  <c r="H50" i="11" s="1"/>
  <c r="I50" i="11" s="1"/>
  <c r="N170" i="33"/>
  <c r="D170" i="37" s="1"/>
  <c r="E171" i="25"/>
  <c r="C181" i="34"/>
  <c r="C170" i="11"/>
  <c r="H170" i="11" s="1"/>
  <c r="I170" i="11" s="1"/>
  <c r="E111" i="25"/>
  <c r="C110" i="11"/>
  <c r="H110" i="11" s="1"/>
  <c r="I110" i="11" s="1"/>
  <c r="C121" i="34"/>
  <c r="N110" i="33"/>
  <c r="D110" i="37" s="1"/>
  <c r="E297" i="25"/>
  <c r="C307" i="34"/>
  <c r="C296" i="11"/>
  <c r="H296" i="11" s="1"/>
  <c r="I296" i="11" s="1"/>
  <c r="N296" i="33"/>
  <c r="D296" i="37" s="1"/>
  <c r="E141" i="25"/>
  <c r="C140" i="11"/>
  <c r="H140" i="11" s="1"/>
  <c r="I140" i="11" s="1"/>
  <c r="C151" i="34"/>
  <c r="N140" i="33"/>
  <c r="D140" i="37" s="1"/>
  <c r="N259" i="33"/>
  <c r="D259" i="37" s="1"/>
  <c r="E260" i="25"/>
  <c r="C259" i="11"/>
  <c r="H259" i="11" s="1"/>
  <c r="I259" i="11" s="1"/>
  <c r="C270" i="34"/>
  <c r="N139" i="33"/>
  <c r="D139" i="37" s="1"/>
  <c r="E140" i="25"/>
  <c r="C139" i="11"/>
  <c r="H139" i="11" s="1"/>
  <c r="I139" i="11" s="1"/>
  <c r="C150" i="34"/>
  <c r="E93" i="25"/>
  <c r="C92" i="11"/>
  <c r="H92" i="11" s="1"/>
  <c r="I92" i="11" s="1"/>
  <c r="C103" i="34"/>
  <c r="N92" i="33"/>
  <c r="D92" i="37" s="1"/>
  <c r="C320" i="34"/>
  <c r="E310" i="25"/>
  <c r="C309" i="11"/>
  <c r="H309" i="11" s="1"/>
  <c r="I309" i="11" s="1"/>
  <c r="N309" i="33"/>
  <c r="D309" i="37" s="1"/>
  <c r="E118" i="25"/>
  <c r="C128" i="34"/>
  <c r="C117" i="11"/>
  <c r="H117" i="11" s="1"/>
  <c r="I117" i="11" s="1"/>
  <c r="N117" i="33"/>
  <c r="D117" i="37" s="1"/>
  <c r="E248" i="25"/>
  <c r="C247" i="11"/>
  <c r="H247" i="11" s="1"/>
  <c r="I247" i="11" s="1"/>
  <c r="C258" i="34"/>
  <c r="N247" i="33"/>
  <c r="D247" i="37" s="1"/>
  <c r="E104" i="25"/>
  <c r="C103" i="11"/>
  <c r="H103" i="11" s="1"/>
  <c r="I103" i="11" s="1"/>
  <c r="C114" i="34"/>
  <c r="N103" i="33"/>
  <c r="D103" i="37" s="1"/>
  <c r="M305" i="49"/>
  <c r="M221" i="49"/>
  <c r="N104" i="33"/>
  <c r="D104" i="37" s="1"/>
  <c r="C115" i="34"/>
  <c r="E105" i="25"/>
  <c r="C104" i="11"/>
  <c r="H104" i="11" s="1"/>
  <c r="I104" i="11" s="1"/>
  <c r="E166" i="25"/>
  <c r="C176" i="34"/>
  <c r="C165" i="11"/>
  <c r="H165" i="11" s="1"/>
  <c r="I165" i="11" s="1"/>
  <c r="N165" i="33"/>
  <c r="D165" i="37" s="1"/>
  <c r="E237" i="25"/>
  <c r="C236" i="11"/>
  <c r="H236" i="11" s="1"/>
  <c r="I236" i="11" s="1"/>
  <c r="C247" i="34"/>
  <c r="N236" i="33"/>
  <c r="D236" i="37" s="1"/>
  <c r="E47" i="25"/>
  <c r="C46" i="11"/>
  <c r="H46" i="11" s="1"/>
  <c r="I46" i="11" s="1"/>
  <c r="C57" i="34"/>
  <c r="N46" i="33"/>
  <c r="D46" i="37" s="1"/>
  <c r="E95" i="25"/>
  <c r="C94" i="11"/>
  <c r="H94" i="11" s="1"/>
  <c r="I94" i="11" s="1"/>
  <c r="C105" i="34"/>
  <c r="N94" i="33"/>
  <c r="D94" i="37" s="1"/>
  <c r="N258" i="33"/>
  <c r="D258" i="37" s="1"/>
  <c r="C269" i="34"/>
  <c r="C258" i="11"/>
  <c r="H258" i="11" s="1"/>
  <c r="I258" i="11" s="1"/>
  <c r="E259" i="25"/>
  <c r="E239" i="25"/>
  <c r="C238" i="11"/>
  <c r="H238" i="11" s="1"/>
  <c r="I238" i="11" s="1"/>
  <c r="N238" i="33"/>
  <c r="D238" i="37" s="1"/>
  <c r="C249" i="34"/>
  <c r="N266" i="33"/>
  <c r="D266" i="37" s="1"/>
  <c r="C277" i="34"/>
  <c r="E267" i="25"/>
  <c r="C266" i="11"/>
  <c r="H266" i="11" s="1"/>
  <c r="I266" i="11" s="1"/>
  <c r="N138" i="33"/>
  <c r="D138" i="37" s="1"/>
  <c r="E139" i="25"/>
  <c r="C149" i="34"/>
  <c r="C138" i="11"/>
  <c r="H138" i="11" s="1"/>
  <c r="I138" i="11" s="1"/>
  <c r="N234" i="33"/>
  <c r="D234" i="37" s="1"/>
  <c r="E235" i="25"/>
  <c r="C245" i="34"/>
  <c r="C234" i="11"/>
  <c r="H234" i="11" s="1"/>
  <c r="I234" i="11" s="1"/>
  <c r="C139" i="34"/>
  <c r="E129" i="25"/>
  <c r="N128" i="33"/>
  <c r="D128" i="37" s="1"/>
  <c r="C128" i="11"/>
  <c r="H128" i="11" s="1"/>
  <c r="I128" i="11" s="1"/>
  <c r="N80" i="33"/>
  <c r="D80" i="37" s="1"/>
  <c r="C91" i="34"/>
  <c r="E81" i="25"/>
  <c r="C80" i="11"/>
  <c r="H80" i="11" s="1"/>
  <c r="I80" i="11" s="1"/>
  <c r="C203" i="34"/>
  <c r="E193" i="25"/>
  <c r="N192" i="33"/>
  <c r="D192" i="37" s="1"/>
  <c r="C192" i="11"/>
  <c r="H192" i="11" s="1"/>
  <c r="I192" i="11" s="1"/>
  <c r="C246" i="11"/>
  <c r="H246" i="11" s="1"/>
  <c r="I246" i="11" s="1"/>
  <c r="E247" i="25"/>
  <c r="N246" i="33"/>
  <c r="D246" i="37" s="1"/>
  <c r="C257" i="34"/>
  <c r="N280" i="33"/>
  <c r="D280" i="37" s="1"/>
  <c r="E281" i="25"/>
  <c r="C291" i="34"/>
  <c r="C280" i="11"/>
  <c r="H280" i="11" s="1"/>
  <c r="I280" i="11" s="1"/>
  <c r="E61" i="25"/>
  <c r="C60" i="11"/>
  <c r="H60" i="11" s="1"/>
  <c r="I60" i="11" s="1"/>
  <c r="C71" i="34"/>
  <c r="N60" i="33"/>
  <c r="D60" i="37" s="1"/>
  <c r="N176" i="33"/>
  <c r="D176" i="37" s="1"/>
  <c r="C187" i="34"/>
  <c r="E177" i="25"/>
  <c r="C176" i="11"/>
  <c r="H176" i="11" s="1"/>
  <c r="I176" i="11" s="1"/>
  <c r="M300" i="49"/>
  <c r="E42" i="25"/>
  <c r="C41" i="11"/>
  <c r="H41" i="11" s="1"/>
  <c r="I41" i="11" s="1"/>
  <c r="C52" i="34"/>
  <c r="N41" i="33"/>
  <c r="D41" i="37" s="1"/>
  <c r="N82" i="33"/>
  <c r="D82" i="37" s="1"/>
  <c r="E83" i="25"/>
  <c r="C93" i="34"/>
  <c r="C82" i="11"/>
  <c r="H82" i="11" s="1"/>
  <c r="I82" i="11" s="1"/>
  <c r="N107" i="33"/>
  <c r="D107" i="37" s="1"/>
  <c r="E108" i="25"/>
  <c r="C107" i="11"/>
  <c r="H107" i="11" s="1"/>
  <c r="I107" i="11" s="1"/>
  <c r="C118" i="34"/>
  <c r="E262" i="25"/>
  <c r="C272" i="34"/>
  <c r="C261" i="11"/>
  <c r="H261" i="11" s="1"/>
  <c r="I261" i="11" s="1"/>
  <c r="N261" i="33"/>
  <c r="D261" i="37" s="1"/>
  <c r="E64" i="25"/>
  <c r="C74" i="34"/>
  <c r="C63" i="11"/>
  <c r="H63" i="11" s="1"/>
  <c r="I63" i="11" s="1"/>
  <c r="N63" i="33"/>
  <c r="D63" i="37" s="1"/>
  <c r="N27" i="33"/>
  <c r="D27" i="37" s="1"/>
  <c r="E28" i="25"/>
  <c r="C27" i="11"/>
  <c r="H27" i="11" s="1"/>
  <c r="I27" i="11" s="1"/>
  <c r="C38" i="34"/>
  <c r="E223" i="25"/>
  <c r="C222" i="11"/>
  <c r="H222" i="11" s="1"/>
  <c r="I222" i="11" s="1"/>
  <c r="N222" i="33"/>
  <c r="D222" i="37" s="1"/>
  <c r="C233" i="34"/>
  <c r="E16" i="25"/>
  <c r="C15" i="11"/>
  <c r="H15" i="11" s="1"/>
  <c r="I15" i="11" s="1"/>
  <c r="C26" i="34"/>
  <c r="N15" i="33"/>
  <c r="D15" i="37" s="1"/>
  <c r="E279" i="25"/>
  <c r="C278" i="11"/>
  <c r="H278" i="11" s="1"/>
  <c r="I278" i="11" s="1"/>
  <c r="C289" i="34"/>
  <c r="N278" i="33"/>
  <c r="D278" i="37" s="1"/>
  <c r="E37" i="25"/>
  <c r="C36" i="11"/>
  <c r="H36" i="11" s="1"/>
  <c r="I36" i="11" s="1"/>
  <c r="C47" i="34"/>
  <c r="N36" i="33"/>
  <c r="D36" i="37" s="1"/>
  <c r="E31" i="25"/>
  <c r="C30" i="11"/>
  <c r="H30" i="11" s="1"/>
  <c r="I30" i="11" s="1"/>
  <c r="C41" i="34"/>
  <c r="N30" i="33"/>
  <c r="D30" i="37" s="1"/>
  <c r="E88" i="25"/>
  <c r="C87" i="11"/>
  <c r="H87" i="11" s="1"/>
  <c r="I87" i="11" s="1"/>
  <c r="C98" i="34"/>
  <c r="N87" i="33"/>
  <c r="D87" i="37" s="1"/>
  <c r="E96" i="25"/>
  <c r="C106" i="34"/>
  <c r="C95" i="11"/>
  <c r="H95" i="11" s="1"/>
  <c r="I95" i="11" s="1"/>
  <c r="N95" i="33"/>
  <c r="D95" i="37" s="1"/>
  <c r="E272" i="25"/>
  <c r="C271" i="11"/>
  <c r="H271" i="11" s="1"/>
  <c r="I271" i="11" s="1"/>
  <c r="N271" i="33"/>
  <c r="D271" i="37" s="1"/>
  <c r="C282" i="34"/>
  <c r="C243" i="34"/>
  <c r="E233" i="25"/>
  <c r="N232" i="33"/>
  <c r="D232" i="37" s="1"/>
  <c r="C232" i="11"/>
  <c r="H232" i="11" s="1"/>
  <c r="I232" i="11" s="1"/>
  <c r="E264" i="25"/>
  <c r="C263" i="11"/>
  <c r="H263" i="11" s="1"/>
  <c r="I263" i="11" s="1"/>
  <c r="N263" i="33"/>
  <c r="D263" i="37" s="1"/>
  <c r="C274" i="34"/>
  <c r="E26" i="25"/>
  <c r="C25" i="11"/>
  <c r="H25" i="11" s="1"/>
  <c r="I25" i="11" s="1"/>
  <c r="C36" i="34"/>
  <c r="N25" i="33"/>
  <c r="D25" i="37" s="1"/>
  <c r="C104" i="34"/>
  <c r="E94" i="25"/>
  <c r="C93" i="11"/>
  <c r="H93" i="11" s="1"/>
  <c r="I93" i="11" s="1"/>
  <c r="N93" i="33"/>
  <c r="D93" i="37" s="1"/>
  <c r="N10" i="33"/>
  <c r="D10" i="37" s="1"/>
  <c r="E11" i="25"/>
  <c r="C21" i="34"/>
  <c r="C10" i="11"/>
  <c r="H10" i="11" s="1"/>
  <c r="I10" i="11" s="1"/>
  <c r="E86" i="25"/>
  <c r="C96" i="34"/>
  <c r="C85" i="11"/>
  <c r="H85" i="11" s="1"/>
  <c r="I85" i="11" s="1"/>
  <c r="N85" i="33"/>
  <c r="D85" i="37" s="1"/>
  <c r="N209" i="33"/>
  <c r="D209" i="37" s="1"/>
  <c r="E210" i="25"/>
  <c r="C209" i="11"/>
  <c r="H209" i="11" s="1"/>
  <c r="I209" i="11" s="1"/>
  <c r="C220" i="34"/>
  <c r="E127" i="25"/>
  <c r="C126" i="11"/>
  <c r="H126" i="11" s="1"/>
  <c r="I126" i="11" s="1"/>
  <c r="C137" i="34"/>
  <c r="N126" i="33"/>
  <c r="D126" i="37" s="1"/>
  <c r="N215" i="33"/>
  <c r="D215" i="37" s="1"/>
  <c r="E216" i="25"/>
  <c r="C215" i="11"/>
  <c r="H215" i="11" s="1"/>
  <c r="I215" i="11" s="1"/>
  <c r="C226" i="34"/>
  <c r="N121" i="33"/>
  <c r="D121" i="37" s="1"/>
  <c r="E122" i="25"/>
  <c r="C121" i="11"/>
  <c r="H121" i="11" s="1"/>
  <c r="I121" i="11" s="1"/>
  <c r="C132" i="34"/>
  <c r="E184" i="25"/>
  <c r="C183" i="11"/>
  <c r="H183" i="11" s="1"/>
  <c r="I183" i="11" s="1"/>
  <c r="C194" i="34"/>
  <c r="N183" i="33"/>
  <c r="D183" i="37" s="1"/>
  <c r="E18" i="25"/>
  <c r="C17" i="11"/>
  <c r="H17" i="11" s="1"/>
  <c r="I17" i="11" s="1"/>
  <c r="C28" i="34"/>
  <c r="N17" i="33"/>
  <c r="D17" i="37" s="1"/>
  <c r="M285" i="49"/>
  <c r="M96" i="49"/>
  <c r="M242" i="49"/>
  <c r="M84" i="49"/>
  <c r="M259" i="49"/>
  <c r="M309" i="49"/>
  <c r="M64" i="49"/>
  <c r="M22" i="49"/>
  <c r="M238" i="49"/>
  <c r="M241" i="49"/>
  <c r="M280" i="49"/>
  <c r="M134" i="49"/>
  <c r="M223" i="49"/>
  <c r="M11" i="49"/>
  <c r="M196" i="49"/>
  <c r="M40" i="49"/>
  <c r="N145" i="33"/>
  <c r="D145" i="37" s="1"/>
  <c r="E146" i="25"/>
  <c r="C145" i="11"/>
  <c r="H145" i="11" s="1"/>
  <c r="I145" i="11" s="1"/>
  <c r="C156" i="34"/>
  <c r="N113" i="33"/>
  <c r="D113" i="37" s="1"/>
  <c r="E114" i="25"/>
  <c r="C113" i="11"/>
  <c r="H113" i="11" s="1"/>
  <c r="I113" i="11" s="1"/>
  <c r="C124" i="34"/>
  <c r="N11" i="33"/>
  <c r="D11" i="37" s="1"/>
  <c r="E12" i="25"/>
  <c r="C11" i="11"/>
  <c r="H11" i="11" s="1"/>
  <c r="I11" i="11" s="1"/>
  <c r="C22" i="34"/>
  <c r="E304" i="25"/>
  <c r="C303" i="11"/>
  <c r="H303" i="11" s="1"/>
  <c r="I303" i="11" s="1"/>
  <c r="C314" i="34"/>
  <c r="N303" i="33"/>
  <c r="D303" i="37" s="1"/>
  <c r="E29" i="25"/>
  <c r="C28" i="11"/>
  <c r="H28" i="11" s="1"/>
  <c r="I28" i="11" s="1"/>
  <c r="C39" i="34"/>
  <c r="N28" i="33"/>
  <c r="D28" i="37" s="1"/>
  <c r="N216" i="33"/>
  <c r="D216" i="37" s="1"/>
  <c r="C227" i="34"/>
  <c r="E217" i="25"/>
  <c r="C216" i="11"/>
  <c r="H216" i="11" s="1"/>
  <c r="I216" i="11" s="1"/>
  <c r="N99" i="33"/>
  <c r="D99" i="37" s="1"/>
  <c r="E100" i="25"/>
  <c r="C99" i="11"/>
  <c r="H99" i="11" s="1"/>
  <c r="I99" i="11" s="1"/>
  <c r="C110" i="34"/>
  <c r="E79" i="25"/>
  <c r="C78" i="11"/>
  <c r="H78" i="11" s="1"/>
  <c r="I78" i="11" s="1"/>
  <c r="C89" i="34"/>
  <c r="N78" i="33"/>
  <c r="D78" i="37" s="1"/>
  <c r="N193" i="33"/>
  <c r="D193" i="37" s="1"/>
  <c r="E194" i="25"/>
  <c r="C193" i="11"/>
  <c r="H193" i="11" s="1"/>
  <c r="I193" i="11" s="1"/>
  <c r="C204" i="34"/>
  <c r="N105" i="33"/>
  <c r="D105" i="37" s="1"/>
  <c r="E106" i="25"/>
  <c r="C105" i="11"/>
  <c r="H105" i="11" s="1"/>
  <c r="I105" i="11" s="1"/>
  <c r="C116" i="34"/>
  <c r="N58" i="33"/>
  <c r="D58" i="37" s="1"/>
  <c r="E59" i="25"/>
  <c r="C69" i="34"/>
  <c r="C58" i="11"/>
  <c r="H58" i="11" s="1"/>
  <c r="I58" i="11" s="1"/>
  <c r="E21" i="25"/>
  <c r="C20" i="11"/>
  <c r="H20" i="11" s="1"/>
  <c r="I20" i="11" s="1"/>
  <c r="N20" i="33"/>
  <c r="D20" i="37" s="1"/>
  <c r="C31" i="34"/>
  <c r="N297" i="33"/>
  <c r="D297" i="37" s="1"/>
  <c r="C297" i="11"/>
  <c r="H297" i="11" s="1"/>
  <c r="I297" i="11" s="1"/>
  <c r="E298" i="25"/>
  <c r="C308" i="34"/>
  <c r="N90" i="33"/>
  <c r="D90" i="37" s="1"/>
  <c r="E91" i="25"/>
  <c r="C101" i="34"/>
  <c r="C90" i="11"/>
  <c r="H90" i="11" s="1"/>
  <c r="I90" i="11" s="1"/>
  <c r="N9" i="33"/>
  <c r="D9" i="37" s="1"/>
  <c r="E10" i="25"/>
  <c r="C9" i="11"/>
  <c r="H9" i="11" s="1"/>
  <c r="I9" i="11" s="1"/>
  <c r="C20" i="34"/>
  <c r="E102" i="25"/>
  <c r="C112" i="34"/>
  <c r="C101" i="11"/>
  <c r="H101" i="11" s="1"/>
  <c r="I101" i="11" s="1"/>
  <c r="N101" i="33"/>
  <c r="D101" i="37" s="1"/>
  <c r="N227" i="33"/>
  <c r="D227" i="37" s="1"/>
  <c r="E228" i="25"/>
  <c r="C227" i="11"/>
  <c r="H227" i="11" s="1"/>
  <c r="I227" i="11" s="1"/>
  <c r="C238" i="34"/>
  <c r="E63" i="25"/>
  <c r="C62" i="11"/>
  <c r="H62" i="11" s="1"/>
  <c r="I62" i="11" s="1"/>
  <c r="C73" i="34"/>
  <c r="N62" i="33"/>
  <c r="D62" i="37" s="1"/>
  <c r="N167" i="33"/>
  <c r="D167" i="37" s="1"/>
  <c r="E168" i="25"/>
  <c r="C167" i="11"/>
  <c r="H167" i="11" s="1"/>
  <c r="I167" i="11" s="1"/>
  <c r="C178" i="34"/>
  <c r="N42" i="33"/>
  <c r="D42" i="37" s="1"/>
  <c r="E43" i="25"/>
  <c r="C53" i="34"/>
  <c r="C42" i="11"/>
  <c r="H42" i="11" s="1"/>
  <c r="I42" i="11" s="1"/>
  <c r="N153" i="33"/>
  <c r="D153" i="37" s="1"/>
  <c r="E154" i="25"/>
  <c r="C153" i="11"/>
  <c r="H153" i="11" s="1"/>
  <c r="I153" i="11" s="1"/>
  <c r="C164" i="34"/>
  <c r="E224" i="25"/>
  <c r="C223" i="11"/>
  <c r="H223" i="11" s="1"/>
  <c r="I223" i="11" s="1"/>
  <c r="N223" i="33"/>
  <c r="D223" i="37" s="1"/>
  <c r="C234" i="34"/>
  <c r="N106" i="33"/>
  <c r="D106" i="37" s="1"/>
  <c r="E107" i="25"/>
  <c r="C117" i="34"/>
  <c r="C106" i="11"/>
  <c r="H106" i="11" s="1"/>
  <c r="I106" i="11" s="1"/>
  <c r="E23" i="25"/>
  <c r="C22" i="11"/>
  <c r="H22" i="11" s="1"/>
  <c r="I22" i="11" s="1"/>
  <c r="C33" i="34"/>
  <c r="N22" i="33"/>
  <c r="D22" i="37" s="1"/>
  <c r="C296" i="34"/>
  <c r="E286" i="25"/>
  <c r="C285" i="11"/>
  <c r="H285" i="11" s="1"/>
  <c r="I285" i="11" s="1"/>
  <c r="N285" i="33"/>
  <c r="D285" i="37" s="1"/>
  <c r="C216" i="34"/>
  <c r="E206" i="25"/>
  <c r="C205" i="11"/>
  <c r="H205" i="11" s="1"/>
  <c r="I205" i="11" s="1"/>
  <c r="N205" i="33"/>
  <c r="D205" i="37" s="1"/>
  <c r="N194" i="33"/>
  <c r="D194" i="37" s="1"/>
  <c r="E195" i="25"/>
  <c r="C205" i="34"/>
  <c r="C194" i="11"/>
  <c r="H194" i="11" s="1"/>
  <c r="I194" i="11" s="1"/>
  <c r="E85" i="25"/>
  <c r="C84" i="11"/>
  <c r="H84" i="11" s="1"/>
  <c r="I84" i="11" s="1"/>
  <c r="N84" i="33"/>
  <c r="D84" i="37" s="1"/>
  <c r="C95" i="34"/>
  <c r="N177" i="33"/>
  <c r="D177" i="37" s="1"/>
  <c r="E178" i="25"/>
  <c r="C177" i="11"/>
  <c r="H177" i="11" s="1"/>
  <c r="I177" i="11" s="1"/>
  <c r="C188" i="34"/>
  <c r="C37" i="11"/>
  <c r="H37" i="11" s="1"/>
  <c r="I37" i="11" s="1"/>
  <c r="E38" i="25"/>
  <c r="C48" i="34"/>
  <c r="N37" i="33"/>
  <c r="D37" i="37" s="1"/>
  <c r="E45" i="25"/>
  <c r="C44" i="11"/>
  <c r="H44" i="11" s="1"/>
  <c r="I44" i="11" s="1"/>
  <c r="C55" i="34"/>
  <c r="N44" i="33"/>
  <c r="D44" i="37" s="1"/>
  <c r="N34" i="33"/>
  <c r="D34" i="37" s="1"/>
  <c r="E35" i="25"/>
  <c r="C45" i="34"/>
  <c r="C34" i="11"/>
  <c r="H34" i="11" s="1"/>
  <c r="I34" i="11" s="1"/>
  <c r="C53" i="11"/>
  <c r="H53" i="11" s="1"/>
  <c r="I53" i="11" s="1"/>
  <c r="E54" i="25"/>
  <c r="C64" i="34"/>
  <c r="N53" i="33"/>
  <c r="D53" i="37" s="1"/>
  <c r="E200" i="25"/>
  <c r="C199" i="11"/>
  <c r="H199" i="11" s="1"/>
  <c r="I199" i="11" s="1"/>
  <c r="C210" i="34"/>
  <c r="N199" i="33"/>
  <c r="D199" i="37" s="1"/>
  <c r="N19" i="33"/>
  <c r="D19" i="37" s="1"/>
  <c r="E20" i="25"/>
  <c r="C19" i="11"/>
  <c r="H19" i="11" s="1"/>
  <c r="I19" i="11" s="1"/>
  <c r="C30" i="34"/>
  <c r="N289" i="33"/>
  <c r="D289" i="37" s="1"/>
  <c r="C289" i="11"/>
  <c r="H289" i="11" s="1"/>
  <c r="I289" i="11" s="1"/>
  <c r="E290" i="25"/>
  <c r="C300" i="34"/>
  <c r="C69" i="11"/>
  <c r="H69" i="11" s="1"/>
  <c r="I69" i="11" s="1"/>
  <c r="E70" i="25"/>
  <c r="C80" i="34"/>
  <c r="N69" i="33"/>
  <c r="D69" i="37" s="1"/>
  <c r="C232" i="34"/>
  <c r="E222" i="25"/>
  <c r="C221" i="11"/>
  <c r="H221" i="11" s="1"/>
  <c r="I221" i="11" s="1"/>
  <c r="N221" i="33"/>
  <c r="D221" i="37" s="1"/>
  <c r="N225" i="33"/>
  <c r="D225" i="37" s="1"/>
  <c r="E226" i="25"/>
  <c r="C225" i="11"/>
  <c r="H225" i="11" s="1"/>
  <c r="I225" i="11" s="1"/>
  <c r="C236" i="34"/>
  <c r="E288" i="25"/>
  <c r="C287" i="11"/>
  <c r="H287" i="11" s="1"/>
  <c r="I287" i="11" s="1"/>
  <c r="N287" i="33"/>
  <c r="D287" i="37" s="1"/>
  <c r="C298" i="34"/>
  <c r="C61" i="11"/>
  <c r="H61" i="11" s="1"/>
  <c r="I61" i="11" s="1"/>
  <c r="C72" i="34"/>
  <c r="E62" i="25"/>
  <c r="N61" i="33"/>
  <c r="D61" i="37" s="1"/>
  <c r="E207" i="25"/>
  <c r="C206" i="11"/>
  <c r="H206" i="11" s="1"/>
  <c r="I206" i="11" s="1"/>
  <c r="N206" i="33"/>
  <c r="D206" i="37" s="1"/>
  <c r="C217" i="34"/>
  <c r="N161" i="33"/>
  <c r="D161" i="37" s="1"/>
  <c r="E162" i="25"/>
  <c r="C161" i="11"/>
  <c r="H161" i="11" s="1"/>
  <c r="I161" i="11" s="1"/>
  <c r="C172" i="34"/>
  <c r="N74" i="33"/>
  <c r="D74" i="37" s="1"/>
  <c r="E75" i="25"/>
  <c r="C85" i="34"/>
  <c r="C74" i="11"/>
  <c r="H74" i="11" s="1"/>
  <c r="I74" i="11" s="1"/>
  <c r="N97" i="33"/>
  <c r="D97" i="37" s="1"/>
  <c r="E98" i="25"/>
  <c r="C97" i="11"/>
  <c r="H97" i="11" s="1"/>
  <c r="I97" i="11" s="1"/>
  <c r="C108" i="34"/>
  <c r="C288" i="34"/>
  <c r="E278" i="25"/>
  <c r="C277" i="11"/>
  <c r="H277" i="11" s="1"/>
  <c r="I277" i="11" s="1"/>
  <c r="N277" i="33"/>
  <c r="D277" i="37" s="1"/>
  <c r="E246" i="25"/>
  <c r="C256" i="34"/>
  <c r="C245" i="11"/>
  <c r="H245" i="11" s="1"/>
  <c r="I245" i="11" s="1"/>
  <c r="N245" i="33"/>
  <c r="D245" i="37" s="1"/>
  <c r="C262" i="11"/>
  <c r="H262" i="11" s="1"/>
  <c r="I262" i="11" s="1"/>
  <c r="E263" i="25"/>
  <c r="N262" i="33"/>
  <c r="D262" i="37" s="1"/>
  <c r="C273" i="34"/>
  <c r="N249" i="33"/>
  <c r="D249" i="37" s="1"/>
  <c r="E250" i="25"/>
  <c r="C249" i="11"/>
  <c r="H249" i="11" s="1"/>
  <c r="I249" i="11" s="1"/>
  <c r="C260" i="34"/>
  <c r="E159" i="25"/>
  <c r="C158" i="11"/>
  <c r="H158" i="11" s="1"/>
  <c r="I158" i="11" s="1"/>
  <c r="C169" i="34"/>
  <c r="N158" i="33"/>
  <c r="D158" i="37" s="1"/>
  <c r="E13" i="25"/>
  <c r="C12" i="11"/>
  <c r="H12" i="11" s="1"/>
  <c r="I12" i="11" s="1"/>
  <c r="C23" i="34"/>
  <c r="N12" i="33"/>
  <c r="D12" i="37" s="1"/>
  <c r="E133" i="25"/>
  <c r="C132" i="11"/>
  <c r="H132" i="11" s="1"/>
  <c r="I132" i="11" s="1"/>
  <c r="C143" i="34"/>
  <c r="N132" i="33"/>
  <c r="D132" i="37" s="1"/>
  <c r="E144" i="25"/>
  <c r="C154" i="34"/>
  <c r="C143" i="11"/>
  <c r="H143" i="11" s="1"/>
  <c r="I143" i="11" s="1"/>
  <c r="N143" i="33"/>
  <c r="D143" i="37" s="1"/>
  <c r="E69" i="25"/>
  <c r="C68" i="11"/>
  <c r="H68" i="11" s="1"/>
  <c r="I68" i="11" s="1"/>
  <c r="C79" i="34"/>
  <c r="N68" i="33"/>
  <c r="D68" i="37" s="1"/>
  <c r="C27" i="34"/>
  <c r="C16" i="11"/>
  <c r="H16" i="11" s="1"/>
  <c r="I16" i="11" s="1"/>
  <c r="E17" i="25"/>
  <c r="N16" i="33"/>
  <c r="D16" i="37" s="1"/>
  <c r="E56" i="25"/>
  <c r="C66" i="34"/>
  <c r="N55" i="33"/>
  <c r="D55" i="37" s="1"/>
  <c r="C55" i="11"/>
  <c r="H55" i="11" s="1"/>
  <c r="I55" i="11" s="1"/>
  <c r="M267" i="49"/>
  <c r="M302" i="49"/>
  <c r="M48" i="49"/>
  <c r="M273" i="49"/>
  <c r="M264" i="49"/>
  <c r="M118" i="49"/>
  <c r="M105" i="49"/>
  <c r="M187" i="49"/>
  <c r="C235" i="34"/>
  <c r="E225" i="25"/>
  <c r="N224" i="33"/>
  <c r="D224" i="37" s="1"/>
  <c r="C224" i="11"/>
  <c r="H224" i="11" s="1"/>
  <c r="I224" i="11" s="1"/>
  <c r="E77" i="25"/>
  <c r="C76" i="11"/>
  <c r="H76" i="11" s="1"/>
  <c r="I76" i="11" s="1"/>
  <c r="C87" i="34"/>
  <c r="N76" i="33"/>
  <c r="D76" i="37" s="1"/>
  <c r="N218" i="33"/>
  <c r="D218" i="37" s="1"/>
  <c r="E219" i="25"/>
  <c r="C229" i="34"/>
  <c r="C218" i="11"/>
  <c r="H218" i="11" s="1"/>
  <c r="I218" i="11" s="1"/>
  <c r="E231" i="25"/>
  <c r="C230" i="11"/>
  <c r="H230" i="11" s="1"/>
  <c r="I230" i="11" s="1"/>
  <c r="N230" i="33"/>
  <c r="D230" i="37" s="1"/>
  <c r="C241" i="34"/>
  <c r="E125" i="25"/>
  <c r="C124" i="11"/>
  <c r="H124" i="11" s="1"/>
  <c r="I124" i="11" s="1"/>
  <c r="C135" i="34"/>
  <c r="N124" i="33"/>
  <c r="D124" i="37" s="1"/>
  <c r="N295" i="33"/>
  <c r="D295" i="37" s="1"/>
  <c r="E296" i="25"/>
  <c r="C295" i="11"/>
  <c r="H295" i="11" s="1"/>
  <c r="I295" i="11" s="1"/>
  <c r="C306" i="34"/>
  <c r="E293" i="25"/>
  <c r="C292" i="11"/>
  <c r="H292" i="11" s="1"/>
  <c r="I292" i="11" s="1"/>
  <c r="C303" i="34"/>
  <c r="N292" i="33"/>
  <c r="D292" i="37" s="1"/>
  <c r="E277" i="25"/>
  <c r="C287" i="34"/>
  <c r="C276" i="11"/>
  <c r="H276" i="11" s="1"/>
  <c r="I276" i="11" s="1"/>
  <c r="N276" i="33"/>
  <c r="D276" i="37" s="1"/>
  <c r="E313" i="25"/>
  <c r="C323" i="34"/>
  <c r="C312" i="11"/>
  <c r="H312" i="11" s="1"/>
  <c r="I312" i="11" s="1"/>
  <c r="N312" i="33"/>
  <c r="D312" i="37" s="1"/>
  <c r="N98" i="33"/>
  <c r="D98" i="37" s="1"/>
  <c r="E99" i="25"/>
  <c r="C109" i="34"/>
  <c r="C98" i="11"/>
  <c r="H98" i="11" s="1"/>
  <c r="I98" i="11" s="1"/>
  <c r="C179" i="34"/>
  <c r="E169" i="25"/>
  <c r="C168" i="11"/>
  <c r="H168" i="11" s="1"/>
  <c r="I168" i="11" s="1"/>
  <c r="N168" i="33"/>
  <c r="D168" i="37" s="1"/>
  <c r="N306" i="33"/>
  <c r="D306" i="37" s="1"/>
  <c r="E307" i="25"/>
  <c r="C317" i="34"/>
  <c r="C306" i="11"/>
  <c r="H306" i="11" s="1"/>
  <c r="I306" i="11" s="1"/>
  <c r="C131" i="34"/>
  <c r="E121" i="25"/>
  <c r="C120" i="11"/>
  <c r="H120" i="11" s="1"/>
  <c r="I120" i="11" s="1"/>
  <c r="N120" i="33"/>
  <c r="D120" i="37" s="1"/>
  <c r="N155" i="33"/>
  <c r="D155" i="37" s="1"/>
  <c r="E156" i="25"/>
  <c r="C155" i="11"/>
  <c r="H155" i="11" s="1"/>
  <c r="I155" i="11" s="1"/>
  <c r="C166" i="34"/>
  <c r="C219" i="34"/>
  <c r="E209" i="25"/>
  <c r="C208" i="11"/>
  <c r="H208" i="11" s="1"/>
  <c r="I208" i="11" s="1"/>
  <c r="N208" i="33"/>
  <c r="D208" i="37" s="1"/>
  <c r="E167" i="25"/>
  <c r="C166" i="11"/>
  <c r="H166" i="11" s="1"/>
  <c r="I166" i="11" s="1"/>
  <c r="C177" i="34"/>
  <c r="N166" i="33"/>
  <c r="D166" i="37" s="1"/>
  <c r="E119" i="25"/>
  <c r="C118" i="11"/>
  <c r="H118" i="11" s="1"/>
  <c r="I118" i="11" s="1"/>
  <c r="C129" i="34"/>
  <c r="N118" i="33"/>
  <c r="D118" i="37" s="1"/>
  <c r="N217" i="33"/>
  <c r="D217" i="37" s="1"/>
  <c r="E218" i="25"/>
  <c r="C217" i="11"/>
  <c r="H217" i="11" s="1"/>
  <c r="I217" i="11" s="1"/>
  <c r="C228" i="34"/>
  <c r="N162" i="33"/>
  <c r="D162" i="37" s="1"/>
  <c r="E163" i="25"/>
  <c r="C173" i="34"/>
  <c r="C162" i="11"/>
  <c r="H162" i="11" s="1"/>
  <c r="I162" i="11" s="1"/>
  <c r="E173" i="25"/>
  <c r="C172" i="11"/>
  <c r="H172" i="11" s="1"/>
  <c r="I172" i="11" s="1"/>
  <c r="C183" i="34"/>
  <c r="N172" i="33"/>
  <c r="D172" i="37" s="1"/>
  <c r="N146" i="33"/>
  <c r="D146" i="37" s="1"/>
  <c r="E147" i="25"/>
  <c r="C157" i="34"/>
  <c r="C146" i="11"/>
  <c r="H146" i="11" s="1"/>
  <c r="I146" i="11" s="1"/>
  <c r="E181" i="25"/>
  <c r="C191" i="34"/>
  <c r="C180" i="11"/>
  <c r="H180" i="11" s="1"/>
  <c r="I180" i="11" s="1"/>
  <c r="N180" i="33"/>
  <c r="D180" i="37" s="1"/>
  <c r="E117" i="25"/>
  <c r="C127" i="34"/>
  <c r="C116" i="11"/>
  <c r="H116" i="11" s="1"/>
  <c r="I116" i="11" s="1"/>
  <c r="N116" i="33"/>
  <c r="D116" i="37" s="1"/>
  <c r="N264" i="33"/>
  <c r="D264" i="37" s="1"/>
  <c r="E265" i="25"/>
  <c r="C275" i="34"/>
  <c r="C264" i="11"/>
  <c r="H264" i="11" s="1"/>
  <c r="I264" i="11" s="1"/>
  <c r="E287" i="25"/>
  <c r="C286" i="11"/>
  <c r="H286" i="11" s="1"/>
  <c r="I286" i="11" s="1"/>
  <c r="C297" i="34"/>
  <c r="N286" i="33"/>
  <c r="D286" i="37" s="1"/>
  <c r="E271" i="25"/>
  <c r="C270" i="11"/>
  <c r="H270" i="11" s="1"/>
  <c r="I270" i="11" s="1"/>
  <c r="C281" i="34"/>
  <c r="N270" i="33"/>
  <c r="D270" i="37" s="1"/>
  <c r="E249" i="25"/>
  <c r="C259" i="34"/>
  <c r="N248" i="33"/>
  <c r="D248" i="37" s="1"/>
  <c r="C248" i="11"/>
  <c r="H248" i="11" s="1"/>
  <c r="I248" i="11" s="1"/>
  <c r="E213" i="25"/>
  <c r="N212" i="33"/>
  <c r="D212" i="37" s="1"/>
  <c r="C223" i="34"/>
  <c r="C212" i="11"/>
  <c r="H212" i="11" s="1"/>
  <c r="I212" i="11" s="1"/>
  <c r="M281" i="49"/>
  <c r="M180" i="49"/>
  <c r="M148" i="49"/>
  <c r="M124" i="49"/>
  <c r="M277" i="49"/>
  <c r="M289" i="49"/>
  <c r="M165" i="49"/>
  <c r="M108" i="49"/>
  <c r="M217" i="49"/>
  <c r="M35" i="49"/>
  <c r="M211" i="49"/>
  <c r="M65" i="49"/>
  <c r="M70" i="49"/>
  <c r="M179" i="49"/>
  <c r="M83" i="49"/>
  <c r="M115" i="49"/>
  <c r="M125" i="49"/>
  <c r="M153" i="49"/>
  <c r="M60" i="49"/>
  <c r="M74" i="49"/>
  <c r="M172" i="49"/>
  <c r="M262" i="49"/>
  <c r="M97" i="49"/>
  <c r="M202" i="49"/>
  <c r="M186" i="49"/>
  <c r="M251" i="49"/>
  <c r="M104" i="49"/>
  <c r="M258" i="49"/>
  <c r="M162" i="49"/>
  <c r="M224" i="49"/>
  <c r="M286" i="49"/>
  <c r="M206" i="49"/>
  <c r="M46" i="49"/>
  <c r="M128" i="49"/>
  <c r="M229" i="49"/>
  <c r="M39" i="49"/>
  <c r="M144" i="49"/>
  <c r="M219" i="49"/>
  <c r="M170" i="49"/>
  <c r="M244" i="49"/>
  <c r="M80" i="49"/>
  <c r="M122" i="49"/>
  <c r="M142" i="49"/>
  <c r="M78" i="49"/>
  <c r="M192" i="49"/>
  <c r="M156" i="49"/>
  <c r="M213" i="49"/>
  <c r="M296" i="49"/>
  <c r="M159" i="49"/>
  <c r="M199" i="49"/>
  <c r="M250" i="49"/>
  <c r="M191" i="49"/>
  <c r="M266" i="49"/>
  <c r="M139" i="49"/>
  <c r="M204" i="49"/>
  <c r="M23" i="49"/>
  <c r="M94" i="49"/>
  <c r="M103" i="49"/>
  <c r="M58" i="49"/>
  <c r="M107" i="49"/>
  <c r="M149" i="49"/>
  <c r="M275" i="49"/>
  <c r="M112" i="49"/>
  <c r="M169" i="49"/>
  <c r="M100" i="49"/>
  <c r="M215" i="49"/>
  <c r="M79" i="49"/>
  <c r="M291" i="49"/>
  <c r="M161" i="49"/>
  <c r="M243" i="49"/>
  <c r="M63" i="49"/>
  <c r="M52" i="49"/>
  <c r="M269" i="49"/>
  <c r="M38" i="49"/>
  <c r="M21" i="49"/>
  <c r="M95" i="49"/>
  <c r="M175" i="49"/>
  <c r="M75" i="49"/>
  <c r="M198" i="49"/>
  <c r="M174" i="49"/>
  <c r="M41" i="49"/>
  <c r="M19" i="49"/>
  <c r="M49" i="49"/>
  <c r="M90" i="49"/>
  <c r="M190" i="49"/>
  <c r="M53" i="49"/>
  <c r="M26" i="49"/>
  <c r="M193" i="49"/>
  <c r="M10" i="49"/>
  <c r="M274" i="49"/>
  <c r="M268" i="49"/>
  <c r="M226" i="49"/>
  <c r="M81" i="49"/>
  <c r="M24" i="49"/>
  <c r="M87" i="49"/>
  <c r="M150" i="49"/>
  <c r="M18" i="49"/>
  <c r="M310" i="49"/>
  <c r="M61" i="49"/>
  <c r="M225" i="49"/>
  <c r="M189" i="49"/>
  <c r="M157" i="49"/>
  <c r="M85" i="49"/>
  <c r="M28" i="49"/>
  <c r="M208" i="49"/>
  <c r="M116" i="49"/>
  <c r="M59" i="49"/>
  <c r="M240" i="49"/>
  <c r="M143" i="49"/>
  <c r="M236" i="49"/>
  <c r="M222" i="49"/>
  <c r="M34" i="49"/>
  <c r="M91" i="49"/>
  <c r="M235" i="49"/>
  <c r="M265" i="49"/>
  <c r="M283" i="49"/>
  <c r="F18" i="48"/>
  <c r="M152" i="49"/>
  <c r="M121" i="49"/>
  <c r="M88" i="49"/>
  <c r="M245" i="49"/>
  <c r="M138" i="49"/>
  <c r="M137" i="49"/>
  <c r="M66" i="49"/>
  <c r="M37" i="49"/>
  <c r="M127" i="49"/>
  <c r="M101" i="49"/>
  <c r="M287" i="49"/>
  <c r="M135" i="49"/>
  <c r="E11" i="9"/>
  <c r="M313" i="49"/>
  <c r="M6" i="49"/>
  <c r="L314" i="33"/>
  <c r="C6" i="9" s="1"/>
  <c r="C7" i="9" s="1"/>
  <c r="H242" i="11" l="1"/>
  <c r="I242" i="11" s="1"/>
  <c r="L242" i="11"/>
  <c r="M242" i="11" s="1"/>
  <c r="N131" i="33"/>
  <c r="D131" i="37" s="1"/>
  <c r="E132" i="25"/>
  <c r="C131" i="11"/>
  <c r="H131" i="11" s="1"/>
  <c r="I131" i="11" s="1"/>
  <c r="C142" i="34"/>
  <c r="L288" i="11"/>
  <c r="M288" i="11" s="1"/>
  <c r="L114" i="11"/>
  <c r="M114" i="11" s="1"/>
  <c r="L64" i="11"/>
  <c r="M64" i="11" s="1"/>
  <c r="L75" i="11"/>
  <c r="M75" i="11" s="1"/>
  <c r="L13" i="11"/>
  <c r="M13" i="11" s="1"/>
  <c r="L37" i="11"/>
  <c r="M37" i="11" s="1"/>
  <c r="L137" i="11"/>
  <c r="M137" i="11" s="1"/>
  <c r="L121" i="11"/>
  <c r="M121" i="11" s="1"/>
  <c r="L89" i="11"/>
  <c r="M89" i="11" s="1"/>
  <c r="L87" i="11"/>
  <c r="M87" i="11" s="1"/>
  <c r="L17" i="11"/>
  <c r="M17" i="11" s="1"/>
  <c r="L49" i="11"/>
  <c r="M49" i="11" s="1"/>
  <c r="L19" i="11"/>
  <c r="M19" i="11" s="1"/>
  <c r="L34" i="11"/>
  <c r="M34" i="11" s="1"/>
  <c r="L66" i="11"/>
  <c r="M66" i="11" s="1"/>
  <c r="L108" i="11"/>
  <c r="M108" i="11" s="1"/>
  <c r="L158" i="11"/>
  <c r="M158" i="11" s="1"/>
  <c r="L206" i="11"/>
  <c r="M206" i="11" s="1"/>
  <c r="L271" i="11"/>
  <c r="M271" i="11" s="1"/>
  <c r="L311" i="11"/>
  <c r="M311" i="11" s="1"/>
  <c r="L260" i="11"/>
  <c r="M260" i="11" s="1"/>
  <c r="L256" i="11"/>
  <c r="M256" i="11" s="1"/>
  <c r="L281" i="11"/>
  <c r="M281" i="11" s="1"/>
  <c r="L249" i="11"/>
  <c r="M249" i="11" s="1"/>
  <c r="L147" i="11"/>
  <c r="M147" i="11" s="1"/>
  <c r="L14" i="11"/>
  <c r="M14" i="11" s="1"/>
  <c r="L188" i="11"/>
  <c r="M188" i="11" s="1"/>
  <c r="L156" i="11"/>
  <c r="M156" i="11" s="1"/>
  <c r="L110" i="11"/>
  <c r="M110" i="11" s="1"/>
  <c r="L78" i="11"/>
  <c r="M78" i="11" s="1"/>
  <c r="L99" i="11"/>
  <c r="M99" i="11" s="1"/>
  <c r="L85" i="11"/>
  <c r="M85" i="11" s="1"/>
  <c r="L36" i="11"/>
  <c r="M36" i="11" s="1"/>
  <c r="L79" i="11"/>
  <c r="M79" i="11" s="1"/>
  <c r="L23" i="11"/>
  <c r="M23" i="11" s="1"/>
  <c r="L38" i="11"/>
  <c r="M38" i="11" s="1"/>
  <c r="L139" i="11"/>
  <c r="M139" i="11" s="1"/>
  <c r="L112" i="11"/>
  <c r="M112" i="11" s="1"/>
  <c r="L146" i="11"/>
  <c r="M146" i="11" s="1"/>
  <c r="L178" i="11"/>
  <c r="M178" i="11" s="1"/>
  <c r="L210" i="11"/>
  <c r="M210" i="11" s="1"/>
  <c r="L243" i="11"/>
  <c r="M243" i="11" s="1"/>
  <c r="L275" i="11"/>
  <c r="M275" i="11" s="1"/>
  <c r="L297" i="11"/>
  <c r="M297" i="11" s="1"/>
  <c r="L313" i="11"/>
  <c r="M313" i="11" s="1"/>
  <c r="L252" i="11"/>
  <c r="M252" i="11" s="1"/>
  <c r="L298" i="11"/>
  <c r="M298" i="11" s="1"/>
  <c r="L215" i="11"/>
  <c r="M215" i="11" s="1"/>
  <c r="L151" i="11"/>
  <c r="M151" i="11" s="1"/>
  <c r="L43" i="11"/>
  <c r="M43" i="11" s="1"/>
  <c r="L270" i="11"/>
  <c r="M270" i="11" s="1"/>
  <c r="L254" i="11"/>
  <c r="M254" i="11" s="1"/>
  <c r="L237" i="11"/>
  <c r="M237" i="11" s="1"/>
  <c r="L221" i="11"/>
  <c r="M221" i="11" s="1"/>
  <c r="L171" i="11"/>
  <c r="M171" i="11" s="1"/>
  <c r="L63" i="11"/>
  <c r="M63" i="11" s="1"/>
  <c r="L6" i="11"/>
  <c r="M6" i="11" s="1"/>
  <c r="L209" i="11"/>
  <c r="M209" i="11" s="1"/>
  <c r="L193" i="11"/>
  <c r="M193" i="11" s="1"/>
  <c r="L177" i="11"/>
  <c r="M177" i="11" s="1"/>
  <c r="L161" i="11"/>
  <c r="M161" i="11" s="1"/>
  <c r="L145" i="11"/>
  <c r="M145" i="11" s="1"/>
  <c r="L138" i="11"/>
  <c r="M138" i="11" s="1"/>
  <c r="L106" i="11"/>
  <c r="M106" i="11" s="1"/>
  <c r="L48" i="11"/>
  <c r="M48" i="11" s="1"/>
  <c r="L123" i="11"/>
  <c r="M123" i="11" s="1"/>
  <c r="L113" i="11"/>
  <c r="M113" i="11" s="1"/>
  <c r="L81" i="11"/>
  <c r="M81" i="11" s="1"/>
  <c r="L60" i="11"/>
  <c r="M60" i="11" s="1"/>
  <c r="L71" i="11"/>
  <c r="M71" i="11" s="1"/>
  <c r="L33" i="11"/>
  <c r="M33" i="11" s="1"/>
  <c r="L27" i="11"/>
  <c r="M27" i="11" s="1"/>
  <c r="L42" i="11"/>
  <c r="M42" i="11" s="1"/>
  <c r="L68" i="11"/>
  <c r="M68" i="11" s="1"/>
  <c r="L116" i="11"/>
  <c r="M116" i="11" s="1"/>
  <c r="L150" i="11"/>
  <c r="M150" i="11" s="1"/>
  <c r="L182" i="11"/>
  <c r="M182" i="11" s="1"/>
  <c r="L214" i="11"/>
  <c r="M214" i="11" s="1"/>
  <c r="L247" i="11"/>
  <c r="M247" i="11" s="1"/>
  <c r="L279" i="11"/>
  <c r="M279" i="11" s="1"/>
  <c r="L299" i="11"/>
  <c r="M299" i="11" s="1"/>
  <c r="L310" i="11"/>
  <c r="M310" i="11" s="1"/>
  <c r="L272" i="11"/>
  <c r="M272" i="11" s="1"/>
  <c r="L207" i="11"/>
  <c r="M207" i="11" s="1"/>
  <c r="L143" i="11"/>
  <c r="M143" i="11" s="1"/>
  <c r="L35" i="11"/>
  <c r="M35" i="11" s="1"/>
  <c r="L277" i="11"/>
  <c r="M277" i="11" s="1"/>
  <c r="L261" i="11"/>
  <c r="M261" i="11" s="1"/>
  <c r="L245" i="11"/>
  <c r="M245" i="11" s="1"/>
  <c r="L228" i="11"/>
  <c r="M228" i="11" s="1"/>
  <c r="L163" i="11"/>
  <c r="M163" i="11" s="1"/>
  <c r="L55" i="11"/>
  <c r="M55" i="11" s="1"/>
  <c r="L216" i="11"/>
  <c r="M216" i="11" s="1"/>
  <c r="L200" i="11"/>
  <c r="M200" i="11" s="1"/>
  <c r="L184" i="11"/>
  <c r="M184" i="11" s="1"/>
  <c r="L168" i="11"/>
  <c r="M168" i="11" s="1"/>
  <c r="L152" i="11"/>
  <c r="M152" i="11" s="1"/>
  <c r="L134" i="11"/>
  <c r="M134" i="11" s="1"/>
  <c r="L102" i="11"/>
  <c r="M102" i="11" s="1"/>
  <c r="L86" i="11"/>
  <c r="M86" i="11" s="1"/>
  <c r="L40" i="11"/>
  <c r="M40" i="11" s="1"/>
  <c r="L115" i="11"/>
  <c r="M115" i="11" s="1"/>
  <c r="L109" i="11"/>
  <c r="M109" i="11" s="1"/>
  <c r="L77" i="11"/>
  <c r="M77" i="11" s="1"/>
  <c r="L52" i="11"/>
  <c r="M52" i="11" s="1"/>
  <c r="L127" i="11"/>
  <c r="M127" i="11" s="1"/>
  <c r="L62" i="11"/>
  <c r="M62" i="11" s="1"/>
  <c r="L88" i="11"/>
  <c r="M88" i="11" s="1"/>
  <c r="L104" i="11"/>
  <c r="M104" i="11" s="1"/>
  <c r="L136" i="11"/>
  <c r="M136" i="11" s="1"/>
  <c r="L170" i="11"/>
  <c r="M170" i="11" s="1"/>
  <c r="L202" i="11"/>
  <c r="M202" i="11" s="1"/>
  <c r="L234" i="11"/>
  <c r="M234" i="11" s="1"/>
  <c r="L267" i="11"/>
  <c r="M267" i="11" s="1"/>
  <c r="L293" i="11"/>
  <c r="M293" i="11" s="1"/>
  <c r="L309" i="11"/>
  <c r="M309" i="11" s="1"/>
  <c r="L268" i="11"/>
  <c r="M268" i="11" s="1"/>
  <c r="L306" i="11"/>
  <c r="M306" i="11" s="1"/>
  <c r="L264" i="11"/>
  <c r="M264" i="11" s="1"/>
  <c r="L199" i="11"/>
  <c r="M199" i="11" s="1"/>
  <c r="L25" i="11"/>
  <c r="M25" i="11" s="1"/>
  <c r="L282" i="11"/>
  <c r="M282" i="11" s="1"/>
  <c r="L266" i="11"/>
  <c r="M266" i="11" s="1"/>
  <c r="L250" i="11"/>
  <c r="M250" i="11" s="1"/>
  <c r="L233" i="11"/>
  <c r="M233" i="11" s="1"/>
  <c r="L217" i="11"/>
  <c r="M217" i="11" s="1"/>
  <c r="L155" i="11"/>
  <c r="M155" i="11" s="1"/>
  <c r="L47" i="11"/>
  <c r="M47" i="11" s="1"/>
  <c r="L205" i="11"/>
  <c r="M205" i="11" s="1"/>
  <c r="L189" i="11"/>
  <c r="M189" i="11" s="1"/>
  <c r="L173" i="11"/>
  <c r="M173" i="11" s="1"/>
  <c r="L157" i="11"/>
  <c r="M157" i="11" s="1"/>
  <c r="L141" i="11"/>
  <c r="M141" i="11" s="1"/>
  <c r="L142" i="11"/>
  <c r="M142" i="11" s="1"/>
  <c r="L222" i="11"/>
  <c r="M222" i="11" s="1"/>
  <c r="L287" i="11"/>
  <c r="M287" i="11" s="1"/>
  <c r="L286" i="11"/>
  <c r="M286" i="11" s="1"/>
  <c r="L159" i="11"/>
  <c r="M159" i="11" s="1"/>
  <c r="L18" i="11"/>
  <c r="M18" i="11" s="1"/>
  <c r="L257" i="11"/>
  <c r="M257" i="11" s="1"/>
  <c r="L224" i="11"/>
  <c r="M224" i="11" s="1"/>
  <c r="L179" i="11"/>
  <c r="M179" i="11" s="1"/>
  <c r="L39" i="11"/>
  <c r="M39" i="11" s="1"/>
  <c r="L196" i="11"/>
  <c r="M196" i="11" s="1"/>
  <c r="L164" i="11"/>
  <c r="M164" i="11" s="1"/>
  <c r="L126" i="11"/>
  <c r="M126" i="11" s="1"/>
  <c r="L61" i="11"/>
  <c r="M61" i="11" s="1"/>
  <c r="L101" i="11"/>
  <c r="M101" i="11" s="1"/>
  <c r="L111" i="11"/>
  <c r="M111" i="11" s="1"/>
  <c r="L9" i="11"/>
  <c r="M9" i="11" s="1"/>
  <c r="L300" i="11"/>
  <c r="M300" i="11" s="1"/>
  <c r="L280" i="11"/>
  <c r="M280" i="11" s="1"/>
  <c r="L296" i="11"/>
  <c r="M296" i="11" s="1"/>
  <c r="L308" i="11"/>
  <c r="M308" i="11" s="1"/>
  <c r="L284" i="11"/>
  <c r="M284" i="11" s="1"/>
  <c r="L312" i="11"/>
  <c r="M312" i="11" s="1"/>
  <c r="L276" i="11"/>
  <c r="M276" i="11" s="1"/>
  <c r="L292" i="11"/>
  <c r="M292" i="11" s="1"/>
  <c r="M132" i="49"/>
  <c r="L304" i="11"/>
  <c r="M304" i="11" s="1"/>
  <c r="L98" i="11"/>
  <c r="M98" i="11" s="1"/>
  <c r="L82" i="11"/>
  <c r="M82" i="11" s="1"/>
  <c r="L32" i="11"/>
  <c r="M32" i="11" s="1"/>
  <c r="L107" i="11"/>
  <c r="M107" i="11" s="1"/>
  <c r="L105" i="11"/>
  <c r="M105" i="11" s="1"/>
  <c r="L73" i="11"/>
  <c r="M73" i="11" s="1"/>
  <c r="L44" i="11"/>
  <c r="M44" i="11" s="1"/>
  <c r="L119" i="11"/>
  <c r="M119" i="11" s="1"/>
  <c r="L50" i="11"/>
  <c r="M50" i="11" s="1"/>
  <c r="L76" i="11"/>
  <c r="M76" i="11" s="1"/>
  <c r="L92" i="11"/>
  <c r="M92" i="11" s="1"/>
  <c r="L124" i="11"/>
  <c r="M124" i="11" s="1"/>
  <c r="L174" i="11"/>
  <c r="M174" i="11" s="1"/>
  <c r="L238" i="11"/>
  <c r="M238" i="11" s="1"/>
  <c r="L295" i="11"/>
  <c r="M295" i="11" s="1"/>
  <c r="L302" i="11"/>
  <c r="M302" i="11" s="1"/>
  <c r="L191" i="11"/>
  <c r="M191" i="11" s="1"/>
  <c r="L51" i="11"/>
  <c r="M51" i="11" s="1"/>
  <c r="L265" i="11"/>
  <c r="M265" i="11" s="1"/>
  <c r="L232" i="11"/>
  <c r="M232" i="11" s="1"/>
  <c r="L211" i="11"/>
  <c r="M211" i="11" s="1"/>
  <c r="L204" i="11"/>
  <c r="M204" i="11" s="1"/>
  <c r="L172" i="11"/>
  <c r="M172" i="11" s="1"/>
  <c r="L140" i="11"/>
  <c r="M140" i="11" s="1"/>
  <c r="L67" i="11"/>
  <c r="M67" i="11" s="1"/>
  <c r="L22" i="11"/>
  <c r="M22" i="11" s="1"/>
  <c r="L117" i="11"/>
  <c r="M117" i="11" s="1"/>
  <c r="L41" i="11"/>
  <c r="M41" i="11" s="1"/>
  <c r="L30" i="11"/>
  <c r="M30" i="11" s="1"/>
  <c r="L8" i="11"/>
  <c r="M8" i="11" s="1"/>
  <c r="L54" i="11"/>
  <c r="M54" i="11" s="1"/>
  <c r="L80" i="11"/>
  <c r="M80" i="11" s="1"/>
  <c r="L96" i="11"/>
  <c r="M96" i="11" s="1"/>
  <c r="L128" i="11"/>
  <c r="M128" i="11" s="1"/>
  <c r="L162" i="11"/>
  <c r="M162" i="11" s="1"/>
  <c r="L194" i="11"/>
  <c r="M194" i="11" s="1"/>
  <c r="L226" i="11"/>
  <c r="M226" i="11" s="1"/>
  <c r="L259" i="11"/>
  <c r="M259" i="11" s="1"/>
  <c r="L289" i="11"/>
  <c r="M289" i="11" s="1"/>
  <c r="L305" i="11"/>
  <c r="M305" i="11" s="1"/>
  <c r="L219" i="11"/>
  <c r="M219" i="11" s="1"/>
  <c r="L248" i="11"/>
  <c r="M248" i="11" s="1"/>
  <c r="L183" i="11"/>
  <c r="M183" i="11" s="1"/>
  <c r="L10" i="11"/>
  <c r="M10" i="11" s="1"/>
  <c r="L278" i="11"/>
  <c r="M278" i="11" s="1"/>
  <c r="L262" i="11"/>
  <c r="M262" i="11" s="1"/>
  <c r="L246" i="11"/>
  <c r="M246" i="11" s="1"/>
  <c r="L229" i="11"/>
  <c r="M229" i="11" s="1"/>
  <c r="L203" i="11"/>
  <c r="M203" i="11" s="1"/>
  <c r="L31" i="11"/>
  <c r="M31" i="11" s="1"/>
  <c r="L201" i="11"/>
  <c r="M201" i="11" s="1"/>
  <c r="L185" i="11"/>
  <c r="M185" i="11" s="1"/>
  <c r="L169" i="11"/>
  <c r="M169" i="11" s="1"/>
  <c r="L153" i="11"/>
  <c r="M153" i="11" s="1"/>
  <c r="L122" i="11"/>
  <c r="M122" i="11" s="1"/>
  <c r="L90" i="11"/>
  <c r="M90" i="11" s="1"/>
  <c r="L74" i="11"/>
  <c r="M74" i="11" s="1"/>
  <c r="L91" i="11"/>
  <c r="M91" i="11" s="1"/>
  <c r="L28" i="11"/>
  <c r="M28" i="11" s="1"/>
  <c r="L53" i="11"/>
  <c r="M53" i="11" s="1"/>
  <c r="L15" i="11"/>
  <c r="M15" i="11" s="1"/>
  <c r="L129" i="11"/>
  <c r="M129" i="11" s="1"/>
  <c r="L97" i="11"/>
  <c r="M97" i="11" s="1"/>
  <c r="L135" i="11"/>
  <c r="M135" i="11" s="1"/>
  <c r="L103" i="11"/>
  <c r="M103" i="11" s="1"/>
  <c r="L65" i="11"/>
  <c r="M65" i="11" s="1"/>
  <c r="L12" i="11"/>
  <c r="M12" i="11" s="1"/>
  <c r="L58" i="11"/>
  <c r="M58" i="11" s="1"/>
  <c r="L84" i="11"/>
  <c r="M84" i="11" s="1"/>
  <c r="L100" i="11"/>
  <c r="M100" i="11" s="1"/>
  <c r="L132" i="11"/>
  <c r="M132" i="11" s="1"/>
  <c r="L166" i="11"/>
  <c r="M166" i="11" s="1"/>
  <c r="L198" i="11"/>
  <c r="M198" i="11" s="1"/>
  <c r="L230" i="11"/>
  <c r="M230" i="11" s="1"/>
  <c r="L263" i="11"/>
  <c r="M263" i="11" s="1"/>
  <c r="L291" i="11"/>
  <c r="M291" i="11" s="1"/>
  <c r="L307" i="11"/>
  <c r="M307" i="11" s="1"/>
  <c r="L244" i="11"/>
  <c r="M244" i="11" s="1"/>
  <c r="L294" i="11"/>
  <c r="M294" i="11" s="1"/>
  <c r="L239" i="11"/>
  <c r="M239" i="11" s="1"/>
  <c r="L175" i="11"/>
  <c r="M175" i="11" s="1"/>
  <c r="L285" i="11"/>
  <c r="M285" i="11" s="1"/>
  <c r="L269" i="11"/>
  <c r="M269" i="11" s="1"/>
  <c r="L253" i="11"/>
  <c r="M253" i="11" s="1"/>
  <c r="L236" i="11"/>
  <c r="M236" i="11" s="1"/>
  <c r="L220" i="11"/>
  <c r="M220" i="11" s="1"/>
  <c r="L195" i="11"/>
  <c r="M195" i="11" s="1"/>
  <c r="L29" i="11"/>
  <c r="M29" i="11" s="1"/>
  <c r="L208" i="11"/>
  <c r="M208" i="11" s="1"/>
  <c r="L192" i="11"/>
  <c r="M192" i="11" s="1"/>
  <c r="L176" i="11"/>
  <c r="M176" i="11" s="1"/>
  <c r="L160" i="11"/>
  <c r="M160" i="11" s="1"/>
  <c r="L144" i="11"/>
  <c r="M144" i="11" s="1"/>
  <c r="L118" i="11"/>
  <c r="M118" i="11" s="1"/>
  <c r="L70" i="11"/>
  <c r="M70" i="11" s="1"/>
  <c r="L83" i="11"/>
  <c r="M83" i="11" s="1"/>
  <c r="L20" i="11"/>
  <c r="M20" i="11" s="1"/>
  <c r="L45" i="11"/>
  <c r="M45" i="11" s="1"/>
  <c r="L7" i="11"/>
  <c r="M7" i="11" s="1"/>
  <c r="L125" i="11"/>
  <c r="M125" i="11" s="1"/>
  <c r="L93" i="11"/>
  <c r="M93" i="11" s="1"/>
  <c r="L95" i="11"/>
  <c r="M95" i="11" s="1"/>
  <c r="L24" i="11"/>
  <c r="M24" i="11" s="1"/>
  <c r="L57" i="11"/>
  <c r="M57" i="11" s="1"/>
  <c r="L26" i="11"/>
  <c r="M26" i="11" s="1"/>
  <c r="L16" i="11"/>
  <c r="M16" i="11" s="1"/>
  <c r="L46" i="11"/>
  <c r="M46" i="11" s="1"/>
  <c r="L72" i="11"/>
  <c r="M72" i="11" s="1"/>
  <c r="L120" i="11"/>
  <c r="M120" i="11" s="1"/>
  <c r="L154" i="11"/>
  <c r="M154" i="11" s="1"/>
  <c r="L186" i="11"/>
  <c r="M186" i="11" s="1"/>
  <c r="L218" i="11"/>
  <c r="M218" i="11" s="1"/>
  <c r="L251" i="11"/>
  <c r="M251" i="11" s="1"/>
  <c r="L283" i="11"/>
  <c r="M283" i="11" s="1"/>
  <c r="L301" i="11"/>
  <c r="M301" i="11" s="1"/>
  <c r="L235" i="11"/>
  <c r="M235" i="11" s="1"/>
  <c r="L290" i="11"/>
  <c r="M290" i="11" s="1"/>
  <c r="L231" i="11"/>
  <c r="M231" i="11" s="1"/>
  <c r="L167" i="11"/>
  <c r="M167" i="11" s="1"/>
  <c r="L59" i="11"/>
  <c r="M59" i="11" s="1"/>
  <c r="L274" i="11"/>
  <c r="M274" i="11" s="1"/>
  <c r="L258" i="11"/>
  <c r="M258" i="11" s="1"/>
  <c r="L241" i="11"/>
  <c r="M241" i="11" s="1"/>
  <c r="L225" i="11"/>
  <c r="M225" i="11" s="1"/>
  <c r="L187" i="11"/>
  <c r="M187" i="11" s="1"/>
  <c r="L21" i="11"/>
  <c r="M21" i="11" s="1"/>
  <c r="L213" i="11"/>
  <c r="M213" i="11" s="1"/>
  <c r="L197" i="11"/>
  <c r="M197" i="11" s="1"/>
  <c r="L181" i="11"/>
  <c r="M181" i="11" s="1"/>
  <c r="L165" i="11"/>
  <c r="M165" i="11" s="1"/>
  <c r="L149" i="11"/>
  <c r="M149" i="11" s="1"/>
  <c r="L190" i="11"/>
  <c r="M190" i="11" s="1"/>
  <c r="L255" i="11"/>
  <c r="M255" i="11" s="1"/>
  <c r="L303" i="11"/>
  <c r="M303" i="11" s="1"/>
  <c r="L227" i="11"/>
  <c r="M227" i="11" s="1"/>
  <c r="L223" i="11"/>
  <c r="M223" i="11" s="1"/>
  <c r="L273" i="11"/>
  <c r="M273" i="11" s="1"/>
  <c r="L240" i="11"/>
  <c r="M240" i="11" s="1"/>
  <c r="L212" i="11"/>
  <c r="M212" i="11" s="1"/>
  <c r="L180" i="11"/>
  <c r="M180" i="11" s="1"/>
  <c r="L148" i="11"/>
  <c r="M148" i="11" s="1"/>
  <c r="L94" i="11"/>
  <c r="M94" i="11" s="1"/>
  <c r="L56" i="11"/>
  <c r="M56" i="11" s="1"/>
  <c r="L133" i="11"/>
  <c r="M133" i="11" s="1"/>
  <c r="L69" i="11"/>
  <c r="M69" i="11" s="1"/>
  <c r="L11" i="11"/>
  <c r="M11" i="11" s="1"/>
  <c r="E320" i="9"/>
  <c r="M314" i="33"/>
  <c r="N314" i="33" s="1"/>
  <c r="C16" i="34"/>
  <c r="N5" i="33"/>
  <c r="E6" i="25"/>
  <c r="L131" i="11" l="1"/>
  <c r="M131" i="11" s="1"/>
  <c r="O17" i="33"/>
  <c r="O25" i="33"/>
  <c r="O33" i="33"/>
  <c r="O41" i="33"/>
  <c r="O57" i="33"/>
  <c r="O49" i="33"/>
  <c r="O14" i="33"/>
  <c r="O22" i="33"/>
  <c r="O30" i="33"/>
  <c r="O38" i="33"/>
  <c r="O46" i="33"/>
  <c r="O54" i="33"/>
  <c r="O62" i="33"/>
  <c r="O70" i="33"/>
  <c r="O78" i="33"/>
  <c r="O134" i="33"/>
  <c r="O278" i="33"/>
  <c r="O286" i="33"/>
  <c r="O294" i="33"/>
  <c r="O302" i="33"/>
  <c r="O310" i="33"/>
  <c r="O20" i="33"/>
  <c r="O36" i="33"/>
  <c r="O44" i="33"/>
  <c r="O141" i="33"/>
  <c r="O194" i="33"/>
  <c r="O269" i="33"/>
  <c r="O273" i="33"/>
  <c r="O292" i="33"/>
  <c r="O114" i="33"/>
  <c r="O125" i="33"/>
  <c r="O129" i="33"/>
  <c r="O148" i="33"/>
  <c r="O178" i="33"/>
  <c r="O189" i="33"/>
  <c r="O193" i="33"/>
  <c r="O212" i="33"/>
  <c r="O242" i="33"/>
  <c r="O253" i="33"/>
  <c r="O257" i="33"/>
  <c r="O276" i="33"/>
  <c r="O306" i="33"/>
  <c r="O130" i="33"/>
  <c r="O209" i="33"/>
  <c r="O12" i="33"/>
  <c r="O28" i="33"/>
  <c r="O52" i="33"/>
  <c r="O145" i="33"/>
  <c r="O164" i="33"/>
  <c r="O205" i="33"/>
  <c r="O228" i="33"/>
  <c r="O258" i="33"/>
  <c r="O13" i="33"/>
  <c r="O21" i="33"/>
  <c r="O29" i="33"/>
  <c r="O37" i="33"/>
  <c r="O45" i="33"/>
  <c r="O53" i="33"/>
  <c r="O124" i="33"/>
  <c r="O154" i="33"/>
  <c r="O165" i="33"/>
  <c r="O169" i="33"/>
  <c r="O188" i="33"/>
  <c r="O218" i="33"/>
  <c r="O229" i="33"/>
  <c r="O233" i="33"/>
  <c r="O252" i="33"/>
  <c r="O282" i="33"/>
  <c r="O293" i="33"/>
  <c r="O297" i="33"/>
  <c r="O61" i="33"/>
  <c r="O69" i="33"/>
  <c r="O77" i="33"/>
  <c r="O85" i="33"/>
  <c r="O93" i="33"/>
  <c r="O101" i="33"/>
  <c r="O109" i="33"/>
  <c r="O113" i="33"/>
  <c r="O100" i="33"/>
  <c r="O149" i="33"/>
  <c r="O173" i="33"/>
  <c r="O217" i="33"/>
  <c r="O301" i="33"/>
  <c r="O76" i="33"/>
  <c r="O241" i="33"/>
  <c r="O266" i="33"/>
  <c r="O290" i="33"/>
  <c r="O300" i="33"/>
  <c r="O92" i="33"/>
  <c r="O132" i="33"/>
  <c r="O305" i="33"/>
  <c r="O68" i="33"/>
  <c r="O213" i="33"/>
  <c r="O237" i="33"/>
  <c r="O281" i="33"/>
  <c r="O277" i="33"/>
  <c r="O108" i="33"/>
  <c r="O138" i="33"/>
  <c r="O162" i="33"/>
  <c r="O172" i="33"/>
  <c r="O196" i="33"/>
  <c r="O84" i="33"/>
  <c r="O153" i="33"/>
  <c r="O60" i="33"/>
  <c r="O177" i="33"/>
  <c r="O202" i="33"/>
  <c r="O226" i="33"/>
  <c r="O236" i="33"/>
  <c r="O260" i="33"/>
  <c r="O308" i="33"/>
  <c r="O231" i="33"/>
  <c r="O274" i="33"/>
  <c r="O32" i="33"/>
  <c r="O186" i="33"/>
  <c r="O200" i="33"/>
  <c r="O156" i="33"/>
  <c r="O259" i="33"/>
  <c r="O137" i="33"/>
  <c r="O256" i="33"/>
  <c r="O210" i="33"/>
  <c r="O285" i="33"/>
  <c r="O66" i="33"/>
  <c r="O18" i="33"/>
  <c r="O199" i="33"/>
  <c r="O89" i="33"/>
  <c r="O203" i="33"/>
  <c r="O79" i="33"/>
  <c r="O115" i="33"/>
  <c r="O239" i="33"/>
  <c r="O235" i="33"/>
  <c r="O107" i="33"/>
  <c r="O67" i="33"/>
  <c r="O95" i="33"/>
  <c r="O163" i="33"/>
  <c r="O265" i="33"/>
  <c r="O58" i="33"/>
  <c r="O275" i="33"/>
  <c r="O246" i="33"/>
  <c r="O94" i="33"/>
  <c r="O119" i="33"/>
  <c r="O271" i="33"/>
  <c r="O170" i="33"/>
  <c r="O263" i="33"/>
  <c r="O303" i="33"/>
  <c r="O171" i="33"/>
  <c r="O27" i="33"/>
  <c r="O289" i="33"/>
  <c r="O197" i="33"/>
  <c r="O264" i="33"/>
  <c r="O311" i="33"/>
  <c r="O181" i="33"/>
  <c r="O152" i="33"/>
  <c r="O146" i="33"/>
  <c r="O220" i="33"/>
  <c r="O122" i="33"/>
  <c r="O232" i="33"/>
  <c r="O112" i="33"/>
  <c r="O280" i="33"/>
  <c r="O56" i="33"/>
  <c r="O10" i="33"/>
  <c r="O184" i="33"/>
  <c r="O81" i="33"/>
  <c r="O142" i="33"/>
  <c r="O71" i="33"/>
  <c r="O55" i="33"/>
  <c r="O224" i="33"/>
  <c r="O223" i="33"/>
  <c r="O102" i="33"/>
  <c r="O59" i="33"/>
  <c r="O87" i="33"/>
  <c r="O51" i="33"/>
  <c r="O168" i="33"/>
  <c r="O157" i="33"/>
  <c r="O207" i="33"/>
  <c r="O65" i="33"/>
  <c r="O126" i="33"/>
  <c r="O35" i="33"/>
  <c r="O225" i="33"/>
  <c r="O98" i="33"/>
  <c r="O50" i="33"/>
  <c r="O243" i="33"/>
  <c r="O190" i="33"/>
  <c r="O279" i="33"/>
  <c r="O192" i="33"/>
  <c r="O249" i="33"/>
  <c r="O298" i="33"/>
  <c r="O176" i="33"/>
  <c r="O247" i="33"/>
  <c r="O136" i="33"/>
  <c r="O185" i="33"/>
  <c r="O117" i="33"/>
  <c r="O198" i="33"/>
  <c r="O40" i="33"/>
  <c r="O222" i="33"/>
  <c r="O24" i="33"/>
  <c r="O312" i="33"/>
  <c r="O150" i="33"/>
  <c r="O73" i="33"/>
  <c r="O139" i="33"/>
  <c r="O307" i="33"/>
  <c r="O47" i="33"/>
  <c r="O187" i="33"/>
  <c r="O208" i="33"/>
  <c r="O99" i="33"/>
  <c r="O6" i="33"/>
  <c r="O63" i="33"/>
  <c r="O43" i="33"/>
  <c r="O221" i="33"/>
  <c r="O121" i="33"/>
  <c r="O234" i="33"/>
  <c r="O147" i="33"/>
  <c r="O39" i="33"/>
  <c r="O254" i="33"/>
  <c r="O216" i="33"/>
  <c r="O133" i="33"/>
  <c r="O309" i="33"/>
  <c r="O155" i="33"/>
  <c r="O9" i="33"/>
  <c r="O299" i="33"/>
  <c r="O291" i="33"/>
  <c r="O250" i="33"/>
  <c r="O104" i="33"/>
  <c r="O158" i="33"/>
  <c r="O215" i="33"/>
  <c r="O88" i="33"/>
  <c r="O219" i="33"/>
  <c r="O82" i="33"/>
  <c r="O296" i="33"/>
  <c r="O304" i="33"/>
  <c r="O116" i="33"/>
  <c r="O127" i="33"/>
  <c r="O140" i="33"/>
  <c r="O42" i="33"/>
  <c r="O248" i="33"/>
  <c r="O120" i="33"/>
  <c r="O270" i="33"/>
  <c r="O288" i="33"/>
  <c r="O182" i="33"/>
  <c r="O23" i="33"/>
  <c r="O287" i="33"/>
  <c r="O159" i="33"/>
  <c r="O86" i="33"/>
  <c r="O160" i="33"/>
  <c r="O230" i="33"/>
  <c r="O19" i="33"/>
  <c r="O245" i="33"/>
  <c r="O90" i="33"/>
  <c r="O143" i="33"/>
  <c r="O201" i="33"/>
  <c r="O74" i="33"/>
  <c r="O204" i="33"/>
  <c r="O48" i="33"/>
  <c r="O262" i="33"/>
  <c r="O295" i="33"/>
  <c r="O106" i="33"/>
  <c r="O72" i="33"/>
  <c r="O131" i="33"/>
  <c r="O34" i="33"/>
  <c r="O214" i="33"/>
  <c r="O105" i="33"/>
  <c r="O267" i="33"/>
  <c r="O175" i="33"/>
  <c r="O179" i="33"/>
  <c r="O15" i="33"/>
  <c r="O272" i="33"/>
  <c r="O144" i="33"/>
  <c r="O83" i="33"/>
  <c r="O123" i="33"/>
  <c r="O227" i="33"/>
  <c r="O11" i="33"/>
  <c r="O240" i="33"/>
  <c r="O284" i="33"/>
  <c r="O64" i="33"/>
  <c r="O191" i="33"/>
  <c r="O283" i="33"/>
  <c r="O195" i="33"/>
  <c r="O16" i="33"/>
  <c r="O151" i="33"/>
  <c r="O261" i="33"/>
  <c r="O268" i="33"/>
  <c r="O313" i="33"/>
  <c r="O80" i="33"/>
  <c r="O26" i="33"/>
  <c r="O211" i="33"/>
  <c r="O97" i="33"/>
  <c r="O206" i="33"/>
  <c r="O103" i="33"/>
  <c r="O118" i="33"/>
  <c r="O251" i="33"/>
  <c r="O238" i="33"/>
  <c r="O110" i="33"/>
  <c r="O75" i="33"/>
  <c r="O111" i="33"/>
  <c r="O166" i="33"/>
  <c r="O244" i="33"/>
  <c r="O167" i="33"/>
  <c r="O161" i="33"/>
  <c r="O183" i="33"/>
  <c r="O128" i="33"/>
  <c r="O8" i="33"/>
  <c r="O174" i="33"/>
  <c r="O7" i="33"/>
  <c r="O255" i="33"/>
  <c r="O96" i="33"/>
  <c r="O180" i="33"/>
  <c r="O135" i="33"/>
  <c r="O31" i="33"/>
  <c r="O91" i="33"/>
  <c r="C325" i="34"/>
  <c r="F15" i="34" s="1"/>
  <c r="E315" i="25"/>
  <c r="L130" i="11"/>
  <c r="M130" i="11" s="1"/>
  <c r="O5" i="33"/>
  <c r="L5" i="11"/>
  <c r="M315" i="49"/>
  <c r="N5" i="49" s="1"/>
  <c r="N244" i="49" s="1"/>
  <c r="O244" i="49" s="1"/>
  <c r="M244" i="25" s="1"/>
  <c r="D314" i="37"/>
  <c r="E4" i="9"/>
  <c r="D4" i="9" s="1"/>
  <c r="G40" i="40"/>
  <c r="G42" i="40" s="1"/>
  <c r="C314" i="11"/>
  <c r="D5" i="37"/>
  <c r="E38" i="37" l="1"/>
  <c r="F38" i="37" s="1"/>
  <c r="E41" i="37"/>
  <c r="F41" i="37" s="1"/>
  <c r="E47" i="37"/>
  <c r="F47" i="37" s="1"/>
  <c r="E70" i="37"/>
  <c r="F70" i="37" s="1"/>
  <c r="E73" i="37"/>
  <c r="F73" i="37" s="1"/>
  <c r="E8" i="37"/>
  <c r="F8" i="37" s="1"/>
  <c r="E11" i="37"/>
  <c r="F11" i="37" s="1"/>
  <c r="E14" i="37"/>
  <c r="F14" i="37" s="1"/>
  <c r="E20" i="37"/>
  <c r="F20" i="37" s="1"/>
  <c r="E44" i="37"/>
  <c r="F44" i="37" s="1"/>
  <c r="E52" i="37"/>
  <c r="F52" i="37" s="1"/>
  <c r="E26" i="37"/>
  <c r="F26" i="37" s="1"/>
  <c r="E29" i="37"/>
  <c r="F29" i="37" s="1"/>
  <c r="E34" i="37"/>
  <c r="F34" i="37" s="1"/>
  <c r="E37" i="37"/>
  <c r="F37" i="37" s="1"/>
  <c r="E40" i="37"/>
  <c r="F40" i="37" s="1"/>
  <c r="E58" i="37"/>
  <c r="F58" i="37" s="1"/>
  <c r="E61" i="37"/>
  <c r="F61" i="37" s="1"/>
  <c r="E66" i="37"/>
  <c r="F66" i="37" s="1"/>
  <c r="E69" i="37"/>
  <c r="F69" i="37" s="1"/>
  <c r="E28" i="37"/>
  <c r="F28" i="37" s="1"/>
  <c r="E36" i="37"/>
  <c r="F36" i="37" s="1"/>
  <c r="E60" i="37"/>
  <c r="F60" i="37" s="1"/>
  <c r="E68" i="37"/>
  <c r="F68" i="37" s="1"/>
  <c r="E10" i="37"/>
  <c r="F10" i="37" s="1"/>
  <c r="E25" i="37"/>
  <c r="F25" i="37" s="1"/>
  <c r="E50" i="37"/>
  <c r="F50" i="37" s="1"/>
  <c r="E74" i="37"/>
  <c r="F74" i="37" s="1"/>
  <c r="E91" i="37"/>
  <c r="F91" i="37" s="1"/>
  <c r="E106" i="37"/>
  <c r="F106" i="37" s="1"/>
  <c r="E116" i="37"/>
  <c r="F116" i="37" s="1"/>
  <c r="E119" i="37"/>
  <c r="F119" i="37" s="1"/>
  <c r="E122" i="37"/>
  <c r="F122" i="37" s="1"/>
  <c r="E140" i="37"/>
  <c r="F140" i="37" s="1"/>
  <c r="E143" i="37"/>
  <c r="F143" i="37" s="1"/>
  <c r="E172" i="37"/>
  <c r="F172" i="37" s="1"/>
  <c r="E176" i="37"/>
  <c r="F176" i="37" s="1"/>
  <c r="E179" i="37"/>
  <c r="F179" i="37" s="1"/>
  <c r="E186" i="37"/>
  <c r="F186" i="37" s="1"/>
  <c r="E189" i="37"/>
  <c r="F189" i="37" s="1"/>
  <c r="E196" i="37"/>
  <c r="F196" i="37" s="1"/>
  <c r="E203" i="37"/>
  <c r="F203" i="37" s="1"/>
  <c r="E207" i="37"/>
  <c r="F207" i="37" s="1"/>
  <c r="E214" i="37"/>
  <c r="F214" i="37" s="1"/>
  <c r="E231" i="37"/>
  <c r="F231" i="37" s="1"/>
  <c r="E238" i="37"/>
  <c r="F238" i="37" s="1"/>
  <c r="E245" i="37"/>
  <c r="F245" i="37" s="1"/>
  <c r="E252" i="37"/>
  <c r="F252" i="37" s="1"/>
  <c r="E15" i="37"/>
  <c r="F15" i="37" s="1"/>
  <c r="E22" i="37"/>
  <c r="F22" i="37" s="1"/>
  <c r="E43" i="37"/>
  <c r="F43" i="37" s="1"/>
  <c r="E79" i="37"/>
  <c r="F79" i="37" s="1"/>
  <c r="E101" i="37"/>
  <c r="F101" i="37" s="1"/>
  <c r="E111" i="37"/>
  <c r="F111" i="37" s="1"/>
  <c r="E125" i="37"/>
  <c r="F125" i="37" s="1"/>
  <c r="E131" i="37"/>
  <c r="F131" i="37" s="1"/>
  <c r="E159" i="37"/>
  <c r="F159" i="37" s="1"/>
  <c r="E162" i="37"/>
  <c r="F162" i="37" s="1"/>
  <c r="E175" i="37"/>
  <c r="F175" i="37" s="1"/>
  <c r="E182" i="37"/>
  <c r="F182" i="37" s="1"/>
  <c r="E199" i="37"/>
  <c r="F199" i="37" s="1"/>
  <c r="E210" i="37"/>
  <c r="F210" i="37" s="1"/>
  <c r="E224" i="37"/>
  <c r="F224" i="37" s="1"/>
  <c r="E227" i="37"/>
  <c r="F227" i="37" s="1"/>
  <c r="E234" i="37"/>
  <c r="F234" i="37" s="1"/>
  <c r="E12" i="37"/>
  <c r="F12" i="37" s="1"/>
  <c r="E27" i="37"/>
  <c r="F27" i="37" s="1"/>
  <c r="E45" i="37"/>
  <c r="F45" i="37" s="1"/>
  <c r="E57" i="37"/>
  <c r="F57" i="37" s="1"/>
  <c r="E76" i="37"/>
  <c r="F76" i="37" s="1"/>
  <c r="E84" i="37"/>
  <c r="F84" i="37" s="1"/>
  <c r="E93" i="37"/>
  <c r="F93" i="37" s="1"/>
  <c r="E98" i="37"/>
  <c r="F98" i="37" s="1"/>
  <c r="E108" i="37"/>
  <c r="F108" i="37" s="1"/>
  <c r="E139" i="37"/>
  <c r="F139" i="37" s="1"/>
  <c r="E149" i="37"/>
  <c r="F149" i="37" s="1"/>
  <c r="E155" i="37"/>
  <c r="F155" i="37" s="1"/>
  <c r="E165" i="37"/>
  <c r="F165" i="37" s="1"/>
  <c r="E171" i="37"/>
  <c r="F171" i="37" s="1"/>
  <c r="E178" i="37"/>
  <c r="F178" i="37" s="1"/>
  <c r="E188" i="37"/>
  <c r="F188" i="37" s="1"/>
  <c r="E192" i="37"/>
  <c r="F192" i="37" s="1"/>
  <c r="E195" i="37"/>
  <c r="F195" i="37" s="1"/>
  <c r="E206" i="37"/>
  <c r="F206" i="37" s="1"/>
  <c r="E213" i="37"/>
  <c r="F213" i="37" s="1"/>
  <c r="E220" i="37"/>
  <c r="F220" i="37" s="1"/>
  <c r="E230" i="37"/>
  <c r="F230" i="37" s="1"/>
  <c r="E35" i="37"/>
  <c r="F35" i="37" s="1"/>
  <c r="E51" i="37"/>
  <c r="F51" i="37" s="1"/>
  <c r="E56" i="37"/>
  <c r="F56" i="37" s="1"/>
  <c r="E63" i="37"/>
  <c r="F63" i="37" s="1"/>
  <c r="E72" i="37"/>
  <c r="F72" i="37" s="1"/>
  <c r="E75" i="37"/>
  <c r="F75" i="37" s="1"/>
  <c r="E86" i="37"/>
  <c r="F86" i="37" s="1"/>
  <c r="E89" i="37"/>
  <c r="F89" i="37" s="1"/>
  <c r="E92" i="37"/>
  <c r="F92" i="37" s="1"/>
  <c r="E97" i="37"/>
  <c r="F97" i="37" s="1"/>
  <c r="E107" i="37"/>
  <c r="F107" i="37" s="1"/>
  <c r="E123" i="37"/>
  <c r="F123" i="37" s="1"/>
  <c r="E138" i="37"/>
  <c r="F138" i="37" s="1"/>
  <c r="E141" i="37"/>
  <c r="F141" i="37" s="1"/>
  <c r="E147" i="37"/>
  <c r="F147" i="37" s="1"/>
  <c r="E151" i="37"/>
  <c r="F151" i="37" s="1"/>
  <c r="E154" i="37"/>
  <c r="F154" i="37" s="1"/>
  <c r="E157" i="37"/>
  <c r="F157" i="37" s="1"/>
  <c r="E170" i="37"/>
  <c r="F170" i="37" s="1"/>
  <c r="E187" i="37"/>
  <c r="F187" i="37" s="1"/>
  <c r="E190" i="37"/>
  <c r="F190" i="37" s="1"/>
  <c r="E194" i="37"/>
  <c r="F194" i="37" s="1"/>
  <c r="E205" i="37"/>
  <c r="F205" i="37" s="1"/>
  <c r="E212" i="37"/>
  <c r="F212" i="37" s="1"/>
  <c r="E222" i="37"/>
  <c r="F222" i="37" s="1"/>
  <c r="E236" i="37"/>
  <c r="F236" i="37" s="1"/>
  <c r="E243" i="37"/>
  <c r="F243" i="37" s="1"/>
  <c r="E18" i="37"/>
  <c r="F18" i="37" s="1"/>
  <c r="E42" i="37"/>
  <c r="F42" i="37" s="1"/>
  <c r="E59" i="37"/>
  <c r="F59" i="37" s="1"/>
  <c r="E83" i="37"/>
  <c r="F83" i="37" s="1"/>
  <c r="E88" i="37"/>
  <c r="F88" i="37" s="1"/>
  <c r="E95" i="37"/>
  <c r="F95" i="37" s="1"/>
  <c r="E115" i="37"/>
  <c r="F115" i="37" s="1"/>
  <c r="E129" i="37"/>
  <c r="F129" i="37" s="1"/>
  <c r="E158" i="37"/>
  <c r="F158" i="37" s="1"/>
  <c r="E180" i="37"/>
  <c r="F180" i="37" s="1"/>
  <c r="E208" i="37"/>
  <c r="F208" i="37" s="1"/>
  <c r="E215" i="37"/>
  <c r="F215" i="37" s="1"/>
  <c r="E223" i="37"/>
  <c r="F223" i="37" s="1"/>
  <c r="E228" i="37"/>
  <c r="F228" i="37" s="1"/>
  <c r="E247" i="37"/>
  <c r="F247" i="37" s="1"/>
  <c r="E250" i="37"/>
  <c r="F250" i="37" s="1"/>
  <c r="E253" i="37"/>
  <c r="F253" i="37" s="1"/>
  <c r="E260" i="37"/>
  <c r="F260" i="37" s="1"/>
  <c r="E267" i="37"/>
  <c r="F267" i="37" s="1"/>
  <c r="E277" i="37"/>
  <c r="F277" i="37" s="1"/>
  <c r="E287" i="37"/>
  <c r="F287" i="37" s="1"/>
  <c r="E293" i="37"/>
  <c r="F293" i="37" s="1"/>
  <c r="E303" i="37"/>
  <c r="F303" i="37" s="1"/>
  <c r="E306" i="37"/>
  <c r="F306" i="37" s="1"/>
  <c r="E313" i="37"/>
  <c r="F313" i="37" s="1"/>
  <c r="E31" i="37"/>
  <c r="F31" i="37" s="1"/>
  <c r="E99" i="37"/>
  <c r="F99" i="37" s="1"/>
  <c r="E117" i="37"/>
  <c r="F117" i="37" s="1"/>
  <c r="E124" i="37"/>
  <c r="F124" i="37" s="1"/>
  <c r="E148" i="37"/>
  <c r="F148" i="37" s="1"/>
  <c r="E168" i="37"/>
  <c r="F168" i="37" s="1"/>
  <c r="E200" i="37"/>
  <c r="F200" i="37" s="1"/>
  <c r="E233" i="37"/>
  <c r="F233" i="37" s="1"/>
  <c r="E244" i="37"/>
  <c r="F244" i="37" s="1"/>
  <c r="E263" i="37"/>
  <c r="F263" i="37" s="1"/>
  <c r="E270" i="37"/>
  <c r="F270" i="37" s="1"/>
  <c r="E280" i="37"/>
  <c r="F280" i="37" s="1"/>
  <c r="E283" i="37"/>
  <c r="F283" i="37" s="1"/>
  <c r="E296" i="37"/>
  <c r="F296" i="37" s="1"/>
  <c r="E299" i="37"/>
  <c r="F299" i="37" s="1"/>
  <c r="E309" i="37"/>
  <c r="F309" i="37" s="1"/>
  <c r="E54" i="37"/>
  <c r="F54" i="37" s="1"/>
  <c r="E67" i="37"/>
  <c r="F67" i="37" s="1"/>
  <c r="E85" i="37"/>
  <c r="F85" i="37" s="1"/>
  <c r="E90" i="37"/>
  <c r="F90" i="37" s="1"/>
  <c r="E110" i="37"/>
  <c r="F110" i="37" s="1"/>
  <c r="E136" i="37"/>
  <c r="F136" i="37" s="1"/>
  <c r="E197" i="37"/>
  <c r="F197" i="37" s="1"/>
  <c r="E241" i="37"/>
  <c r="F241" i="37" s="1"/>
  <c r="E256" i="37"/>
  <c r="F256" i="37" s="1"/>
  <c r="E259" i="37"/>
  <c r="F259" i="37" s="1"/>
  <c r="E266" i="37"/>
  <c r="F266" i="37" s="1"/>
  <c r="E273" i="37"/>
  <c r="F273" i="37" s="1"/>
  <c r="E286" i="37"/>
  <c r="F286" i="37" s="1"/>
  <c r="E302" i="37"/>
  <c r="F302" i="37" s="1"/>
  <c r="E312" i="37"/>
  <c r="F312" i="37" s="1"/>
  <c r="E19" i="37"/>
  <c r="F19" i="37" s="1"/>
  <c r="E53" i="37"/>
  <c r="F53" i="37" s="1"/>
  <c r="E77" i="37"/>
  <c r="F77" i="37" s="1"/>
  <c r="E109" i="37"/>
  <c r="F109" i="37" s="1"/>
  <c r="E130" i="37"/>
  <c r="F130" i="37" s="1"/>
  <c r="E142" i="37"/>
  <c r="F142" i="37" s="1"/>
  <c r="E181" i="37"/>
  <c r="F181" i="37" s="1"/>
  <c r="E204" i="37"/>
  <c r="F204" i="37" s="1"/>
  <c r="E209" i="37"/>
  <c r="F209" i="37" s="1"/>
  <c r="E216" i="37"/>
  <c r="F216" i="37" s="1"/>
  <c r="E229" i="37"/>
  <c r="F229" i="37" s="1"/>
  <c r="E261" i="37"/>
  <c r="F261" i="37" s="1"/>
  <c r="E265" i="37"/>
  <c r="F265" i="37" s="1"/>
  <c r="E275" i="37"/>
  <c r="F275" i="37" s="1"/>
  <c r="E288" i="37"/>
  <c r="F288" i="37" s="1"/>
  <c r="E291" i="37"/>
  <c r="F291" i="37" s="1"/>
  <c r="E304" i="37"/>
  <c r="F304" i="37" s="1"/>
  <c r="E311" i="37"/>
  <c r="F311" i="37" s="1"/>
  <c r="E82" i="37"/>
  <c r="F82" i="37" s="1"/>
  <c r="E133" i="37"/>
  <c r="F133" i="37" s="1"/>
  <c r="E173" i="37"/>
  <c r="F173" i="37" s="1"/>
  <c r="E191" i="37"/>
  <c r="F191" i="37" s="1"/>
  <c r="E198" i="37"/>
  <c r="F198" i="37" s="1"/>
  <c r="E211" i="37"/>
  <c r="F211" i="37" s="1"/>
  <c r="E232" i="37"/>
  <c r="F232" i="37" s="1"/>
  <c r="E264" i="37"/>
  <c r="F264" i="37" s="1"/>
  <c r="E274" i="37"/>
  <c r="F274" i="37" s="1"/>
  <c r="E279" i="37"/>
  <c r="F279" i="37" s="1"/>
  <c r="E284" i="37"/>
  <c r="F284" i="37" s="1"/>
  <c r="E294" i="37"/>
  <c r="F294" i="37" s="1"/>
  <c r="E103" i="37"/>
  <c r="F103" i="37" s="1"/>
  <c r="E150" i="37"/>
  <c r="F150" i="37" s="1"/>
  <c r="E161" i="37"/>
  <c r="F161" i="37" s="1"/>
  <c r="E166" i="37"/>
  <c r="F166" i="37" s="1"/>
  <c r="E242" i="37"/>
  <c r="F242" i="37" s="1"/>
  <c r="E251" i="37"/>
  <c r="F251" i="37" s="1"/>
  <c r="E271" i="37"/>
  <c r="F271" i="37" s="1"/>
  <c r="E94" i="37"/>
  <c r="F94" i="37" s="1"/>
  <c r="E126" i="37"/>
  <c r="F126" i="37" s="1"/>
  <c r="E156" i="37"/>
  <c r="F156" i="37" s="1"/>
  <c r="E163" i="37"/>
  <c r="F163" i="37" s="1"/>
  <c r="E184" i="37"/>
  <c r="F184" i="37" s="1"/>
  <c r="E193" i="37"/>
  <c r="F193" i="37" s="1"/>
  <c r="E202" i="37"/>
  <c r="F202" i="37" s="1"/>
  <c r="E239" i="37"/>
  <c r="F239" i="37" s="1"/>
  <c r="E258" i="37"/>
  <c r="F258" i="37" s="1"/>
  <c r="E268" i="37"/>
  <c r="F268" i="37" s="1"/>
  <c r="E276" i="37"/>
  <c r="F276" i="37" s="1"/>
  <c r="E301" i="37"/>
  <c r="F301" i="37" s="1"/>
  <c r="E24" i="37"/>
  <c r="F24" i="37" s="1"/>
  <c r="E174" i="37"/>
  <c r="F174" i="37" s="1"/>
  <c r="E183" i="37"/>
  <c r="F183" i="37" s="1"/>
  <c r="E201" i="37"/>
  <c r="F201" i="37" s="1"/>
  <c r="E221" i="37"/>
  <c r="F221" i="37" s="1"/>
  <c r="E285" i="37"/>
  <c r="F285" i="37" s="1"/>
  <c r="E290" i="37"/>
  <c r="F290" i="37" s="1"/>
  <c r="E295" i="37"/>
  <c r="F295" i="37" s="1"/>
  <c r="E300" i="37"/>
  <c r="F300" i="37" s="1"/>
  <c r="E226" i="37"/>
  <c r="F226" i="37" s="1"/>
  <c r="E248" i="37"/>
  <c r="F248" i="37" s="1"/>
  <c r="E292" i="37"/>
  <c r="F292" i="37" s="1"/>
  <c r="E305" i="37"/>
  <c r="F305" i="37" s="1"/>
  <c r="E132" i="37"/>
  <c r="F132" i="37" s="1"/>
  <c r="E219" i="37"/>
  <c r="F219" i="37" s="1"/>
  <c r="E254" i="37"/>
  <c r="F254" i="37" s="1"/>
  <c r="E278" i="37"/>
  <c r="F278" i="37" s="1"/>
  <c r="E307" i="37"/>
  <c r="F307" i="37" s="1"/>
  <c r="E167" i="37"/>
  <c r="F167" i="37" s="1"/>
  <c r="E269" i="37"/>
  <c r="F269" i="37" s="1"/>
  <c r="E298" i="37"/>
  <c r="F298" i="37" s="1"/>
  <c r="E102" i="37"/>
  <c r="F102" i="37" s="1"/>
  <c r="E164" i="37"/>
  <c r="F164" i="37" s="1"/>
  <c r="E240" i="37"/>
  <c r="F240" i="37" s="1"/>
  <c r="E246" i="37"/>
  <c r="F246" i="37" s="1"/>
  <c r="E218" i="37"/>
  <c r="F218" i="37" s="1"/>
  <c r="E237" i="37"/>
  <c r="F237" i="37" s="1"/>
  <c r="E310" i="37"/>
  <c r="F310" i="37" s="1"/>
  <c r="E13" i="37"/>
  <c r="F13" i="37" s="1"/>
  <c r="E100" i="37"/>
  <c r="F100" i="37" s="1"/>
  <c r="E262" i="37"/>
  <c r="F262" i="37" s="1"/>
  <c r="E21" i="37"/>
  <c r="F21" i="37" s="1"/>
  <c r="E114" i="37"/>
  <c r="F114" i="37" s="1"/>
  <c r="E272" i="37"/>
  <c r="F272" i="37" s="1"/>
  <c r="E120" i="37"/>
  <c r="F120" i="37" s="1"/>
  <c r="E235" i="37"/>
  <c r="F235" i="37" s="1"/>
  <c r="E146" i="37"/>
  <c r="F146" i="37" s="1"/>
  <c r="E255" i="37"/>
  <c r="F255" i="37" s="1"/>
  <c r="E308" i="37"/>
  <c r="F308" i="37" s="1"/>
  <c r="E282" i="37"/>
  <c r="F282" i="37" s="1"/>
  <c r="E289" i="37"/>
  <c r="F289" i="37" s="1"/>
  <c r="E71" i="37"/>
  <c r="F71" i="37" s="1"/>
  <c r="E6" i="37"/>
  <c r="F6" i="37" s="1"/>
  <c r="E78" i="37"/>
  <c r="F78" i="37" s="1"/>
  <c r="E217" i="37"/>
  <c r="F217" i="37" s="1"/>
  <c r="E257" i="37"/>
  <c r="F257" i="37" s="1"/>
  <c r="E128" i="37"/>
  <c r="F128" i="37" s="1"/>
  <c r="E49" i="37"/>
  <c r="F49" i="37" s="1"/>
  <c r="E39" i="37"/>
  <c r="F39" i="37" s="1"/>
  <c r="E105" i="37"/>
  <c r="F105" i="37" s="1"/>
  <c r="E17" i="37"/>
  <c r="F17" i="37" s="1"/>
  <c r="E113" i="37"/>
  <c r="F113" i="37" s="1"/>
  <c r="E135" i="37"/>
  <c r="F135" i="37" s="1"/>
  <c r="E81" i="37"/>
  <c r="F81" i="37" s="1"/>
  <c r="E16" i="37"/>
  <c r="F16" i="37" s="1"/>
  <c r="E30" i="37"/>
  <c r="F30" i="37" s="1"/>
  <c r="E160" i="37"/>
  <c r="F160" i="37" s="1"/>
  <c r="E137" i="37"/>
  <c r="F137" i="37" s="1"/>
  <c r="E112" i="37"/>
  <c r="F112" i="37" s="1"/>
  <c r="E118" i="37"/>
  <c r="F118" i="37" s="1"/>
  <c r="E33" i="37"/>
  <c r="F33" i="37" s="1"/>
  <c r="E87" i="37"/>
  <c r="F87" i="37" s="1"/>
  <c r="E169" i="37"/>
  <c r="F169" i="37" s="1"/>
  <c r="E7" i="37"/>
  <c r="F7" i="37" s="1"/>
  <c r="E48" i="37"/>
  <c r="F48" i="37" s="1"/>
  <c r="E96" i="37"/>
  <c r="F96" i="37" s="1"/>
  <c r="E80" i="37"/>
  <c r="F80" i="37" s="1"/>
  <c r="E32" i="37"/>
  <c r="F32" i="37" s="1"/>
  <c r="E121" i="37"/>
  <c r="F121" i="37" s="1"/>
  <c r="E185" i="37"/>
  <c r="F185" i="37" s="1"/>
  <c r="E249" i="37"/>
  <c r="F249" i="37" s="1"/>
  <c r="E127" i="37"/>
  <c r="F127" i="37" s="1"/>
  <c r="E104" i="37"/>
  <c r="F104" i="37" s="1"/>
  <c r="E9" i="37"/>
  <c r="F9" i="37" s="1"/>
  <c r="E281" i="37"/>
  <c r="F281" i="37" s="1"/>
  <c r="E225" i="37"/>
  <c r="F225" i="37" s="1"/>
  <c r="E177" i="37"/>
  <c r="F177" i="37" s="1"/>
  <c r="E64" i="37"/>
  <c r="F64" i="37" s="1"/>
  <c r="E144" i="37"/>
  <c r="F144" i="37" s="1"/>
  <c r="E145" i="37"/>
  <c r="F145" i="37" s="1"/>
  <c r="E134" i="37"/>
  <c r="F134" i="37" s="1"/>
  <c r="E153" i="37"/>
  <c r="F153" i="37" s="1"/>
  <c r="E297" i="37"/>
  <c r="F297" i="37" s="1"/>
  <c r="E65" i="37"/>
  <c r="F65" i="37" s="1"/>
  <c r="E46" i="37"/>
  <c r="F46" i="37" s="1"/>
  <c r="E62" i="37"/>
  <c r="F62" i="37" s="1"/>
  <c r="E23" i="37"/>
  <c r="F23" i="37" s="1"/>
  <c r="E55" i="37"/>
  <c r="F55" i="37" s="1"/>
  <c r="E152" i="37"/>
  <c r="F152" i="37" s="1"/>
  <c r="D6" i="34"/>
  <c r="D8" i="34"/>
  <c r="D5" i="34"/>
  <c r="N219" i="49"/>
  <c r="O219" i="49" s="1"/>
  <c r="M219" i="25" s="1"/>
  <c r="N170" i="49"/>
  <c r="O170" i="49" s="1"/>
  <c r="M170" i="25" s="1"/>
  <c r="N8" i="49"/>
  <c r="N7" i="49"/>
  <c r="N6" i="49"/>
  <c r="N105" i="49"/>
  <c r="O105" i="49" s="1"/>
  <c r="M105" i="25" s="1"/>
  <c r="E5" i="37"/>
  <c r="F5" i="37" s="1"/>
  <c r="I5" i="37" s="1"/>
  <c r="D5" i="9"/>
  <c r="D7" i="9"/>
  <c r="D6" i="9"/>
  <c r="I314" i="11"/>
  <c r="H314" i="11"/>
  <c r="M5" i="11"/>
  <c r="L314" i="11"/>
  <c r="K40" i="40" l="1"/>
  <c r="I114" i="37"/>
  <c r="G125" i="34" s="1"/>
  <c r="H125" i="34" s="1"/>
  <c r="I177" i="37"/>
  <c r="G188" i="34" s="1"/>
  <c r="H188" i="34" s="1"/>
  <c r="I197" i="37"/>
  <c r="G208" i="34" s="1"/>
  <c r="H208" i="34" s="1"/>
  <c r="I215" i="37"/>
  <c r="G226" i="34" s="1"/>
  <c r="H226" i="34" s="1"/>
  <c r="I88" i="37"/>
  <c r="G99" i="34" s="1"/>
  <c r="H99" i="34" s="1"/>
  <c r="I121" i="37"/>
  <c r="G132" i="34" s="1"/>
  <c r="H132" i="34" s="1"/>
  <c r="I199" i="37"/>
  <c r="G210" i="34" s="1"/>
  <c r="H210" i="34" s="1"/>
  <c r="I252" i="37"/>
  <c r="G263" i="34" s="1"/>
  <c r="H263" i="34" s="1"/>
  <c r="I120" i="37"/>
  <c r="G131" i="34" s="1"/>
  <c r="H131" i="34" s="1"/>
  <c r="I182" i="37"/>
  <c r="G193" i="34" s="1"/>
  <c r="H193" i="34" s="1"/>
  <c r="I303" i="37"/>
  <c r="G314" i="34" s="1"/>
  <c r="H314" i="34" s="1"/>
  <c r="I271" i="37"/>
  <c r="G282" i="34" s="1"/>
  <c r="H282" i="34" s="1"/>
  <c r="I255" i="37"/>
  <c r="G266" i="34" s="1"/>
  <c r="H266" i="34" s="1"/>
  <c r="I239" i="37"/>
  <c r="G250" i="34" s="1"/>
  <c r="H250" i="34" s="1"/>
  <c r="I224" i="37"/>
  <c r="G235" i="34" s="1"/>
  <c r="H235" i="34" s="1"/>
  <c r="I119" i="37"/>
  <c r="G130" i="34" s="1"/>
  <c r="H130" i="34" s="1"/>
  <c r="I176" i="37"/>
  <c r="G187" i="34" s="1"/>
  <c r="H187" i="34" s="1"/>
  <c r="I160" i="37"/>
  <c r="G171" i="34" s="1"/>
  <c r="H171" i="34" s="1"/>
  <c r="I144" i="37"/>
  <c r="G155" i="34" s="1"/>
  <c r="H155" i="34" s="1"/>
  <c r="I128" i="37"/>
  <c r="G139" i="34" s="1"/>
  <c r="H139" i="34" s="1"/>
  <c r="I101" i="37"/>
  <c r="G112" i="34" s="1"/>
  <c r="H112" i="34" s="1"/>
  <c r="I83" i="37"/>
  <c r="G94" i="34" s="1"/>
  <c r="H94" i="34" s="1"/>
  <c r="I67" i="37"/>
  <c r="G78" i="34" s="1"/>
  <c r="H78" i="34" s="1"/>
  <c r="I51" i="37"/>
  <c r="G62" i="34" s="1"/>
  <c r="H62" i="34" s="1"/>
  <c r="I31" i="37"/>
  <c r="G42" i="34" s="1"/>
  <c r="H42" i="34" s="1"/>
  <c r="I15" i="37"/>
  <c r="G26" i="34" s="1"/>
  <c r="H26" i="34" s="1"/>
  <c r="I131" i="37"/>
  <c r="G142" i="34" s="1"/>
  <c r="H142" i="34" s="1"/>
  <c r="I258" i="37"/>
  <c r="G269" i="34" s="1"/>
  <c r="H269" i="34" s="1"/>
  <c r="I201" i="37"/>
  <c r="G212" i="34" s="1"/>
  <c r="H212" i="34" s="1"/>
  <c r="I6" i="37"/>
  <c r="G17" i="34" s="1"/>
  <c r="H17" i="34" s="1"/>
  <c r="I189" i="37"/>
  <c r="G200" i="34" s="1"/>
  <c r="H200" i="34" s="1"/>
  <c r="I296" i="37"/>
  <c r="G307" i="34" s="1"/>
  <c r="H307" i="34" s="1"/>
  <c r="I306" i="37"/>
  <c r="G317" i="34" s="1"/>
  <c r="H317" i="34" s="1"/>
  <c r="I209" i="37"/>
  <c r="G220" i="34" s="1"/>
  <c r="H220" i="34" s="1"/>
  <c r="I238" i="37"/>
  <c r="G249" i="34" s="1"/>
  <c r="H249" i="34" s="1"/>
  <c r="I52" i="37"/>
  <c r="G63" i="34" s="1"/>
  <c r="H63" i="34" s="1"/>
  <c r="I18" i="37"/>
  <c r="G29" i="34" s="1"/>
  <c r="H29" i="34" s="1"/>
  <c r="I78" i="37"/>
  <c r="G89" i="34" s="1"/>
  <c r="H89" i="34" s="1"/>
  <c r="I151" i="37"/>
  <c r="G162" i="34" s="1"/>
  <c r="H162" i="34" s="1"/>
  <c r="I179" i="37"/>
  <c r="G190" i="34" s="1"/>
  <c r="H190" i="34" s="1"/>
  <c r="I38" i="37"/>
  <c r="G49" i="34" s="1"/>
  <c r="H49" i="34" s="1"/>
  <c r="I286" i="37"/>
  <c r="G297" i="34" s="1"/>
  <c r="H297" i="34" s="1"/>
  <c r="I58" i="37"/>
  <c r="G69" i="34" s="1"/>
  <c r="H69" i="34" s="1"/>
  <c r="I133" i="37"/>
  <c r="G144" i="34" s="1"/>
  <c r="H144" i="34" s="1"/>
  <c r="I163" i="37"/>
  <c r="G174" i="34" s="1"/>
  <c r="H174" i="34" s="1"/>
  <c r="I106" i="37"/>
  <c r="G117" i="34" s="1"/>
  <c r="H117" i="34" s="1"/>
  <c r="I198" i="37"/>
  <c r="G209" i="34" s="1"/>
  <c r="H209" i="34" s="1"/>
  <c r="I180" i="37"/>
  <c r="G191" i="34" s="1"/>
  <c r="H191" i="34" s="1"/>
  <c r="I301" i="37"/>
  <c r="G312" i="34" s="1"/>
  <c r="H312" i="34" s="1"/>
  <c r="I285" i="37"/>
  <c r="G296" i="34" s="1"/>
  <c r="H296" i="34" s="1"/>
  <c r="I269" i="37"/>
  <c r="G280" i="34" s="1"/>
  <c r="H280" i="34" s="1"/>
  <c r="I253" i="37"/>
  <c r="G264" i="34" s="1"/>
  <c r="H264" i="34" s="1"/>
  <c r="I237" i="37"/>
  <c r="G248" i="34" s="1"/>
  <c r="H248" i="34" s="1"/>
  <c r="I220" i="37"/>
  <c r="G231" i="34" s="1"/>
  <c r="H231" i="34" s="1"/>
  <c r="I115" i="37"/>
  <c r="G126" i="34" s="1"/>
  <c r="H126" i="34" s="1"/>
  <c r="I174" i="37"/>
  <c r="G185" i="34" s="1"/>
  <c r="H185" i="34" s="1"/>
  <c r="I158" i="37"/>
  <c r="G169" i="34" s="1"/>
  <c r="H169" i="34" s="1"/>
  <c r="I142" i="37"/>
  <c r="G153" i="34" s="1"/>
  <c r="H153" i="34" s="1"/>
  <c r="I126" i="37"/>
  <c r="G137" i="34" s="1"/>
  <c r="H137" i="34" s="1"/>
  <c r="I97" i="37"/>
  <c r="G108" i="34" s="1"/>
  <c r="H108" i="34" s="1"/>
  <c r="I81" i="37"/>
  <c r="G92" i="34" s="1"/>
  <c r="H92" i="34" s="1"/>
  <c r="I65" i="37"/>
  <c r="G76" i="34" s="1"/>
  <c r="H76" i="34" s="1"/>
  <c r="I49" i="37"/>
  <c r="G60" i="34" s="1"/>
  <c r="H60" i="34" s="1"/>
  <c r="I29" i="37"/>
  <c r="G40" i="34" s="1"/>
  <c r="H40" i="34" s="1"/>
  <c r="I13" i="37"/>
  <c r="G24" i="34" s="1"/>
  <c r="H24" i="34" s="1"/>
  <c r="I112" i="37"/>
  <c r="G123" i="34" s="1"/>
  <c r="H123" i="34" s="1"/>
  <c r="I26" i="37"/>
  <c r="G37" i="34" s="1"/>
  <c r="H37" i="34" s="1"/>
  <c r="I56" i="37"/>
  <c r="G67" i="34" s="1"/>
  <c r="H67" i="34" s="1"/>
  <c r="I230" i="37"/>
  <c r="G241" i="34" s="1"/>
  <c r="H241" i="34" s="1"/>
  <c r="I302" i="37"/>
  <c r="G313" i="34" s="1"/>
  <c r="H313" i="34" s="1"/>
  <c r="I300" i="37"/>
  <c r="G311" i="34" s="1"/>
  <c r="H311" i="34" s="1"/>
  <c r="I219" i="37"/>
  <c r="G230" i="34" s="1"/>
  <c r="H230" i="34" s="1"/>
  <c r="I221" i="37"/>
  <c r="G232" i="34" s="1"/>
  <c r="H232" i="34" s="1"/>
  <c r="I270" i="37"/>
  <c r="G281" i="34" s="1"/>
  <c r="H281" i="34" s="1"/>
  <c r="I260" i="37"/>
  <c r="G271" i="34" s="1"/>
  <c r="H271" i="34" s="1"/>
  <c r="I223" i="37"/>
  <c r="G234" i="34" s="1"/>
  <c r="H234" i="34" s="1"/>
  <c r="I116" i="37"/>
  <c r="G127" i="34" s="1"/>
  <c r="H127" i="34" s="1"/>
  <c r="I34" i="37"/>
  <c r="G45" i="34" s="1"/>
  <c r="H45" i="34" s="1"/>
  <c r="I24" i="37"/>
  <c r="G35" i="34" s="1"/>
  <c r="H35" i="34" s="1"/>
  <c r="I304" i="37"/>
  <c r="G315" i="34" s="1"/>
  <c r="H315" i="34" s="1"/>
  <c r="I22" i="37"/>
  <c r="G33" i="34" s="1"/>
  <c r="H33" i="34" s="1"/>
  <c r="I94" i="37"/>
  <c r="G105" i="34" s="1"/>
  <c r="H105" i="34" s="1"/>
  <c r="I66" i="37"/>
  <c r="G77" i="34" s="1"/>
  <c r="H77" i="34" s="1"/>
  <c r="I8" i="37"/>
  <c r="G19" i="34" s="1"/>
  <c r="H19" i="34" s="1"/>
  <c r="I288" i="37"/>
  <c r="G299" i="34" s="1"/>
  <c r="H299" i="34" s="1"/>
  <c r="I194" i="37"/>
  <c r="G205" i="34" s="1"/>
  <c r="H205" i="34" s="1"/>
  <c r="I178" i="37"/>
  <c r="G189" i="34" s="1"/>
  <c r="H189" i="34" s="1"/>
  <c r="I299" i="37"/>
  <c r="G310" i="34" s="1"/>
  <c r="H310" i="34" s="1"/>
  <c r="I283" i="37"/>
  <c r="G294" i="34" s="1"/>
  <c r="H294" i="34" s="1"/>
  <c r="I267" i="37"/>
  <c r="G278" i="34" s="1"/>
  <c r="H278" i="34" s="1"/>
  <c r="I251" i="37"/>
  <c r="G262" i="34" s="1"/>
  <c r="H262" i="34" s="1"/>
  <c r="I235" i="37"/>
  <c r="G246" i="34" s="1"/>
  <c r="H246" i="34" s="1"/>
  <c r="I216" i="37"/>
  <c r="G227" i="34" s="1"/>
  <c r="H227" i="34" s="1"/>
  <c r="I111" i="37"/>
  <c r="G122" i="34" s="1"/>
  <c r="H122" i="34" s="1"/>
  <c r="I172" i="37"/>
  <c r="G183" i="34" s="1"/>
  <c r="H183" i="34" s="1"/>
  <c r="I156" i="37"/>
  <c r="G167" i="34" s="1"/>
  <c r="H167" i="34" s="1"/>
  <c r="I140" i="37"/>
  <c r="G151" i="34" s="1"/>
  <c r="H151" i="34" s="1"/>
  <c r="I124" i="37"/>
  <c r="G135" i="34" s="1"/>
  <c r="H135" i="34" s="1"/>
  <c r="I95" i="37"/>
  <c r="G106" i="34" s="1"/>
  <c r="H106" i="34" s="1"/>
  <c r="I79" i="37"/>
  <c r="G90" i="34" s="1"/>
  <c r="H90" i="34" s="1"/>
  <c r="I63" i="37"/>
  <c r="G74" i="34" s="1"/>
  <c r="H74" i="34" s="1"/>
  <c r="I45" i="37"/>
  <c r="G56" i="34" s="1"/>
  <c r="H56" i="34" s="1"/>
  <c r="I27" i="37"/>
  <c r="G38" i="34" s="1"/>
  <c r="H38" i="34" s="1"/>
  <c r="I11" i="37"/>
  <c r="G22" i="34" s="1"/>
  <c r="H22" i="34" s="1"/>
  <c r="I62" i="37"/>
  <c r="G73" i="34" s="1"/>
  <c r="H73" i="34" s="1"/>
  <c r="I262" i="37"/>
  <c r="G273" i="34" s="1"/>
  <c r="H273" i="34" s="1"/>
  <c r="I310" i="37"/>
  <c r="G321" i="34" s="1"/>
  <c r="H321" i="34" s="1"/>
  <c r="I48" i="37"/>
  <c r="G59" i="34" s="1"/>
  <c r="H59" i="34" s="1"/>
  <c r="I292" i="37"/>
  <c r="G303" i="34" s="1"/>
  <c r="H303" i="34" s="1"/>
  <c r="I192" i="37"/>
  <c r="G203" i="34" s="1"/>
  <c r="H203" i="34" s="1"/>
  <c r="I297" i="37"/>
  <c r="G308" i="34" s="1"/>
  <c r="H308" i="34" s="1"/>
  <c r="I265" i="37"/>
  <c r="G276" i="34" s="1"/>
  <c r="H276" i="34" s="1"/>
  <c r="I233" i="37"/>
  <c r="G244" i="34" s="1"/>
  <c r="H244" i="34" s="1"/>
  <c r="I170" i="37"/>
  <c r="G181" i="34" s="1"/>
  <c r="H181" i="34" s="1"/>
  <c r="I138" i="37"/>
  <c r="G149" i="34" s="1"/>
  <c r="H149" i="34" s="1"/>
  <c r="I77" i="37"/>
  <c r="G88" i="34" s="1"/>
  <c r="H88" i="34" s="1"/>
  <c r="I25" i="37"/>
  <c r="G36" i="34" s="1"/>
  <c r="H36" i="34" s="1"/>
  <c r="I165" i="37"/>
  <c r="G176" i="34" s="1"/>
  <c r="H176" i="34" s="1"/>
  <c r="I44" i="37"/>
  <c r="G55" i="34" s="1"/>
  <c r="H55" i="34" s="1"/>
  <c r="I16" i="37"/>
  <c r="G27" i="34" s="1"/>
  <c r="H27" i="34" s="1"/>
  <c r="I195" i="37"/>
  <c r="G206" i="34" s="1"/>
  <c r="H206" i="34" s="1"/>
  <c r="I185" i="37"/>
  <c r="G196" i="34" s="1"/>
  <c r="H196" i="34" s="1"/>
  <c r="I92" i="37"/>
  <c r="G103" i="34" s="1"/>
  <c r="H103" i="34" s="1"/>
  <c r="I75" i="37"/>
  <c r="G86" i="34" s="1"/>
  <c r="H86" i="34" s="1"/>
  <c r="I40" i="37"/>
  <c r="G51" i="34" s="1"/>
  <c r="H51" i="34" s="1"/>
  <c r="I137" i="37"/>
  <c r="G148" i="34" s="1"/>
  <c r="H148" i="34" s="1"/>
  <c r="I183" i="37"/>
  <c r="G194" i="34" s="1"/>
  <c r="H194" i="34" s="1"/>
  <c r="I211" i="37"/>
  <c r="G222" i="34" s="1"/>
  <c r="H222" i="34" s="1"/>
  <c r="I90" i="37"/>
  <c r="G101" i="34" s="1"/>
  <c r="H101" i="34" s="1"/>
  <c r="I191" i="37"/>
  <c r="G202" i="34" s="1"/>
  <c r="H202" i="34" s="1"/>
  <c r="I96" i="37"/>
  <c r="G107" i="34" s="1"/>
  <c r="H107" i="34" s="1"/>
  <c r="I12" i="37"/>
  <c r="G23" i="34" s="1"/>
  <c r="H23" i="34" s="1"/>
  <c r="I129" i="37"/>
  <c r="G140" i="34" s="1"/>
  <c r="H140" i="34" s="1"/>
  <c r="I108" i="37"/>
  <c r="G119" i="34" s="1"/>
  <c r="H119" i="34" s="1"/>
  <c r="I274" i="37"/>
  <c r="G285" i="34" s="1"/>
  <c r="H285" i="34" s="1"/>
  <c r="I217" i="37"/>
  <c r="G228" i="34" s="1"/>
  <c r="H228" i="34" s="1"/>
  <c r="I64" i="37"/>
  <c r="G75" i="34" s="1"/>
  <c r="H75" i="34" s="1"/>
  <c r="I14" i="37"/>
  <c r="G25" i="34" s="1"/>
  <c r="H25" i="34" s="1"/>
  <c r="I308" i="37"/>
  <c r="G319" i="34" s="1"/>
  <c r="H319" i="34" s="1"/>
  <c r="I264" i="37"/>
  <c r="G275" i="34" s="1"/>
  <c r="H275" i="34" s="1"/>
  <c r="I193" i="37"/>
  <c r="G204" i="34" s="1"/>
  <c r="H204" i="34" s="1"/>
  <c r="I32" i="37"/>
  <c r="G43" i="34" s="1"/>
  <c r="H43" i="34" s="1"/>
  <c r="I205" i="37"/>
  <c r="G216" i="34" s="1"/>
  <c r="H216" i="34" s="1"/>
  <c r="I214" i="37"/>
  <c r="G225" i="34" s="1"/>
  <c r="H225" i="34" s="1"/>
  <c r="I188" i="37"/>
  <c r="G199" i="34" s="1"/>
  <c r="H199" i="34" s="1"/>
  <c r="I309" i="37"/>
  <c r="G320" i="34" s="1"/>
  <c r="H320" i="34" s="1"/>
  <c r="I293" i="37"/>
  <c r="G304" i="34" s="1"/>
  <c r="H304" i="34" s="1"/>
  <c r="I277" i="37"/>
  <c r="G288" i="34" s="1"/>
  <c r="H288" i="34" s="1"/>
  <c r="I261" i="37"/>
  <c r="G272" i="34" s="1"/>
  <c r="H272" i="34" s="1"/>
  <c r="I245" i="37"/>
  <c r="G256" i="34" s="1"/>
  <c r="H256" i="34" s="1"/>
  <c r="I229" i="37"/>
  <c r="G240" i="34" s="1"/>
  <c r="H240" i="34" s="1"/>
  <c r="I204" i="37"/>
  <c r="G215" i="34" s="1"/>
  <c r="H215" i="34" s="1"/>
  <c r="I99" i="37"/>
  <c r="G110" i="34" s="1"/>
  <c r="H110" i="34" s="1"/>
  <c r="I166" i="37"/>
  <c r="G177" i="34" s="1"/>
  <c r="H177" i="34" s="1"/>
  <c r="I150" i="37"/>
  <c r="G161" i="34" s="1"/>
  <c r="H161" i="34" s="1"/>
  <c r="I134" i="37"/>
  <c r="G145" i="34" s="1"/>
  <c r="H145" i="34" s="1"/>
  <c r="I113" i="37"/>
  <c r="G124" i="34" s="1"/>
  <c r="H124" i="34" s="1"/>
  <c r="I89" i="37"/>
  <c r="G100" i="34" s="1"/>
  <c r="H100" i="34" s="1"/>
  <c r="I73" i="37"/>
  <c r="G84" i="34" s="1"/>
  <c r="H84" i="34" s="1"/>
  <c r="I57" i="37"/>
  <c r="G68" i="34" s="1"/>
  <c r="H68" i="34" s="1"/>
  <c r="I37" i="37"/>
  <c r="G48" i="34" s="1"/>
  <c r="H48" i="34" s="1"/>
  <c r="I21" i="37"/>
  <c r="G32" i="34" s="1"/>
  <c r="H32" i="34" s="1"/>
  <c r="I226" i="37"/>
  <c r="G237" i="34" s="1"/>
  <c r="H237" i="34" s="1"/>
  <c r="I100" i="37"/>
  <c r="G111" i="34" s="1"/>
  <c r="H111" i="34" s="1"/>
  <c r="I60" i="37"/>
  <c r="G71" i="34" s="1"/>
  <c r="H71" i="34" s="1"/>
  <c r="I173" i="37"/>
  <c r="G184" i="34" s="1"/>
  <c r="H184" i="34" s="1"/>
  <c r="I248" i="37"/>
  <c r="G259" i="34" s="1"/>
  <c r="H259" i="34" s="1"/>
  <c r="I202" i="37"/>
  <c r="G213" i="34" s="1"/>
  <c r="H213" i="34" s="1"/>
  <c r="I240" i="37"/>
  <c r="G251" i="34" s="1"/>
  <c r="H251" i="34" s="1"/>
  <c r="I149" i="37"/>
  <c r="G160" i="34" s="1"/>
  <c r="H160" i="34" s="1"/>
  <c r="I298" i="37"/>
  <c r="G309" i="34" s="1"/>
  <c r="H309" i="34" s="1"/>
  <c r="I86" i="37"/>
  <c r="G97" i="34" s="1"/>
  <c r="H97" i="34" s="1"/>
  <c r="I281" i="37"/>
  <c r="G292" i="34" s="1"/>
  <c r="H292" i="34" s="1"/>
  <c r="I212" i="37"/>
  <c r="G223" i="34" s="1"/>
  <c r="H223" i="34" s="1"/>
  <c r="I122" i="37"/>
  <c r="G133" i="34" s="1"/>
  <c r="H133" i="34" s="1"/>
  <c r="I9" i="37"/>
  <c r="G20" i="34" s="1"/>
  <c r="H20" i="34" s="1"/>
  <c r="I203" i="37"/>
  <c r="G214" i="34" s="1"/>
  <c r="H214" i="34" s="1"/>
  <c r="I50" i="37"/>
  <c r="G61" i="34" s="1"/>
  <c r="H61" i="34" s="1"/>
  <c r="I167" i="37"/>
  <c r="G178" i="34" s="1"/>
  <c r="H178" i="34" s="1"/>
  <c r="I242" i="37"/>
  <c r="G253" i="34" s="1"/>
  <c r="H253" i="34" s="1"/>
  <c r="I157" i="37"/>
  <c r="G168" i="34" s="1"/>
  <c r="H168" i="34" s="1"/>
  <c r="I312" i="37"/>
  <c r="G323" i="34" s="1"/>
  <c r="H323" i="34" s="1"/>
  <c r="I282" i="37"/>
  <c r="G293" i="34" s="1"/>
  <c r="H293" i="34" s="1"/>
  <c r="I161" i="37"/>
  <c r="G172" i="34" s="1"/>
  <c r="H172" i="34" s="1"/>
  <c r="I141" i="37"/>
  <c r="G152" i="34" s="1"/>
  <c r="H152" i="34" s="1"/>
  <c r="I190" i="37"/>
  <c r="G201" i="34" s="1"/>
  <c r="H201" i="34" s="1"/>
  <c r="I311" i="37"/>
  <c r="G322" i="34" s="1"/>
  <c r="H322" i="34" s="1"/>
  <c r="I295" i="37"/>
  <c r="G306" i="34" s="1"/>
  <c r="H306" i="34" s="1"/>
  <c r="I279" i="37"/>
  <c r="G290" i="34" s="1"/>
  <c r="H290" i="34" s="1"/>
  <c r="I263" i="37"/>
  <c r="G274" i="34" s="1"/>
  <c r="H274" i="34" s="1"/>
  <c r="I247" i="37"/>
  <c r="G258" i="34" s="1"/>
  <c r="H258" i="34" s="1"/>
  <c r="I231" i="37"/>
  <c r="G242" i="34" s="1"/>
  <c r="H242" i="34" s="1"/>
  <c r="I208" i="37"/>
  <c r="G219" i="34" s="1"/>
  <c r="H219" i="34" s="1"/>
  <c r="I103" i="37"/>
  <c r="G114" i="34" s="1"/>
  <c r="H114" i="34" s="1"/>
  <c r="I168" i="37"/>
  <c r="G179" i="34" s="1"/>
  <c r="H179" i="34" s="1"/>
  <c r="I152" i="37"/>
  <c r="G163" i="34" s="1"/>
  <c r="H163" i="34" s="1"/>
  <c r="I136" i="37"/>
  <c r="G147" i="34" s="1"/>
  <c r="H147" i="34" s="1"/>
  <c r="I117" i="37"/>
  <c r="G128" i="34" s="1"/>
  <c r="H128" i="34" s="1"/>
  <c r="I91" i="37"/>
  <c r="G102" i="34" s="1"/>
  <c r="H102" i="34" s="1"/>
  <c r="I59" i="37"/>
  <c r="G70" i="34" s="1"/>
  <c r="H70" i="34" s="1"/>
  <c r="I39" i="37"/>
  <c r="G50" i="34" s="1"/>
  <c r="H50" i="34" s="1"/>
  <c r="I7" i="37"/>
  <c r="G18" i="34" s="1"/>
  <c r="H18" i="34" s="1"/>
  <c r="I28" i="37"/>
  <c r="G39" i="34" s="1"/>
  <c r="H39" i="34" s="1"/>
  <c r="I76" i="37"/>
  <c r="G87" i="34" s="1"/>
  <c r="H87" i="34" s="1"/>
  <c r="I234" i="37"/>
  <c r="G245" i="34" s="1"/>
  <c r="H245" i="34" s="1"/>
  <c r="I46" i="37"/>
  <c r="G57" i="34" s="1"/>
  <c r="H57" i="34" s="1"/>
  <c r="I104" i="37"/>
  <c r="G115" i="34" s="1"/>
  <c r="H115" i="34" s="1"/>
  <c r="I42" i="37"/>
  <c r="G53" i="34" s="1"/>
  <c r="H53" i="34" s="1"/>
  <c r="I102" i="37"/>
  <c r="G113" i="34" s="1"/>
  <c r="H113" i="34" s="1"/>
  <c r="I232" i="37"/>
  <c r="G243" i="34" s="1"/>
  <c r="H243" i="34" s="1"/>
  <c r="I36" i="37"/>
  <c r="G47" i="34" s="1"/>
  <c r="H47" i="34" s="1"/>
  <c r="I246" i="37"/>
  <c r="G257" i="34" s="1"/>
  <c r="H257" i="34" s="1"/>
  <c r="I207" i="37"/>
  <c r="G218" i="34" s="1"/>
  <c r="H218" i="34" s="1"/>
  <c r="I280" i="37"/>
  <c r="G291" i="34" s="1"/>
  <c r="H291" i="34" s="1"/>
  <c r="I268" i="37"/>
  <c r="G279" i="34" s="1"/>
  <c r="H279" i="34" s="1"/>
  <c r="I30" i="37"/>
  <c r="G41" i="34" s="1"/>
  <c r="H41" i="34" s="1"/>
  <c r="I254" i="37"/>
  <c r="G265" i="34" s="1"/>
  <c r="H265" i="34" s="1"/>
  <c r="I256" i="37"/>
  <c r="G267" i="34" s="1"/>
  <c r="H267" i="34" s="1"/>
  <c r="I210" i="37"/>
  <c r="G221" i="34" s="1"/>
  <c r="H221" i="34" s="1"/>
  <c r="I186" i="37"/>
  <c r="G197" i="34" s="1"/>
  <c r="H197" i="34" s="1"/>
  <c r="I307" i="37"/>
  <c r="G318" i="34" s="1"/>
  <c r="H318" i="34" s="1"/>
  <c r="I291" i="37"/>
  <c r="G302" i="34" s="1"/>
  <c r="H302" i="34" s="1"/>
  <c r="I275" i="37"/>
  <c r="G286" i="34" s="1"/>
  <c r="H286" i="34" s="1"/>
  <c r="I259" i="37"/>
  <c r="G270" i="34" s="1"/>
  <c r="H270" i="34" s="1"/>
  <c r="I243" i="37"/>
  <c r="G254" i="34" s="1"/>
  <c r="H254" i="34" s="1"/>
  <c r="I227" i="37"/>
  <c r="G238" i="34" s="1"/>
  <c r="H238" i="34" s="1"/>
  <c r="I200" i="37"/>
  <c r="G211" i="34" s="1"/>
  <c r="H211" i="34" s="1"/>
  <c r="I47" i="37"/>
  <c r="G58" i="34" s="1"/>
  <c r="H58" i="34" s="1"/>
  <c r="I164" i="37"/>
  <c r="G175" i="34" s="1"/>
  <c r="H175" i="34" s="1"/>
  <c r="I148" i="37"/>
  <c r="G159" i="34" s="1"/>
  <c r="H159" i="34" s="1"/>
  <c r="I132" i="37"/>
  <c r="G143" i="34" s="1"/>
  <c r="H143" i="34" s="1"/>
  <c r="I109" i="37"/>
  <c r="G120" i="34" s="1"/>
  <c r="H120" i="34" s="1"/>
  <c r="I87" i="37"/>
  <c r="G98" i="34" s="1"/>
  <c r="H98" i="34" s="1"/>
  <c r="I71" i="37"/>
  <c r="G82" i="34" s="1"/>
  <c r="H82" i="34" s="1"/>
  <c r="I55" i="37"/>
  <c r="G66" i="34" s="1"/>
  <c r="H66" i="34" s="1"/>
  <c r="I35" i="37"/>
  <c r="G46" i="34" s="1"/>
  <c r="H46" i="34" s="1"/>
  <c r="I19" i="37"/>
  <c r="G30" i="34" s="1"/>
  <c r="H30" i="34" s="1"/>
  <c r="I169" i="37"/>
  <c r="G180" i="34" s="1"/>
  <c r="H180" i="34" s="1"/>
  <c r="I284" i="37"/>
  <c r="G295" i="34" s="1"/>
  <c r="H295" i="34" s="1"/>
  <c r="I123" i="37"/>
  <c r="G134" i="34" s="1"/>
  <c r="H134" i="34" s="1"/>
  <c r="I171" i="37"/>
  <c r="G182" i="34" s="1"/>
  <c r="H182" i="34" s="1"/>
  <c r="I181" i="37"/>
  <c r="G192" i="34" s="1"/>
  <c r="H192" i="34" s="1"/>
  <c r="I287" i="37"/>
  <c r="G298" i="34" s="1"/>
  <c r="H298" i="34" s="1"/>
  <c r="I290" i="37"/>
  <c r="G301" i="34" s="1"/>
  <c r="H301" i="34" s="1"/>
  <c r="I159" i="37"/>
  <c r="G170" i="34" s="1"/>
  <c r="H170" i="34" s="1"/>
  <c r="I155" i="37"/>
  <c r="G166" i="34" s="1"/>
  <c r="H166" i="34" s="1"/>
  <c r="I125" i="37"/>
  <c r="G136" i="34" s="1"/>
  <c r="H136" i="34" s="1"/>
  <c r="I153" i="37"/>
  <c r="G164" i="34" s="1"/>
  <c r="H164" i="34" s="1"/>
  <c r="I82" i="37"/>
  <c r="G93" i="34" s="1"/>
  <c r="H93" i="34" s="1"/>
  <c r="I250" i="37"/>
  <c r="G261" i="34" s="1"/>
  <c r="H261" i="34" s="1"/>
  <c r="I84" i="37"/>
  <c r="G95" i="34" s="1"/>
  <c r="H95" i="34" s="1"/>
  <c r="I98" i="37"/>
  <c r="G109" i="34" s="1"/>
  <c r="H109" i="34" s="1"/>
  <c r="I118" i="37"/>
  <c r="G129" i="34" s="1"/>
  <c r="H129" i="34" s="1"/>
  <c r="I222" i="37"/>
  <c r="G233" i="34" s="1"/>
  <c r="H233" i="34" s="1"/>
  <c r="I313" i="37"/>
  <c r="G324" i="34" s="1"/>
  <c r="H324" i="34" s="1"/>
  <c r="I249" i="37"/>
  <c r="G260" i="34" s="1"/>
  <c r="H260" i="34" s="1"/>
  <c r="I107" i="37"/>
  <c r="G118" i="34" s="1"/>
  <c r="H118" i="34" s="1"/>
  <c r="I154" i="37"/>
  <c r="G165" i="34" s="1"/>
  <c r="H165" i="34" s="1"/>
  <c r="I93" i="37"/>
  <c r="G104" i="34" s="1"/>
  <c r="H104" i="34" s="1"/>
  <c r="I61" i="37"/>
  <c r="G72" i="34" s="1"/>
  <c r="H72" i="34" s="1"/>
  <c r="I41" i="37"/>
  <c r="G52" i="34" s="1"/>
  <c r="H52" i="34" s="1"/>
  <c r="I244" i="37"/>
  <c r="G255" i="34" s="1"/>
  <c r="H255" i="34" s="1"/>
  <c r="I213" i="37"/>
  <c r="G224" i="34" s="1"/>
  <c r="H224" i="34" s="1"/>
  <c r="I74" i="37"/>
  <c r="G85" i="34" s="1"/>
  <c r="H85" i="34" s="1"/>
  <c r="I139" i="37"/>
  <c r="G150" i="34" s="1"/>
  <c r="H150" i="34" s="1"/>
  <c r="I218" i="37"/>
  <c r="G229" i="34" s="1"/>
  <c r="H229" i="34" s="1"/>
  <c r="I23" i="37"/>
  <c r="G34" i="34" s="1"/>
  <c r="H34" i="34" s="1"/>
  <c r="I228" i="37"/>
  <c r="G239" i="34" s="1"/>
  <c r="H239" i="34" s="1"/>
  <c r="I110" i="37"/>
  <c r="G121" i="34" s="1"/>
  <c r="H121" i="34" s="1"/>
  <c r="I147" i="37"/>
  <c r="G158" i="34" s="1"/>
  <c r="H158" i="34" s="1"/>
  <c r="I143" i="37"/>
  <c r="G154" i="34" s="1"/>
  <c r="H154" i="34" s="1"/>
  <c r="I135" i="37"/>
  <c r="G146" i="34" s="1"/>
  <c r="H146" i="34" s="1"/>
  <c r="I72" i="37"/>
  <c r="G83" i="34" s="1"/>
  <c r="H83" i="34" s="1"/>
  <c r="I80" i="37"/>
  <c r="G91" i="34" s="1"/>
  <c r="H91" i="34" s="1"/>
  <c r="I276" i="37"/>
  <c r="G287" i="34" s="1"/>
  <c r="H287" i="34" s="1"/>
  <c r="I266" i="37"/>
  <c r="G277" i="34" s="1"/>
  <c r="H277" i="34" s="1"/>
  <c r="I145" i="37"/>
  <c r="G156" i="34" s="1"/>
  <c r="H156" i="34" s="1"/>
  <c r="I54" i="37"/>
  <c r="G65" i="34" s="1"/>
  <c r="H65" i="34" s="1"/>
  <c r="I68" i="37"/>
  <c r="G79" i="34" s="1"/>
  <c r="H79" i="34" s="1"/>
  <c r="I127" i="37"/>
  <c r="G138" i="34" s="1"/>
  <c r="H138" i="34" s="1"/>
  <c r="I236" i="37"/>
  <c r="G247" i="34" s="1"/>
  <c r="H247" i="34" s="1"/>
  <c r="I294" i="37"/>
  <c r="G305" i="34" s="1"/>
  <c r="H305" i="34" s="1"/>
  <c r="I278" i="37"/>
  <c r="G289" i="34" s="1"/>
  <c r="H289" i="34" s="1"/>
  <c r="I20" i="37"/>
  <c r="G31" i="34" s="1"/>
  <c r="H31" i="34" s="1"/>
  <c r="I70" i="37"/>
  <c r="G81" i="34" s="1"/>
  <c r="H81" i="34" s="1"/>
  <c r="I187" i="37"/>
  <c r="G198" i="34" s="1"/>
  <c r="H198" i="34" s="1"/>
  <c r="I272" i="37"/>
  <c r="G283" i="34" s="1"/>
  <c r="H283" i="34" s="1"/>
  <c r="I10" i="37"/>
  <c r="G21" i="34" s="1"/>
  <c r="H21" i="34" s="1"/>
  <c r="I175" i="37"/>
  <c r="G186" i="34" s="1"/>
  <c r="H186" i="34" s="1"/>
  <c r="I206" i="37"/>
  <c r="G217" i="34" s="1"/>
  <c r="H217" i="34" s="1"/>
  <c r="I184" i="37"/>
  <c r="G195" i="34" s="1"/>
  <c r="H195" i="34" s="1"/>
  <c r="I305" i="37"/>
  <c r="G316" i="34" s="1"/>
  <c r="H316" i="34" s="1"/>
  <c r="I289" i="37"/>
  <c r="G300" i="34" s="1"/>
  <c r="H300" i="34" s="1"/>
  <c r="I273" i="37"/>
  <c r="G284" i="34" s="1"/>
  <c r="H284" i="34" s="1"/>
  <c r="I257" i="37"/>
  <c r="G268" i="34" s="1"/>
  <c r="H268" i="34" s="1"/>
  <c r="I241" i="37"/>
  <c r="G252" i="34" s="1"/>
  <c r="H252" i="34" s="1"/>
  <c r="I225" i="37"/>
  <c r="G236" i="34" s="1"/>
  <c r="H236" i="34" s="1"/>
  <c r="I196" i="37"/>
  <c r="G207" i="34" s="1"/>
  <c r="H207" i="34" s="1"/>
  <c r="I43" i="37"/>
  <c r="G54" i="34" s="1"/>
  <c r="H54" i="34" s="1"/>
  <c r="I162" i="37"/>
  <c r="G173" i="34" s="1"/>
  <c r="H173" i="34" s="1"/>
  <c r="I146" i="37"/>
  <c r="G157" i="34" s="1"/>
  <c r="H157" i="34" s="1"/>
  <c r="I130" i="37"/>
  <c r="G141" i="34" s="1"/>
  <c r="H141" i="34" s="1"/>
  <c r="I105" i="37"/>
  <c r="G116" i="34" s="1"/>
  <c r="H116" i="34" s="1"/>
  <c r="I85" i="37"/>
  <c r="G96" i="34" s="1"/>
  <c r="H96" i="34" s="1"/>
  <c r="I69" i="37"/>
  <c r="G80" i="34" s="1"/>
  <c r="H80" i="34" s="1"/>
  <c r="I53" i="37"/>
  <c r="G64" i="34" s="1"/>
  <c r="H64" i="34" s="1"/>
  <c r="I33" i="37"/>
  <c r="G44" i="34" s="1"/>
  <c r="H44" i="34" s="1"/>
  <c r="I17" i="37"/>
  <c r="G28" i="34" s="1"/>
  <c r="H28" i="34" s="1"/>
  <c r="M314" i="11"/>
  <c r="F10" i="9"/>
  <c r="N256" i="49"/>
  <c r="O256" i="49" s="1"/>
  <c r="M256" i="25" s="1"/>
  <c r="N301" i="49"/>
  <c r="O301" i="49" s="1"/>
  <c r="M301" i="25" s="1"/>
  <c r="N15" i="49"/>
  <c r="O15" i="49" s="1"/>
  <c r="M15" i="25" s="1"/>
  <c r="N58" i="49"/>
  <c r="O58" i="49" s="1"/>
  <c r="M58" i="25" s="1"/>
  <c r="N113" i="49"/>
  <c r="O113" i="49" s="1"/>
  <c r="M113" i="25" s="1"/>
  <c r="N75" i="49"/>
  <c r="O75" i="49" s="1"/>
  <c r="M75" i="25" s="1"/>
  <c r="N210" i="49"/>
  <c r="O210" i="49" s="1"/>
  <c r="M210" i="25" s="1"/>
  <c r="N40" i="49"/>
  <c r="O40" i="49" s="1"/>
  <c r="M40" i="25" s="1"/>
  <c r="N188" i="49"/>
  <c r="O188" i="49" s="1"/>
  <c r="M188" i="25" s="1"/>
  <c r="N300" i="49"/>
  <c r="O300" i="49" s="1"/>
  <c r="M300" i="25" s="1"/>
  <c r="N179" i="49"/>
  <c r="O179" i="49" s="1"/>
  <c r="M179" i="25" s="1"/>
  <c r="N288" i="49"/>
  <c r="O288" i="49" s="1"/>
  <c r="M288" i="25" s="1"/>
  <c r="N273" i="49"/>
  <c r="O273" i="49" s="1"/>
  <c r="M273" i="25" s="1"/>
  <c r="N35" i="49"/>
  <c r="O35" i="49" s="1"/>
  <c r="M35" i="25" s="1"/>
  <c r="N76" i="49"/>
  <c r="O76" i="49" s="1"/>
  <c r="M76" i="25" s="1"/>
  <c r="N245" i="49"/>
  <c r="O245" i="49" s="1"/>
  <c r="M245" i="25" s="1"/>
  <c r="N183" i="49"/>
  <c r="O183" i="49" s="1"/>
  <c r="M183" i="25" s="1"/>
  <c r="O7" i="49"/>
  <c r="M7" i="25" s="1"/>
  <c r="N177" i="49"/>
  <c r="O177" i="49" s="1"/>
  <c r="M177" i="25" s="1"/>
  <c r="N17" i="49"/>
  <c r="O17" i="49" s="1"/>
  <c r="M17" i="25" s="1"/>
  <c r="N124" i="49"/>
  <c r="O124" i="49" s="1"/>
  <c r="M124" i="25" s="1"/>
  <c r="N192" i="49"/>
  <c r="O192" i="49" s="1"/>
  <c r="M192" i="25" s="1"/>
  <c r="N110" i="49"/>
  <c r="O110" i="49" s="1"/>
  <c r="M110" i="25" s="1"/>
  <c r="N100" i="49"/>
  <c r="O100" i="49" s="1"/>
  <c r="M100" i="25" s="1"/>
  <c r="N66" i="49"/>
  <c r="O66" i="49" s="1"/>
  <c r="M66" i="25" s="1"/>
  <c r="N241" i="49"/>
  <c r="O241" i="49" s="1"/>
  <c r="M241" i="25" s="1"/>
  <c r="N22" i="49"/>
  <c r="O22" i="49" s="1"/>
  <c r="M22" i="25" s="1"/>
  <c r="N59" i="49"/>
  <c r="O59" i="49" s="1"/>
  <c r="M59" i="25" s="1"/>
  <c r="N181" i="49"/>
  <c r="O181" i="49" s="1"/>
  <c r="M181" i="25" s="1"/>
  <c r="N214" i="49"/>
  <c r="O214" i="49" s="1"/>
  <c r="M214" i="25" s="1"/>
  <c r="N270" i="49"/>
  <c r="O270" i="49" s="1"/>
  <c r="M270" i="25" s="1"/>
  <c r="N129" i="49"/>
  <c r="O129" i="49" s="1"/>
  <c r="M129" i="25" s="1"/>
  <c r="N99" i="49"/>
  <c r="O99" i="49" s="1"/>
  <c r="M99" i="25" s="1"/>
  <c r="N74" i="49"/>
  <c r="O74" i="49" s="1"/>
  <c r="M74" i="25" s="1"/>
  <c r="N225" i="49"/>
  <c r="O225" i="49" s="1"/>
  <c r="M225" i="25" s="1"/>
  <c r="N290" i="49"/>
  <c r="O290" i="49" s="1"/>
  <c r="M290" i="25" s="1"/>
  <c r="N18" i="49"/>
  <c r="O18" i="49" s="1"/>
  <c r="M18" i="25" s="1"/>
  <c r="N312" i="49"/>
  <c r="O312" i="49" s="1"/>
  <c r="M312" i="25" s="1"/>
  <c r="N156" i="49"/>
  <c r="O156" i="49" s="1"/>
  <c r="M156" i="25" s="1"/>
  <c r="N292" i="49"/>
  <c r="O292" i="49" s="1"/>
  <c r="M292" i="25" s="1"/>
  <c r="N291" i="49"/>
  <c r="O291" i="49" s="1"/>
  <c r="M291" i="25" s="1"/>
  <c r="N33" i="49"/>
  <c r="O33" i="49" s="1"/>
  <c r="M33" i="25" s="1"/>
  <c r="N97" i="49"/>
  <c r="O97" i="49" s="1"/>
  <c r="M97" i="25" s="1"/>
  <c r="N272" i="49"/>
  <c r="O272" i="49" s="1"/>
  <c r="M272" i="25" s="1"/>
  <c r="N118" i="49"/>
  <c r="O118" i="49" s="1"/>
  <c r="M118" i="25" s="1"/>
  <c r="N62" i="49"/>
  <c r="O62" i="49" s="1"/>
  <c r="M62" i="25" s="1"/>
  <c r="N178" i="49"/>
  <c r="O178" i="49" s="1"/>
  <c r="M178" i="25" s="1"/>
  <c r="N26" i="49"/>
  <c r="O26" i="49" s="1"/>
  <c r="M26" i="25" s="1"/>
  <c r="N186" i="49"/>
  <c r="O186" i="49" s="1"/>
  <c r="M186" i="25" s="1"/>
  <c r="N274" i="49"/>
  <c r="O274" i="49" s="1"/>
  <c r="M274" i="25" s="1"/>
  <c r="N141" i="49"/>
  <c r="O141" i="49" s="1"/>
  <c r="M141" i="25" s="1"/>
  <c r="N247" i="49"/>
  <c r="O247" i="49" s="1"/>
  <c r="M247" i="25" s="1"/>
  <c r="N80" i="49"/>
  <c r="O80" i="49" s="1"/>
  <c r="M80" i="25" s="1"/>
  <c r="N161" i="49"/>
  <c r="O161" i="49" s="1"/>
  <c r="M161" i="25" s="1"/>
  <c r="N71" i="49"/>
  <c r="O71" i="49" s="1"/>
  <c r="M71" i="25" s="1"/>
  <c r="N304" i="49"/>
  <c r="O304" i="49" s="1"/>
  <c r="M304" i="25" s="1"/>
  <c r="N255" i="49"/>
  <c r="O255" i="49" s="1"/>
  <c r="M255" i="25" s="1"/>
  <c r="N65" i="49"/>
  <c r="O65" i="49" s="1"/>
  <c r="M65" i="25" s="1"/>
  <c r="N289" i="49"/>
  <c r="O289" i="49" s="1"/>
  <c r="M289" i="25" s="1"/>
  <c r="N293" i="49"/>
  <c r="O293" i="49" s="1"/>
  <c r="M293" i="25" s="1"/>
  <c r="N222" i="49"/>
  <c r="O222" i="49" s="1"/>
  <c r="M222" i="25" s="1"/>
  <c r="N253" i="49"/>
  <c r="O253" i="49" s="1"/>
  <c r="M253" i="25" s="1"/>
  <c r="N302" i="49"/>
  <c r="O302" i="49" s="1"/>
  <c r="M302" i="25" s="1"/>
  <c r="N191" i="49"/>
  <c r="O191" i="49" s="1"/>
  <c r="M191" i="25" s="1"/>
  <c r="N132" i="49"/>
  <c r="O132" i="49" s="1"/>
  <c r="M132" i="25" s="1"/>
  <c r="N10" i="49"/>
  <c r="O10" i="49" s="1"/>
  <c r="M10" i="25" s="1"/>
  <c r="N57" i="49"/>
  <c r="O57" i="49" s="1"/>
  <c r="M57" i="25" s="1"/>
  <c r="N45" i="49"/>
  <c r="O45" i="49" s="1"/>
  <c r="M45" i="25" s="1"/>
  <c r="N313" i="49"/>
  <c r="O313" i="49" s="1"/>
  <c r="M313" i="25" s="1"/>
  <c r="N258" i="49"/>
  <c r="O258" i="49" s="1"/>
  <c r="M258" i="25" s="1"/>
  <c r="N64" i="49"/>
  <c r="O64" i="49" s="1"/>
  <c r="M64" i="25" s="1"/>
  <c r="N148" i="49"/>
  <c r="O148" i="49" s="1"/>
  <c r="M148" i="25" s="1"/>
  <c r="N306" i="49"/>
  <c r="O306" i="49" s="1"/>
  <c r="M306" i="25" s="1"/>
  <c r="N82" i="49"/>
  <c r="O82" i="49" s="1"/>
  <c r="M82" i="25" s="1"/>
  <c r="N310" i="49"/>
  <c r="O310" i="49" s="1"/>
  <c r="M310" i="25" s="1"/>
  <c r="N127" i="49"/>
  <c r="O127" i="49" s="1"/>
  <c r="M127" i="25" s="1"/>
  <c r="N164" i="49"/>
  <c r="O164" i="49" s="1"/>
  <c r="M164" i="25" s="1"/>
  <c r="N123" i="49"/>
  <c r="O123" i="49" s="1"/>
  <c r="M123" i="25" s="1"/>
  <c r="N307" i="49"/>
  <c r="O307" i="49" s="1"/>
  <c r="M307" i="25" s="1"/>
  <c r="N128" i="49"/>
  <c r="O128" i="49" s="1"/>
  <c r="M128" i="25" s="1"/>
  <c r="N279" i="49"/>
  <c r="O279" i="49" s="1"/>
  <c r="M279" i="25" s="1"/>
  <c r="N55" i="49"/>
  <c r="O55" i="49" s="1"/>
  <c r="M55" i="25" s="1"/>
  <c r="N261" i="49"/>
  <c r="O261" i="49" s="1"/>
  <c r="M261" i="25" s="1"/>
  <c r="N9" i="49"/>
  <c r="O9" i="49" s="1"/>
  <c r="M9" i="25" s="1"/>
  <c r="N77" i="49"/>
  <c r="O77" i="49" s="1"/>
  <c r="M77" i="25" s="1"/>
  <c r="N16" i="49"/>
  <c r="O16" i="49" s="1"/>
  <c r="M16" i="25" s="1"/>
  <c r="N189" i="49"/>
  <c r="O189" i="49" s="1"/>
  <c r="M189" i="25" s="1"/>
  <c r="N19" i="49"/>
  <c r="O19" i="49" s="1"/>
  <c r="M19" i="25" s="1"/>
  <c r="N104" i="49"/>
  <c r="O104" i="49" s="1"/>
  <c r="M104" i="25" s="1"/>
  <c r="N155" i="49"/>
  <c r="O155" i="49" s="1"/>
  <c r="M155" i="25" s="1"/>
  <c r="N103" i="49"/>
  <c r="O103" i="49" s="1"/>
  <c r="M103" i="25" s="1"/>
  <c r="N199" i="49"/>
  <c r="O199" i="49" s="1"/>
  <c r="M199" i="25" s="1"/>
  <c r="N134" i="49"/>
  <c r="O134" i="49" s="1"/>
  <c r="M134" i="25" s="1"/>
  <c r="O8" i="49"/>
  <c r="M8" i="25" s="1"/>
  <c r="N196" i="49"/>
  <c r="O196" i="49" s="1"/>
  <c r="M196" i="25" s="1"/>
  <c r="N32" i="49"/>
  <c r="O32" i="49" s="1"/>
  <c r="M32" i="25" s="1"/>
  <c r="N98" i="49"/>
  <c r="O98" i="49" s="1"/>
  <c r="M98" i="25" s="1"/>
  <c r="N120" i="49"/>
  <c r="O120" i="49" s="1"/>
  <c r="M120" i="25" s="1"/>
  <c r="N38" i="49"/>
  <c r="O38" i="49" s="1"/>
  <c r="M38" i="25" s="1"/>
  <c r="N130" i="49"/>
  <c r="O130" i="49" s="1"/>
  <c r="M130" i="25" s="1"/>
  <c r="N227" i="49"/>
  <c r="O227" i="49" s="1"/>
  <c r="M227" i="25" s="1"/>
  <c r="N91" i="49"/>
  <c r="O91" i="49" s="1"/>
  <c r="M91" i="25" s="1"/>
  <c r="N116" i="49"/>
  <c r="O116" i="49" s="1"/>
  <c r="M116" i="25" s="1"/>
  <c r="N234" i="49"/>
  <c r="O234" i="49" s="1"/>
  <c r="M234" i="25" s="1"/>
  <c r="N79" i="49"/>
  <c r="O79" i="49" s="1"/>
  <c r="M79" i="25" s="1"/>
  <c r="N34" i="49"/>
  <c r="O34" i="49" s="1"/>
  <c r="M34" i="25" s="1"/>
  <c r="N151" i="49"/>
  <c r="O151" i="49" s="1"/>
  <c r="M151" i="25" s="1"/>
  <c r="N239" i="49"/>
  <c r="O239" i="49" s="1"/>
  <c r="M239" i="25" s="1"/>
  <c r="N168" i="49"/>
  <c r="O168" i="49" s="1"/>
  <c r="M168" i="25" s="1"/>
  <c r="N157" i="49"/>
  <c r="O157" i="49" s="1"/>
  <c r="M157" i="25" s="1"/>
  <c r="N14" i="49"/>
  <c r="O14" i="49" s="1"/>
  <c r="M14" i="25" s="1"/>
  <c r="N299" i="49"/>
  <c r="O299" i="49" s="1"/>
  <c r="M299" i="25" s="1"/>
  <c r="N114" i="49"/>
  <c r="O114" i="49" s="1"/>
  <c r="M114" i="25" s="1"/>
  <c r="N257" i="49"/>
  <c r="O257" i="49" s="1"/>
  <c r="M257" i="25" s="1"/>
  <c r="N49" i="49"/>
  <c r="O49" i="49" s="1"/>
  <c r="M49" i="25" s="1"/>
  <c r="N295" i="49"/>
  <c r="O295" i="49" s="1"/>
  <c r="M295" i="25" s="1"/>
  <c r="N217" i="49"/>
  <c r="O217" i="49" s="1"/>
  <c r="M217" i="25" s="1"/>
  <c r="N85" i="49"/>
  <c r="O85" i="49" s="1"/>
  <c r="M85" i="25" s="1"/>
  <c r="N180" i="49"/>
  <c r="O180" i="49" s="1"/>
  <c r="M180" i="25" s="1"/>
  <c r="N86" i="49"/>
  <c r="O86" i="49" s="1"/>
  <c r="M86" i="25" s="1"/>
  <c r="N39" i="49"/>
  <c r="O39" i="49" s="1"/>
  <c r="M39" i="25" s="1"/>
  <c r="N286" i="49"/>
  <c r="O286" i="49" s="1"/>
  <c r="M286" i="25" s="1"/>
  <c r="N240" i="49"/>
  <c r="O240" i="49" s="1"/>
  <c r="M240" i="25" s="1"/>
  <c r="N143" i="49"/>
  <c r="O143" i="49" s="1"/>
  <c r="M143" i="25" s="1"/>
  <c r="N184" i="49"/>
  <c r="O184" i="49" s="1"/>
  <c r="M184" i="25" s="1"/>
  <c r="N21" i="49"/>
  <c r="O21" i="49" s="1"/>
  <c r="M21" i="25" s="1"/>
  <c r="N149" i="49"/>
  <c r="O149" i="49" s="1"/>
  <c r="M149" i="25" s="1"/>
  <c r="N248" i="49"/>
  <c r="O248" i="49" s="1"/>
  <c r="M248" i="25" s="1"/>
  <c r="N193" i="49"/>
  <c r="O193" i="49" s="1"/>
  <c r="M193" i="25" s="1"/>
  <c r="N122" i="49"/>
  <c r="O122" i="49" s="1"/>
  <c r="M122" i="25" s="1"/>
  <c r="N12" i="49"/>
  <c r="O12" i="49" s="1"/>
  <c r="M12" i="25" s="1"/>
  <c r="N95" i="49"/>
  <c r="O95" i="49" s="1"/>
  <c r="M95" i="25" s="1"/>
  <c r="N220" i="49"/>
  <c r="O220" i="49" s="1"/>
  <c r="M220" i="25" s="1"/>
  <c r="N146" i="49"/>
  <c r="O146" i="49" s="1"/>
  <c r="M146" i="25" s="1"/>
  <c r="N81" i="49"/>
  <c r="O81" i="49" s="1"/>
  <c r="M81" i="25" s="1"/>
  <c r="N206" i="49"/>
  <c r="O206" i="49" s="1"/>
  <c r="M206" i="25" s="1"/>
  <c r="N243" i="49"/>
  <c r="O243" i="49" s="1"/>
  <c r="M243" i="25" s="1"/>
  <c r="N125" i="49"/>
  <c r="O125" i="49" s="1"/>
  <c r="M125" i="25" s="1"/>
  <c r="N283" i="49"/>
  <c r="O283" i="49" s="1"/>
  <c r="M283" i="25" s="1"/>
  <c r="N159" i="49"/>
  <c r="O159" i="49" s="1"/>
  <c r="M159" i="25" s="1"/>
  <c r="N137" i="49"/>
  <c r="O137" i="49" s="1"/>
  <c r="M137" i="25" s="1"/>
  <c r="N176" i="49"/>
  <c r="O176" i="49" s="1"/>
  <c r="M176" i="25" s="1"/>
  <c r="N209" i="49"/>
  <c r="O209" i="49" s="1"/>
  <c r="M209" i="25" s="1"/>
  <c r="N287" i="49"/>
  <c r="O287" i="49" s="1"/>
  <c r="M287" i="25" s="1"/>
  <c r="N101" i="49"/>
  <c r="O101" i="49" s="1"/>
  <c r="M101" i="25" s="1"/>
  <c r="N30" i="49"/>
  <c r="O30" i="49" s="1"/>
  <c r="M30" i="25" s="1"/>
  <c r="N166" i="49"/>
  <c r="O166" i="49" s="1"/>
  <c r="M166" i="25" s="1"/>
  <c r="N254" i="49"/>
  <c r="O254" i="49" s="1"/>
  <c r="M254" i="25" s="1"/>
  <c r="N54" i="49"/>
  <c r="O54" i="49" s="1"/>
  <c r="M54" i="25" s="1"/>
  <c r="N36" i="49"/>
  <c r="O36" i="49" s="1"/>
  <c r="M36" i="25" s="1"/>
  <c r="N142" i="49"/>
  <c r="O142" i="49" s="1"/>
  <c r="M142" i="25" s="1"/>
  <c r="N48" i="49"/>
  <c r="O48" i="49" s="1"/>
  <c r="M48" i="25" s="1"/>
  <c r="N153" i="49"/>
  <c r="O153" i="49" s="1"/>
  <c r="M153" i="25" s="1"/>
  <c r="N92" i="49"/>
  <c r="O92" i="49" s="1"/>
  <c r="M92" i="25" s="1"/>
  <c r="N226" i="49"/>
  <c r="O226" i="49" s="1"/>
  <c r="M226" i="25" s="1"/>
  <c r="N20" i="49"/>
  <c r="O20" i="49" s="1"/>
  <c r="M20" i="25" s="1"/>
  <c r="N205" i="49"/>
  <c r="O205" i="49" s="1"/>
  <c r="M205" i="25" s="1"/>
  <c r="N108" i="49"/>
  <c r="O108" i="49" s="1"/>
  <c r="M108" i="25" s="1"/>
  <c r="N78" i="49"/>
  <c r="O78" i="49" s="1"/>
  <c r="M78" i="25" s="1"/>
  <c r="N213" i="49"/>
  <c r="O213" i="49" s="1"/>
  <c r="M213" i="25" s="1"/>
  <c r="N73" i="49"/>
  <c r="O73" i="49" s="1"/>
  <c r="M73" i="25" s="1"/>
  <c r="N207" i="49"/>
  <c r="O207" i="49" s="1"/>
  <c r="M207" i="25" s="1"/>
  <c r="N150" i="49"/>
  <c r="O150" i="49" s="1"/>
  <c r="M150" i="25" s="1"/>
  <c r="N311" i="49"/>
  <c r="O311" i="49" s="1"/>
  <c r="M311" i="25" s="1"/>
  <c r="N51" i="49"/>
  <c r="O51" i="49" s="1"/>
  <c r="M51" i="25" s="1"/>
  <c r="N119" i="49"/>
  <c r="O119" i="49" s="1"/>
  <c r="M119" i="25" s="1"/>
  <c r="N69" i="49"/>
  <c r="O69" i="49" s="1"/>
  <c r="M69" i="25" s="1"/>
  <c r="N115" i="49"/>
  <c r="O115" i="49" s="1"/>
  <c r="M115" i="25" s="1"/>
  <c r="N68" i="49"/>
  <c r="O68" i="49" s="1"/>
  <c r="M68" i="25" s="1"/>
  <c r="N195" i="49"/>
  <c r="O195" i="49" s="1"/>
  <c r="M195" i="25" s="1"/>
  <c r="N203" i="49"/>
  <c r="O203" i="49" s="1"/>
  <c r="M203" i="25" s="1"/>
  <c r="N63" i="49"/>
  <c r="O63" i="49" s="1"/>
  <c r="M63" i="25" s="1"/>
  <c r="N185" i="49"/>
  <c r="O185" i="49" s="1"/>
  <c r="M185" i="25" s="1"/>
  <c r="N251" i="49"/>
  <c r="O251" i="49" s="1"/>
  <c r="M251" i="25" s="1"/>
  <c r="N145" i="49"/>
  <c r="O145" i="49" s="1"/>
  <c r="M145" i="25" s="1"/>
  <c r="N131" i="49"/>
  <c r="O131" i="49" s="1"/>
  <c r="M131" i="25" s="1"/>
  <c r="N281" i="49"/>
  <c r="O281" i="49" s="1"/>
  <c r="M281" i="25" s="1"/>
  <c r="N13" i="49"/>
  <c r="O13" i="49" s="1"/>
  <c r="M13" i="25" s="1"/>
  <c r="N229" i="49"/>
  <c r="O229" i="49" s="1"/>
  <c r="M229" i="25" s="1"/>
  <c r="N67" i="49"/>
  <c r="O67" i="49" s="1"/>
  <c r="M67" i="25" s="1"/>
  <c r="N169" i="49"/>
  <c r="O169" i="49" s="1"/>
  <c r="M169" i="25" s="1"/>
  <c r="N162" i="49"/>
  <c r="O162" i="49" s="1"/>
  <c r="M162" i="25" s="1"/>
  <c r="N44" i="49"/>
  <c r="O44" i="49" s="1"/>
  <c r="M44" i="25" s="1"/>
  <c r="N296" i="49"/>
  <c r="O296" i="49" s="1"/>
  <c r="M296" i="25" s="1"/>
  <c r="N277" i="49"/>
  <c r="O277" i="49" s="1"/>
  <c r="M277" i="25" s="1"/>
  <c r="N278" i="49"/>
  <c r="O278" i="49" s="1"/>
  <c r="M278" i="25" s="1"/>
  <c r="N167" i="49"/>
  <c r="O167" i="49" s="1"/>
  <c r="M167" i="25" s="1"/>
  <c r="N260" i="49"/>
  <c r="O260" i="49" s="1"/>
  <c r="M260" i="25" s="1"/>
  <c r="N117" i="49"/>
  <c r="O117" i="49" s="1"/>
  <c r="M117" i="25" s="1"/>
  <c r="N135" i="49"/>
  <c r="O135" i="49" s="1"/>
  <c r="M135" i="25" s="1"/>
  <c r="N111" i="49"/>
  <c r="O111" i="49" s="1"/>
  <c r="M111" i="25" s="1"/>
  <c r="N235" i="49"/>
  <c r="O235" i="49" s="1"/>
  <c r="M235" i="25" s="1"/>
  <c r="N23" i="49"/>
  <c r="O23" i="49" s="1"/>
  <c r="M23" i="25" s="1"/>
  <c r="N83" i="49"/>
  <c r="O83" i="49" s="1"/>
  <c r="M83" i="25" s="1"/>
  <c r="N37" i="49"/>
  <c r="O37" i="49" s="1"/>
  <c r="M37" i="25" s="1"/>
  <c r="N267" i="49"/>
  <c r="O267" i="49" s="1"/>
  <c r="M267" i="25" s="1"/>
  <c r="N175" i="49"/>
  <c r="O175" i="49" s="1"/>
  <c r="M175" i="25" s="1"/>
  <c r="N72" i="49"/>
  <c r="O72" i="49" s="1"/>
  <c r="M72" i="25" s="1"/>
  <c r="N28" i="49"/>
  <c r="O28" i="49" s="1"/>
  <c r="M28" i="25" s="1"/>
  <c r="N60" i="49"/>
  <c r="O60" i="49" s="1"/>
  <c r="M60" i="25" s="1"/>
  <c r="N29" i="49"/>
  <c r="O29" i="49" s="1"/>
  <c r="M29" i="25" s="1"/>
  <c r="N42" i="49"/>
  <c r="O42" i="49" s="1"/>
  <c r="M42" i="25" s="1"/>
  <c r="N297" i="49"/>
  <c r="O297" i="49" s="1"/>
  <c r="M297" i="25" s="1"/>
  <c r="N126" i="49"/>
  <c r="O126" i="49" s="1"/>
  <c r="M126" i="25" s="1"/>
  <c r="N223" i="49"/>
  <c r="O223" i="49" s="1"/>
  <c r="M223" i="25" s="1"/>
  <c r="N89" i="49"/>
  <c r="O89" i="49" s="1"/>
  <c r="M89" i="25" s="1"/>
  <c r="N298" i="49"/>
  <c r="O298" i="49" s="1"/>
  <c r="M298" i="25" s="1"/>
  <c r="N198" i="49"/>
  <c r="O198" i="49" s="1"/>
  <c r="M198" i="25" s="1"/>
  <c r="N284" i="49"/>
  <c r="O284" i="49" s="1"/>
  <c r="M284" i="25" s="1"/>
  <c r="N204" i="49"/>
  <c r="O204" i="49" s="1"/>
  <c r="M204" i="25" s="1"/>
  <c r="N201" i="49"/>
  <c r="O201" i="49" s="1"/>
  <c r="M201" i="25" s="1"/>
  <c r="N109" i="49"/>
  <c r="O109" i="49" s="1"/>
  <c r="M109" i="25" s="1"/>
  <c r="N208" i="49"/>
  <c r="O208" i="49" s="1"/>
  <c r="M208" i="25" s="1"/>
  <c r="N27" i="49"/>
  <c r="O27" i="49" s="1"/>
  <c r="M27" i="25" s="1"/>
  <c r="N52" i="49"/>
  <c r="O52" i="49" s="1"/>
  <c r="M52" i="25" s="1"/>
  <c r="N112" i="49"/>
  <c r="O112" i="49" s="1"/>
  <c r="M112" i="25" s="1"/>
  <c r="N212" i="49"/>
  <c r="O212" i="49" s="1"/>
  <c r="M212" i="25" s="1"/>
  <c r="N25" i="49"/>
  <c r="O25" i="49" s="1"/>
  <c r="M25" i="25" s="1"/>
  <c r="N56" i="49"/>
  <c r="O56" i="49" s="1"/>
  <c r="M56" i="25" s="1"/>
  <c r="N106" i="49"/>
  <c r="O106" i="49" s="1"/>
  <c r="M106" i="25" s="1"/>
  <c r="N303" i="49"/>
  <c r="O303" i="49" s="1"/>
  <c r="M303" i="25" s="1"/>
  <c r="N238" i="49"/>
  <c r="O238" i="49" s="1"/>
  <c r="M238" i="25" s="1"/>
  <c r="N216" i="49"/>
  <c r="O216" i="49" s="1"/>
  <c r="M216" i="25" s="1"/>
  <c r="N61" i="49"/>
  <c r="O61" i="49" s="1"/>
  <c r="M61" i="25" s="1"/>
  <c r="N140" i="49"/>
  <c r="O140" i="49" s="1"/>
  <c r="M140" i="25" s="1"/>
  <c r="N41" i="49"/>
  <c r="O41" i="49" s="1"/>
  <c r="M41" i="25" s="1"/>
  <c r="N70" i="49"/>
  <c r="O70" i="49" s="1"/>
  <c r="M70" i="25" s="1"/>
  <c r="N309" i="49"/>
  <c r="O309" i="49" s="1"/>
  <c r="M309" i="25" s="1"/>
  <c r="N266" i="49"/>
  <c r="O266" i="49" s="1"/>
  <c r="M266" i="25" s="1"/>
  <c r="N46" i="49"/>
  <c r="O46" i="49" s="1"/>
  <c r="M46" i="25" s="1"/>
  <c r="N194" i="49"/>
  <c r="O194" i="49" s="1"/>
  <c r="M194" i="25" s="1"/>
  <c r="N246" i="49"/>
  <c r="O246" i="49" s="1"/>
  <c r="M246" i="25" s="1"/>
  <c r="N154" i="49"/>
  <c r="O154" i="49" s="1"/>
  <c r="M154" i="25" s="1"/>
  <c r="N308" i="49"/>
  <c r="O308" i="49" s="1"/>
  <c r="M308" i="25" s="1"/>
  <c r="N50" i="49"/>
  <c r="O50" i="49" s="1"/>
  <c r="M50" i="25" s="1"/>
  <c r="N197" i="49"/>
  <c r="O197" i="49" s="1"/>
  <c r="M197" i="25" s="1"/>
  <c r="N250" i="49"/>
  <c r="O250" i="49" s="1"/>
  <c r="M250" i="25" s="1"/>
  <c r="N200" i="49"/>
  <c r="O200" i="49" s="1"/>
  <c r="M200" i="25" s="1"/>
  <c r="N314" i="49"/>
  <c r="O314" i="49" s="1"/>
  <c r="M314" i="25" s="1"/>
  <c r="N173" i="49"/>
  <c r="O173" i="49" s="1"/>
  <c r="M173" i="25" s="1"/>
  <c r="N87" i="49"/>
  <c r="O87" i="49" s="1"/>
  <c r="M87" i="25" s="1"/>
  <c r="N268" i="49"/>
  <c r="O268" i="49" s="1"/>
  <c r="M268" i="25" s="1"/>
  <c r="N94" i="49"/>
  <c r="O94" i="49" s="1"/>
  <c r="M94" i="25" s="1"/>
  <c r="N107" i="49"/>
  <c r="O107" i="49" s="1"/>
  <c r="M107" i="25" s="1"/>
  <c r="N88" i="49"/>
  <c r="O88" i="49" s="1"/>
  <c r="M88" i="25" s="1"/>
  <c r="N269" i="49"/>
  <c r="O269" i="49" s="1"/>
  <c r="M269" i="25" s="1"/>
  <c r="N230" i="49"/>
  <c r="O230" i="49" s="1"/>
  <c r="M230" i="25" s="1"/>
  <c r="N249" i="49"/>
  <c r="O249" i="49" s="1"/>
  <c r="M249" i="25" s="1"/>
  <c r="N305" i="49"/>
  <c r="O305" i="49" s="1"/>
  <c r="M305" i="25" s="1"/>
  <c r="N252" i="49"/>
  <c r="O252" i="49" s="1"/>
  <c r="M252" i="25" s="1"/>
  <c r="N24" i="49"/>
  <c r="O24" i="49" s="1"/>
  <c r="M24" i="25" s="1"/>
  <c r="N265" i="49"/>
  <c r="O265" i="49" s="1"/>
  <c r="M265" i="25" s="1"/>
  <c r="N163" i="49"/>
  <c r="O163" i="49" s="1"/>
  <c r="M163" i="25" s="1"/>
  <c r="N236" i="49"/>
  <c r="O236" i="49" s="1"/>
  <c r="M236" i="25" s="1"/>
  <c r="N259" i="49"/>
  <c r="O259" i="49" s="1"/>
  <c r="M259" i="25" s="1"/>
  <c r="N233" i="49"/>
  <c r="O233" i="49" s="1"/>
  <c r="M233" i="25" s="1"/>
  <c r="N47" i="49"/>
  <c r="O47" i="49" s="1"/>
  <c r="M47" i="25" s="1"/>
  <c r="N221" i="49"/>
  <c r="O221" i="49" s="1"/>
  <c r="M221" i="25" s="1"/>
  <c r="N172" i="49"/>
  <c r="O172" i="49" s="1"/>
  <c r="M172" i="25" s="1"/>
  <c r="N53" i="49"/>
  <c r="O53" i="49" s="1"/>
  <c r="M53" i="25" s="1"/>
  <c r="N31" i="49"/>
  <c r="O31" i="49" s="1"/>
  <c r="M31" i="25" s="1"/>
  <c r="N228" i="49"/>
  <c r="O228" i="49" s="1"/>
  <c r="M228" i="25" s="1"/>
  <c r="N215" i="49"/>
  <c r="O215" i="49" s="1"/>
  <c r="M215" i="25" s="1"/>
  <c r="N202" i="49"/>
  <c r="O202" i="49" s="1"/>
  <c r="M202" i="25" s="1"/>
  <c r="N232" i="49"/>
  <c r="O232" i="49" s="1"/>
  <c r="M232" i="25" s="1"/>
  <c r="N271" i="49"/>
  <c r="O271" i="49" s="1"/>
  <c r="M271" i="25" s="1"/>
  <c r="N182" i="49"/>
  <c r="O182" i="49" s="1"/>
  <c r="M182" i="25" s="1"/>
  <c r="B21" i="48"/>
  <c r="N152" i="49"/>
  <c r="O152" i="49" s="1"/>
  <c r="M152" i="25" s="1"/>
  <c r="N121" i="49"/>
  <c r="O121" i="49" s="1"/>
  <c r="M121" i="25" s="1"/>
  <c r="N276" i="49"/>
  <c r="O276" i="49" s="1"/>
  <c r="M276" i="25" s="1"/>
  <c r="N174" i="49"/>
  <c r="O174" i="49" s="1"/>
  <c r="M174" i="25" s="1"/>
  <c r="N275" i="49"/>
  <c r="O275" i="49" s="1"/>
  <c r="M275" i="25" s="1"/>
  <c r="N96" i="49"/>
  <c r="O96" i="49" s="1"/>
  <c r="M96" i="25" s="1"/>
  <c r="N218" i="49"/>
  <c r="O218" i="49" s="1"/>
  <c r="M218" i="25" s="1"/>
  <c r="N160" i="49"/>
  <c r="O160" i="49" s="1"/>
  <c r="M160" i="25" s="1"/>
  <c r="N144" i="49"/>
  <c r="O144" i="49" s="1"/>
  <c r="M144" i="25" s="1"/>
  <c r="N294" i="49"/>
  <c r="O294" i="49" s="1"/>
  <c r="M294" i="25" s="1"/>
  <c r="N43" i="49"/>
  <c r="O43" i="49" s="1"/>
  <c r="M43" i="25" s="1"/>
  <c r="N147" i="49"/>
  <c r="O147" i="49" s="1"/>
  <c r="M147" i="25" s="1"/>
  <c r="N102" i="49"/>
  <c r="O102" i="49" s="1"/>
  <c r="M102" i="25" s="1"/>
  <c r="N262" i="49"/>
  <c r="O262" i="49" s="1"/>
  <c r="M262" i="25" s="1"/>
  <c r="N285" i="49"/>
  <c r="O285" i="49" s="1"/>
  <c r="M285" i="25" s="1"/>
  <c r="N138" i="49"/>
  <c r="O138" i="49" s="1"/>
  <c r="M138" i="25" s="1"/>
  <c r="N158" i="49"/>
  <c r="O158" i="49" s="1"/>
  <c r="M158" i="25" s="1"/>
  <c r="N139" i="49"/>
  <c r="O139" i="49" s="1"/>
  <c r="M139" i="25" s="1"/>
  <c r="N224" i="49"/>
  <c r="O224" i="49" s="1"/>
  <c r="M224" i="25" s="1"/>
  <c r="N84" i="49"/>
  <c r="O84" i="49" s="1"/>
  <c r="M84" i="25" s="1"/>
  <c r="N165" i="49"/>
  <c r="O165" i="49" s="1"/>
  <c r="M165" i="25" s="1"/>
  <c r="N133" i="49"/>
  <c r="O133" i="49" s="1"/>
  <c r="M133" i="25" s="1"/>
  <c r="N231" i="49"/>
  <c r="O231" i="49" s="1"/>
  <c r="M231" i="25" s="1"/>
  <c r="N136" i="49"/>
  <c r="O136" i="49" s="1"/>
  <c r="M136" i="25" s="1"/>
  <c r="N237" i="49"/>
  <c r="O237" i="49" s="1"/>
  <c r="M237" i="25" s="1"/>
  <c r="N264" i="49"/>
  <c r="O264" i="49" s="1"/>
  <c r="M264" i="25" s="1"/>
  <c r="N11" i="49"/>
  <c r="O11" i="49" s="1"/>
  <c r="M11" i="25" s="1"/>
  <c r="N282" i="49"/>
  <c r="O282" i="49" s="1"/>
  <c r="M282" i="25" s="1"/>
  <c r="N190" i="49"/>
  <c r="O190" i="49" s="1"/>
  <c r="M190" i="25" s="1"/>
  <c r="N187" i="49"/>
  <c r="O187" i="49" s="1"/>
  <c r="M187" i="25" s="1"/>
  <c r="N93" i="49"/>
  <c r="O93" i="49" s="1"/>
  <c r="M93" i="25" s="1"/>
  <c r="N171" i="49"/>
  <c r="O171" i="49" s="1"/>
  <c r="M171" i="25" s="1"/>
  <c r="N280" i="49"/>
  <c r="O280" i="49" s="1"/>
  <c r="M280" i="25" s="1"/>
  <c r="N263" i="49"/>
  <c r="O263" i="49" s="1"/>
  <c r="M263" i="25" s="1"/>
  <c r="N211" i="49"/>
  <c r="O211" i="49" s="1"/>
  <c r="M211" i="25" s="1"/>
  <c r="N90" i="49"/>
  <c r="O90" i="49" s="1"/>
  <c r="M90" i="25" s="1"/>
  <c r="N242" i="49"/>
  <c r="O242" i="49" s="1"/>
  <c r="M242" i="25" s="1"/>
  <c r="G16" i="34"/>
  <c r="H16" i="34" s="1"/>
  <c r="K41" i="40" l="1"/>
  <c r="K42" i="40" s="1"/>
  <c r="H42" i="40" s="1"/>
  <c r="C42" i="40"/>
  <c r="C41" i="40"/>
  <c r="F13" i="9"/>
  <c r="F15" i="9"/>
  <c r="G15" i="9" s="1"/>
  <c r="F17" i="9"/>
  <c r="G17" i="9" s="1"/>
  <c r="F19" i="9"/>
  <c r="G19" i="9" s="1"/>
  <c r="F21" i="9"/>
  <c r="G21" i="9" s="1"/>
  <c r="F23" i="9"/>
  <c r="G23" i="9" s="1"/>
  <c r="F25" i="9"/>
  <c r="G25" i="9" s="1"/>
  <c r="F27" i="9"/>
  <c r="F29" i="9"/>
  <c r="F31" i="9"/>
  <c r="G31" i="9" s="1"/>
  <c r="F33" i="9"/>
  <c r="G33" i="9" s="1"/>
  <c r="F35" i="9"/>
  <c r="G35" i="9" s="1"/>
  <c r="F37" i="9"/>
  <c r="G37" i="9" s="1"/>
  <c r="F39" i="9"/>
  <c r="G39" i="9" s="1"/>
  <c r="F41" i="9"/>
  <c r="G41" i="9" s="1"/>
  <c r="F43" i="9"/>
  <c r="G43" i="9" s="1"/>
  <c r="F45" i="9"/>
  <c r="F47" i="9"/>
  <c r="G47" i="9" s="1"/>
  <c r="F49" i="9"/>
  <c r="G49" i="9" s="1"/>
  <c r="F51" i="9"/>
  <c r="G51" i="9" s="1"/>
  <c r="F53" i="9"/>
  <c r="G53" i="9" s="1"/>
  <c r="F55" i="9"/>
  <c r="G55" i="9" s="1"/>
  <c r="F57" i="9"/>
  <c r="G57" i="9" s="1"/>
  <c r="F59" i="9"/>
  <c r="G59" i="9" s="1"/>
  <c r="F61" i="9"/>
  <c r="F63" i="9"/>
  <c r="G63" i="9" s="1"/>
  <c r="F65" i="9"/>
  <c r="G65" i="9" s="1"/>
  <c r="F67" i="9"/>
  <c r="G67" i="9" s="1"/>
  <c r="F69" i="9"/>
  <c r="G69" i="9" s="1"/>
  <c r="F71" i="9"/>
  <c r="G71" i="9" s="1"/>
  <c r="F73" i="9"/>
  <c r="G73" i="9" s="1"/>
  <c r="F75" i="9"/>
  <c r="G75" i="9" s="1"/>
  <c r="F77" i="9"/>
  <c r="F79" i="9"/>
  <c r="G79" i="9" s="1"/>
  <c r="F81" i="9"/>
  <c r="G81" i="9" s="1"/>
  <c r="F83" i="9"/>
  <c r="G83" i="9" s="1"/>
  <c r="F85" i="9"/>
  <c r="G85" i="9" s="1"/>
  <c r="F87" i="9"/>
  <c r="G87" i="9" s="1"/>
  <c r="F89" i="9"/>
  <c r="G89" i="9" s="1"/>
  <c r="F91" i="9"/>
  <c r="G91" i="9" s="1"/>
  <c r="F93" i="9"/>
  <c r="F95" i="9"/>
  <c r="G95" i="9" s="1"/>
  <c r="F26" i="9"/>
  <c r="G26" i="9" s="1"/>
  <c r="F42" i="9"/>
  <c r="G42" i="9" s="1"/>
  <c r="F60" i="9"/>
  <c r="G60" i="9" s="1"/>
  <c r="F76" i="9"/>
  <c r="G76" i="9" s="1"/>
  <c r="F92" i="9"/>
  <c r="G92" i="9" s="1"/>
  <c r="F24" i="9"/>
  <c r="G24" i="9" s="1"/>
  <c r="F70" i="9"/>
  <c r="F20" i="9"/>
  <c r="G20" i="9" s="1"/>
  <c r="F36" i="9"/>
  <c r="G36" i="9" s="1"/>
  <c r="F58" i="9"/>
  <c r="G58" i="9" s="1"/>
  <c r="F74" i="9"/>
  <c r="G74" i="9" s="1"/>
  <c r="F90" i="9"/>
  <c r="G90" i="9" s="1"/>
  <c r="F14" i="9"/>
  <c r="G14" i="9" s="1"/>
  <c r="F30" i="9"/>
  <c r="G30" i="9" s="1"/>
  <c r="F46" i="9"/>
  <c r="F56" i="9"/>
  <c r="G56" i="9" s="1"/>
  <c r="F72" i="9"/>
  <c r="G72" i="9" s="1"/>
  <c r="F88" i="9"/>
  <c r="G88" i="9" s="1"/>
  <c r="F97" i="9"/>
  <c r="G97" i="9" s="1"/>
  <c r="F99" i="9"/>
  <c r="G99" i="9" s="1"/>
  <c r="F101" i="9"/>
  <c r="G101" i="9" s="1"/>
  <c r="F103" i="9"/>
  <c r="G103" i="9" s="1"/>
  <c r="F105" i="9"/>
  <c r="F107" i="9"/>
  <c r="G107" i="9" s="1"/>
  <c r="F109" i="9"/>
  <c r="G109" i="9" s="1"/>
  <c r="F111" i="9"/>
  <c r="G111" i="9" s="1"/>
  <c r="F113" i="9"/>
  <c r="G113" i="9" s="1"/>
  <c r="F115" i="9"/>
  <c r="G115" i="9" s="1"/>
  <c r="F117" i="9"/>
  <c r="G117" i="9" s="1"/>
  <c r="F119" i="9"/>
  <c r="G119" i="9" s="1"/>
  <c r="F121" i="9"/>
  <c r="F123" i="9"/>
  <c r="G123" i="9" s="1"/>
  <c r="F125" i="9"/>
  <c r="G125" i="9" s="1"/>
  <c r="F127" i="9"/>
  <c r="G127" i="9" s="1"/>
  <c r="F129" i="9"/>
  <c r="G129" i="9" s="1"/>
  <c r="F131" i="9"/>
  <c r="G131" i="9" s="1"/>
  <c r="F133" i="9"/>
  <c r="G133" i="9" s="1"/>
  <c r="F135" i="9"/>
  <c r="G135" i="9" s="1"/>
  <c r="F137" i="9"/>
  <c r="F139" i="9"/>
  <c r="G139" i="9" s="1"/>
  <c r="F141" i="9"/>
  <c r="G141" i="9" s="1"/>
  <c r="F143" i="9"/>
  <c r="G143" i="9" s="1"/>
  <c r="F145" i="9"/>
  <c r="G145" i="9" s="1"/>
  <c r="F147" i="9"/>
  <c r="G147" i="9" s="1"/>
  <c r="F149" i="9"/>
  <c r="G149" i="9" s="1"/>
  <c r="F151" i="9"/>
  <c r="G151" i="9" s="1"/>
  <c r="F153" i="9"/>
  <c r="F155" i="9"/>
  <c r="G155" i="9" s="1"/>
  <c r="F157" i="9"/>
  <c r="G157" i="9" s="1"/>
  <c r="F159" i="9"/>
  <c r="G159" i="9" s="1"/>
  <c r="F161" i="9"/>
  <c r="G161" i="9" s="1"/>
  <c r="F163" i="9"/>
  <c r="G163" i="9" s="1"/>
  <c r="F165" i="9"/>
  <c r="G165" i="9" s="1"/>
  <c r="F167" i="9"/>
  <c r="G167" i="9" s="1"/>
  <c r="F169" i="9"/>
  <c r="F171" i="9"/>
  <c r="G171" i="9" s="1"/>
  <c r="F173" i="9"/>
  <c r="G173" i="9" s="1"/>
  <c r="F175" i="9"/>
  <c r="G175" i="9" s="1"/>
  <c r="F177" i="9"/>
  <c r="G177" i="9" s="1"/>
  <c r="F179" i="9"/>
  <c r="G179" i="9" s="1"/>
  <c r="F181" i="9"/>
  <c r="G181" i="9" s="1"/>
  <c r="F183" i="9"/>
  <c r="G183" i="9" s="1"/>
  <c r="F185" i="9"/>
  <c r="F187" i="9"/>
  <c r="G187" i="9" s="1"/>
  <c r="F189" i="9"/>
  <c r="G189" i="9" s="1"/>
  <c r="F191" i="9"/>
  <c r="G191" i="9" s="1"/>
  <c r="F193" i="9"/>
  <c r="G193" i="9" s="1"/>
  <c r="F195" i="9"/>
  <c r="G195" i="9" s="1"/>
  <c r="F197" i="9"/>
  <c r="G197" i="9" s="1"/>
  <c r="F199" i="9"/>
  <c r="G199" i="9" s="1"/>
  <c r="F201" i="9"/>
  <c r="F203" i="9"/>
  <c r="G203" i="9" s="1"/>
  <c r="F205" i="9"/>
  <c r="G205" i="9" s="1"/>
  <c r="F207" i="9"/>
  <c r="G207" i="9" s="1"/>
  <c r="F209" i="9"/>
  <c r="G209" i="9" s="1"/>
  <c r="F211" i="9"/>
  <c r="G211" i="9" s="1"/>
  <c r="F213" i="9"/>
  <c r="G213" i="9" s="1"/>
  <c r="F215" i="9"/>
  <c r="G215" i="9" s="1"/>
  <c r="F217" i="9"/>
  <c r="F219" i="9"/>
  <c r="G219" i="9" s="1"/>
  <c r="F221" i="9"/>
  <c r="G221" i="9" s="1"/>
  <c r="F223" i="9"/>
  <c r="G223" i="9" s="1"/>
  <c r="F225" i="9"/>
  <c r="G225" i="9" s="1"/>
  <c r="F227" i="9"/>
  <c r="G227" i="9" s="1"/>
  <c r="F229" i="9"/>
  <c r="G229" i="9" s="1"/>
  <c r="F231" i="9"/>
  <c r="G231" i="9" s="1"/>
  <c r="F233" i="9"/>
  <c r="F235" i="9"/>
  <c r="G235" i="9" s="1"/>
  <c r="F237" i="9"/>
  <c r="G237" i="9" s="1"/>
  <c r="F239" i="9"/>
  <c r="G239" i="9" s="1"/>
  <c r="F241" i="9"/>
  <c r="G241" i="9" s="1"/>
  <c r="F243" i="9"/>
  <c r="G243" i="9" s="1"/>
  <c r="F245" i="9"/>
  <c r="G245" i="9" s="1"/>
  <c r="F247" i="9"/>
  <c r="G247" i="9" s="1"/>
  <c r="F249" i="9"/>
  <c r="F251" i="9"/>
  <c r="G251" i="9" s="1"/>
  <c r="F253" i="9"/>
  <c r="G253" i="9" s="1"/>
  <c r="F255" i="9"/>
  <c r="G255" i="9" s="1"/>
  <c r="F257" i="9"/>
  <c r="G257" i="9" s="1"/>
  <c r="F259" i="9"/>
  <c r="G259" i="9" s="1"/>
  <c r="F261" i="9"/>
  <c r="G261" i="9" s="1"/>
  <c r="F263" i="9"/>
  <c r="G263" i="9" s="1"/>
  <c r="F265" i="9"/>
  <c r="F267" i="9"/>
  <c r="G267" i="9" s="1"/>
  <c r="F269" i="9"/>
  <c r="G269" i="9" s="1"/>
  <c r="F271" i="9"/>
  <c r="G271" i="9" s="1"/>
  <c r="F273" i="9"/>
  <c r="G273" i="9" s="1"/>
  <c r="F275" i="9"/>
  <c r="G275" i="9" s="1"/>
  <c r="F277" i="9"/>
  <c r="G277" i="9" s="1"/>
  <c r="F279" i="9"/>
  <c r="G279" i="9" s="1"/>
  <c r="F281" i="9"/>
  <c r="F283" i="9"/>
  <c r="G283" i="9" s="1"/>
  <c r="F285" i="9"/>
  <c r="G285" i="9" s="1"/>
  <c r="F287" i="9"/>
  <c r="G287" i="9" s="1"/>
  <c r="F289" i="9"/>
  <c r="G289" i="9" s="1"/>
  <c r="F291" i="9"/>
  <c r="G291" i="9" s="1"/>
  <c r="F293" i="9"/>
  <c r="G293" i="9" s="1"/>
  <c r="F295" i="9"/>
  <c r="G295" i="9" s="1"/>
  <c r="F297" i="9"/>
  <c r="F299" i="9"/>
  <c r="G299" i="9" s="1"/>
  <c r="F301" i="9"/>
  <c r="G301" i="9" s="1"/>
  <c r="F303" i="9"/>
  <c r="G303" i="9" s="1"/>
  <c r="F305" i="9"/>
  <c r="G305" i="9" s="1"/>
  <c r="F307" i="9"/>
  <c r="G307" i="9" s="1"/>
  <c r="F309" i="9"/>
  <c r="G309" i="9" s="1"/>
  <c r="F311" i="9"/>
  <c r="G311" i="9" s="1"/>
  <c r="F313" i="9"/>
  <c r="F315" i="9"/>
  <c r="G315" i="9" s="1"/>
  <c r="F317" i="9"/>
  <c r="G317" i="9" s="1"/>
  <c r="F319" i="9"/>
  <c r="G319" i="9" s="1"/>
  <c r="F40" i="9"/>
  <c r="G40" i="9" s="1"/>
  <c r="F54" i="9"/>
  <c r="G54" i="9" s="1"/>
  <c r="F86" i="9"/>
  <c r="G86" i="9" s="1"/>
  <c r="F18" i="9"/>
  <c r="G18" i="9" s="1"/>
  <c r="F34" i="9"/>
  <c r="F52" i="9"/>
  <c r="G52" i="9" s="1"/>
  <c r="F68" i="9"/>
  <c r="G68" i="9" s="1"/>
  <c r="F84" i="9"/>
  <c r="G84" i="9" s="1"/>
  <c r="F12" i="9"/>
  <c r="G12" i="9" s="1"/>
  <c r="F28" i="9"/>
  <c r="G28" i="9" s="1"/>
  <c r="F44" i="9"/>
  <c r="G44" i="9" s="1"/>
  <c r="F50" i="9"/>
  <c r="G50" i="9" s="1"/>
  <c r="F66" i="9"/>
  <c r="F82" i="9"/>
  <c r="G82" i="9" s="1"/>
  <c r="F22" i="9"/>
  <c r="G22" i="9" s="1"/>
  <c r="F62" i="9"/>
  <c r="G62" i="9" s="1"/>
  <c r="F102" i="9"/>
  <c r="G102" i="9" s="1"/>
  <c r="F118" i="9"/>
  <c r="G118" i="9" s="1"/>
  <c r="F122" i="9"/>
  <c r="G122" i="9" s="1"/>
  <c r="F218" i="9"/>
  <c r="G218" i="9" s="1"/>
  <c r="F226" i="9"/>
  <c r="F274" i="9"/>
  <c r="G274" i="9" s="1"/>
  <c r="F314" i="9"/>
  <c r="G314" i="9" s="1"/>
  <c r="F48" i="9"/>
  <c r="G48" i="9" s="1"/>
  <c r="F214" i="9"/>
  <c r="G214" i="9" s="1"/>
  <c r="F230" i="9"/>
  <c r="G230" i="9" s="1"/>
  <c r="F278" i="9"/>
  <c r="G278" i="9" s="1"/>
  <c r="F294" i="9"/>
  <c r="G294" i="9" s="1"/>
  <c r="F96" i="9"/>
  <c r="F112" i="9"/>
  <c r="G112" i="9" s="1"/>
  <c r="F124" i="9"/>
  <c r="G124" i="9" s="1"/>
  <c r="F132" i="9"/>
  <c r="G132" i="9" s="1"/>
  <c r="F140" i="9"/>
  <c r="G140" i="9" s="1"/>
  <c r="F148" i="9"/>
  <c r="G148" i="9" s="1"/>
  <c r="F156" i="9"/>
  <c r="G156" i="9" s="1"/>
  <c r="F164" i="9"/>
  <c r="G164" i="9" s="1"/>
  <c r="F172" i="9"/>
  <c r="F180" i="9"/>
  <c r="G180" i="9" s="1"/>
  <c r="F188" i="9"/>
  <c r="G188" i="9" s="1"/>
  <c r="F196" i="9"/>
  <c r="G196" i="9" s="1"/>
  <c r="F204" i="9"/>
  <c r="G204" i="9" s="1"/>
  <c r="F212" i="9"/>
  <c r="G212" i="9" s="1"/>
  <c r="F220" i="9"/>
  <c r="G220" i="9" s="1"/>
  <c r="F228" i="9"/>
  <c r="G228" i="9" s="1"/>
  <c r="F236" i="9"/>
  <c r="F244" i="9"/>
  <c r="G244" i="9" s="1"/>
  <c r="F252" i="9"/>
  <c r="G252" i="9" s="1"/>
  <c r="F260" i="9"/>
  <c r="G260" i="9" s="1"/>
  <c r="F268" i="9"/>
  <c r="G268" i="9" s="1"/>
  <c r="F276" i="9"/>
  <c r="G276" i="9" s="1"/>
  <c r="F284" i="9"/>
  <c r="G284" i="9" s="1"/>
  <c r="F292" i="9"/>
  <c r="G292" i="9" s="1"/>
  <c r="F300" i="9"/>
  <c r="F308" i="9"/>
  <c r="G308" i="9" s="1"/>
  <c r="F316" i="9"/>
  <c r="G316" i="9" s="1"/>
  <c r="F80" i="9"/>
  <c r="G80" i="9" s="1"/>
  <c r="F100" i="9"/>
  <c r="G100" i="9" s="1"/>
  <c r="F130" i="9"/>
  <c r="G130" i="9" s="1"/>
  <c r="F138" i="9"/>
  <c r="G138" i="9" s="1"/>
  <c r="F162" i="9"/>
  <c r="G162" i="9" s="1"/>
  <c r="F170" i="9"/>
  <c r="F178" i="9"/>
  <c r="G178" i="9" s="1"/>
  <c r="F202" i="9"/>
  <c r="G202" i="9" s="1"/>
  <c r="F234" i="9"/>
  <c r="G234" i="9" s="1"/>
  <c r="F242" i="9"/>
  <c r="G242" i="9" s="1"/>
  <c r="F290" i="9"/>
  <c r="G290" i="9" s="1"/>
  <c r="F298" i="9"/>
  <c r="G298" i="9" s="1"/>
  <c r="F108" i="9"/>
  <c r="G108" i="9" s="1"/>
  <c r="F142" i="9"/>
  <c r="F166" i="9"/>
  <c r="G166" i="9" s="1"/>
  <c r="F174" i="9"/>
  <c r="G174" i="9" s="1"/>
  <c r="F182" i="9"/>
  <c r="G182" i="9" s="1"/>
  <c r="F198" i="9"/>
  <c r="G198" i="9" s="1"/>
  <c r="F254" i="9"/>
  <c r="G254" i="9" s="1"/>
  <c r="F38" i="9"/>
  <c r="G38" i="9" s="1"/>
  <c r="F106" i="9"/>
  <c r="G106" i="9" s="1"/>
  <c r="F16" i="9"/>
  <c r="F116" i="9"/>
  <c r="G116" i="9" s="1"/>
  <c r="F146" i="9"/>
  <c r="G146" i="9" s="1"/>
  <c r="F154" i="9"/>
  <c r="G154" i="9" s="1"/>
  <c r="F186" i="9"/>
  <c r="G186" i="9" s="1"/>
  <c r="F194" i="9"/>
  <c r="G194" i="9" s="1"/>
  <c r="F210" i="9"/>
  <c r="G210" i="9" s="1"/>
  <c r="F250" i="9"/>
  <c r="G250" i="9" s="1"/>
  <c r="F258" i="9"/>
  <c r="F266" i="9"/>
  <c r="G266" i="9" s="1"/>
  <c r="F282" i="9"/>
  <c r="G282" i="9" s="1"/>
  <c r="F306" i="9"/>
  <c r="G306" i="9" s="1"/>
  <c r="F78" i="9"/>
  <c r="G78" i="9" s="1"/>
  <c r="F98" i="9"/>
  <c r="G98" i="9" s="1"/>
  <c r="F134" i="9"/>
  <c r="G134" i="9" s="1"/>
  <c r="F158" i="9"/>
  <c r="G158" i="9" s="1"/>
  <c r="F190" i="9"/>
  <c r="F206" i="9"/>
  <c r="G206" i="9" s="1"/>
  <c r="F246" i="9"/>
  <c r="G246" i="9" s="1"/>
  <c r="F262" i="9"/>
  <c r="G262" i="9" s="1"/>
  <c r="F286" i="9"/>
  <c r="G286" i="9" s="1"/>
  <c r="F302" i="9"/>
  <c r="G302" i="9" s="1"/>
  <c r="F318" i="9"/>
  <c r="G318" i="9" s="1"/>
  <c r="F94" i="9"/>
  <c r="G94" i="9" s="1"/>
  <c r="F110" i="9"/>
  <c r="F32" i="9"/>
  <c r="G32" i="9" s="1"/>
  <c r="F64" i="9"/>
  <c r="G64" i="9" s="1"/>
  <c r="F104" i="9"/>
  <c r="G104" i="9" s="1"/>
  <c r="F120" i="9"/>
  <c r="G120" i="9" s="1"/>
  <c r="F128" i="9"/>
  <c r="G128" i="9" s="1"/>
  <c r="F136" i="9"/>
  <c r="G136" i="9" s="1"/>
  <c r="F144" i="9"/>
  <c r="G144" i="9" s="1"/>
  <c r="F152" i="9"/>
  <c r="F160" i="9"/>
  <c r="G160" i="9" s="1"/>
  <c r="F168" i="9"/>
  <c r="G168" i="9" s="1"/>
  <c r="F176" i="9"/>
  <c r="G176" i="9" s="1"/>
  <c r="F184" i="9"/>
  <c r="G184" i="9" s="1"/>
  <c r="F192" i="9"/>
  <c r="G192" i="9" s="1"/>
  <c r="F200" i="9"/>
  <c r="G200" i="9" s="1"/>
  <c r="F208" i="9"/>
  <c r="G208" i="9" s="1"/>
  <c r="F216" i="9"/>
  <c r="F224" i="9"/>
  <c r="G224" i="9" s="1"/>
  <c r="F232" i="9"/>
  <c r="G232" i="9" s="1"/>
  <c r="F240" i="9"/>
  <c r="G240" i="9" s="1"/>
  <c r="F248" i="9"/>
  <c r="G248" i="9" s="1"/>
  <c r="F256" i="9"/>
  <c r="G256" i="9" s="1"/>
  <c r="F264" i="9"/>
  <c r="G264" i="9" s="1"/>
  <c r="F272" i="9"/>
  <c r="G272" i="9" s="1"/>
  <c r="F280" i="9"/>
  <c r="F288" i="9"/>
  <c r="G288" i="9" s="1"/>
  <c r="F296" i="9"/>
  <c r="G296" i="9" s="1"/>
  <c r="F304" i="9"/>
  <c r="G304" i="9" s="1"/>
  <c r="F312" i="9"/>
  <c r="G312" i="9" s="1"/>
  <c r="F114" i="9"/>
  <c r="G114" i="9" s="1"/>
  <c r="F126" i="9"/>
  <c r="G126" i="9" s="1"/>
  <c r="F150" i="9"/>
  <c r="G150" i="9" s="1"/>
  <c r="F222" i="9"/>
  <c r="F238" i="9"/>
  <c r="G238" i="9" s="1"/>
  <c r="F270" i="9"/>
  <c r="G270" i="9" s="1"/>
  <c r="F310" i="9"/>
  <c r="G310" i="9" s="1"/>
  <c r="I314" i="37"/>
  <c r="F30" i="48"/>
  <c r="F314" i="37"/>
  <c r="G13" i="9"/>
  <c r="G16" i="9"/>
  <c r="G96" i="9"/>
  <c r="G152" i="9"/>
  <c r="G172" i="9"/>
  <c r="G216" i="9"/>
  <c r="G236" i="9"/>
  <c r="G29" i="9"/>
  <c r="G34" i="9"/>
  <c r="G45" i="9"/>
  <c r="G46" i="9"/>
  <c r="G61" i="9"/>
  <c r="G66" i="9"/>
  <c r="G70" i="9"/>
  <c r="G77" i="9"/>
  <c r="G93" i="9"/>
  <c r="G105" i="9"/>
  <c r="G110" i="9"/>
  <c r="G121" i="9"/>
  <c r="G137" i="9"/>
  <c r="G142" i="9"/>
  <c r="G153" i="9"/>
  <c r="G169" i="9"/>
  <c r="G170" i="9"/>
  <c r="G185" i="9"/>
  <c r="G190" i="9"/>
  <c r="G201" i="9"/>
  <c r="G217" i="9"/>
  <c r="G222" i="9"/>
  <c r="G226" i="9"/>
  <c r="G233" i="9"/>
  <c r="G249" i="9"/>
  <c r="G258" i="9"/>
  <c r="G265" i="9"/>
  <c r="G281" i="9"/>
  <c r="G297" i="9"/>
  <c r="G313" i="9"/>
  <c r="G280" i="9"/>
  <c r="G300" i="9"/>
  <c r="F11" i="9"/>
  <c r="O6" i="49"/>
  <c r="M6" i="25" s="1"/>
  <c r="M315" i="25" s="1"/>
  <c r="E48" i="48"/>
  <c r="F48" i="48" s="1"/>
  <c r="F50" i="48" s="1"/>
  <c r="F145" i="25" l="1"/>
  <c r="D144" i="39"/>
  <c r="D144" i="12"/>
  <c r="D158" i="12"/>
  <c r="F159" i="25"/>
  <c r="D158" i="39"/>
  <c r="F289" i="25"/>
  <c r="D288" i="39"/>
  <c r="D288" i="12"/>
  <c r="D305" i="12"/>
  <c r="F306" i="25"/>
  <c r="D305" i="39"/>
  <c r="D289" i="12"/>
  <c r="F290" i="25"/>
  <c r="D289" i="39"/>
  <c r="D273" i="12"/>
  <c r="F274" i="25"/>
  <c r="D273" i="39"/>
  <c r="D18" i="12"/>
  <c r="D18" i="39"/>
  <c r="F19" i="25"/>
  <c r="D85" i="12"/>
  <c r="F86" i="25"/>
  <c r="D85" i="39"/>
  <c r="D69" i="12"/>
  <c r="F70" i="25"/>
  <c r="D69" i="39"/>
  <c r="D53" i="12"/>
  <c r="F54" i="25"/>
  <c r="D53" i="39"/>
  <c r="D37" i="12"/>
  <c r="F38" i="25"/>
  <c r="D37" i="39"/>
  <c r="D21" i="12"/>
  <c r="F22" i="25"/>
  <c r="D21" i="39"/>
  <c r="F259" i="25"/>
  <c r="D258" i="12"/>
  <c r="D258" i="39"/>
  <c r="D194" i="12"/>
  <c r="D194" i="39"/>
  <c r="F195" i="25"/>
  <c r="D130" i="39"/>
  <c r="F131" i="25"/>
  <c r="D130" i="12"/>
  <c r="D204" i="12"/>
  <c r="F205" i="25"/>
  <c r="D204" i="39"/>
  <c r="F133" i="25"/>
  <c r="D132" i="12"/>
  <c r="D132" i="39"/>
  <c r="D214" i="39"/>
  <c r="D214" i="12"/>
  <c r="F215" i="25"/>
  <c r="F151" i="25"/>
  <c r="D150" i="12"/>
  <c r="D150" i="39"/>
  <c r="D272" i="39"/>
  <c r="F273" i="25"/>
  <c r="D272" i="12"/>
  <c r="F117" i="25"/>
  <c r="D116" i="39"/>
  <c r="D116" i="12"/>
  <c r="D38" i="12"/>
  <c r="D38" i="39"/>
  <c r="F39" i="25"/>
  <c r="D303" i="12"/>
  <c r="D303" i="39"/>
  <c r="F304" i="25"/>
  <c r="D287" i="12"/>
  <c r="D287" i="39"/>
  <c r="F288" i="25"/>
  <c r="F256" i="25"/>
  <c r="D255" i="12"/>
  <c r="D255" i="39"/>
  <c r="F240" i="25"/>
  <c r="D239" i="39"/>
  <c r="D239" i="12"/>
  <c r="D223" i="12"/>
  <c r="F224" i="25"/>
  <c r="D223" i="39"/>
  <c r="D207" i="12"/>
  <c r="F208" i="25"/>
  <c r="D207" i="39"/>
  <c r="D191" i="12"/>
  <c r="F192" i="25"/>
  <c r="D191" i="39"/>
  <c r="D175" i="12"/>
  <c r="F176" i="25"/>
  <c r="D175" i="39"/>
  <c r="D159" i="12"/>
  <c r="F160" i="25"/>
  <c r="D159" i="39"/>
  <c r="D143" i="12"/>
  <c r="F144" i="25"/>
  <c r="D143" i="39"/>
  <c r="D127" i="12"/>
  <c r="F128" i="25"/>
  <c r="D127" i="39"/>
  <c r="D111" i="12"/>
  <c r="F112" i="25"/>
  <c r="D111" i="39"/>
  <c r="F96" i="25"/>
  <c r="D95" i="39"/>
  <c r="D95" i="12"/>
  <c r="F9" i="25"/>
  <c r="D8" i="12"/>
  <c r="D8" i="39"/>
  <c r="F87" i="25"/>
  <c r="D86" i="39"/>
  <c r="D86" i="12"/>
  <c r="F139" i="25"/>
  <c r="D138" i="39"/>
  <c r="D138" i="12"/>
  <c r="F45" i="25"/>
  <c r="D44" i="12"/>
  <c r="D44" i="39"/>
  <c r="D306" i="39"/>
  <c r="F307" i="25"/>
  <c r="D306" i="12"/>
  <c r="D178" i="12"/>
  <c r="D178" i="39"/>
  <c r="F179" i="25"/>
  <c r="F193" i="25"/>
  <c r="D192" i="39"/>
  <c r="D192" i="12"/>
  <c r="D262" i="39"/>
  <c r="F263" i="25"/>
  <c r="D262" i="12"/>
  <c r="F209" i="25"/>
  <c r="D208" i="39"/>
  <c r="D208" i="12"/>
  <c r="D251" i="12"/>
  <c r="F252" i="25"/>
  <c r="D251" i="39"/>
  <c r="D203" i="12"/>
  <c r="F204" i="25"/>
  <c r="D203" i="39"/>
  <c r="D155" i="12"/>
  <c r="F156" i="25"/>
  <c r="D155" i="39"/>
  <c r="F108" i="25"/>
  <c r="D107" i="39"/>
  <c r="D107" i="12"/>
  <c r="D54" i="12"/>
  <c r="D54" i="39"/>
  <c r="F55" i="25"/>
  <c r="F48" i="25"/>
  <c r="D47" i="12"/>
  <c r="D47" i="39"/>
  <c r="F299" i="25"/>
  <c r="D298" i="12"/>
  <c r="D298" i="39"/>
  <c r="D228" i="12"/>
  <c r="D228" i="39"/>
  <c r="F229" i="25"/>
  <c r="F53" i="25"/>
  <c r="D52" i="39"/>
  <c r="D52" i="12"/>
  <c r="D61" i="12"/>
  <c r="F62" i="25"/>
  <c r="D61" i="39"/>
  <c r="D13" i="12"/>
  <c r="F14" i="25"/>
  <c r="D13" i="39"/>
  <c r="F267" i="25"/>
  <c r="D266" i="39"/>
  <c r="D266" i="12"/>
  <c r="F245" i="25"/>
  <c r="D244" i="39"/>
  <c r="D244" i="12"/>
  <c r="D212" i="12"/>
  <c r="F213" i="25"/>
  <c r="D212" i="39"/>
  <c r="D236" i="12"/>
  <c r="F237" i="25"/>
  <c r="D236" i="39"/>
  <c r="D198" i="12"/>
  <c r="F199" i="25"/>
  <c r="D198" i="39"/>
  <c r="D96" i="39"/>
  <c r="F97" i="25"/>
  <c r="D96" i="12"/>
  <c r="D267" i="12"/>
  <c r="F268" i="25"/>
  <c r="D267" i="39"/>
  <c r="F236" i="25"/>
  <c r="D235" i="12"/>
  <c r="D235" i="39"/>
  <c r="D171" i="12"/>
  <c r="F172" i="25"/>
  <c r="D171" i="39"/>
  <c r="F140" i="25"/>
  <c r="D139" i="12"/>
  <c r="D139" i="39"/>
  <c r="D91" i="12"/>
  <c r="F92" i="25"/>
  <c r="D91" i="39"/>
  <c r="D79" i="12"/>
  <c r="F80" i="25"/>
  <c r="D79" i="39"/>
  <c r="F16" i="25"/>
  <c r="D15" i="12"/>
  <c r="D15" i="39"/>
  <c r="F305" i="25"/>
  <c r="D304" i="39"/>
  <c r="D304" i="12"/>
  <c r="F149" i="25"/>
  <c r="D148" i="39"/>
  <c r="D148" i="12"/>
  <c r="D82" i="39"/>
  <c r="F83" i="25"/>
  <c r="D82" i="12"/>
  <c r="D77" i="12"/>
  <c r="F78" i="25"/>
  <c r="D77" i="39"/>
  <c r="D29" i="12"/>
  <c r="F30" i="25"/>
  <c r="D29" i="39"/>
  <c r="D202" i="12"/>
  <c r="F203" i="25"/>
  <c r="D202" i="39"/>
  <c r="F101" i="25"/>
  <c r="D100" i="39"/>
  <c r="D100" i="12"/>
  <c r="D102" i="39"/>
  <c r="F103" i="25"/>
  <c r="D102" i="12"/>
  <c r="F157" i="25"/>
  <c r="D156" i="39"/>
  <c r="D156" i="12"/>
  <c r="D222" i="12"/>
  <c r="D222" i="39"/>
  <c r="F223" i="25"/>
  <c r="F13" i="25"/>
  <c r="D12" i="12"/>
  <c r="D12" i="39"/>
  <c r="F243" i="25"/>
  <c r="D242" i="39"/>
  <c r="D242" i="12"/>
  <c r="D114" i="39"/>
  <c r="F115" i="25"/>
  <c r="D114" i="12"/>
  <c r="F181" i="25"/>
  <c r="D180" i="39"/>
  <c r="D180" i="12"/>
  <c r="F95" i="25"/>
  <c r="D94" i="39"/>
  <c r="D94" i="12"/>
  <c r="F135" i="25"/>
  <c r="D134" i="39"/>
  <c r="D134" i="12"/>
  <c r="D34" i="12"/>
  <c r="D34" i="39"/>
  <c r="F35" i="25"/>
  <c r="F220" i="25"/>
  <c r="D219" i="12"/>
  <c r="D219" i="39"/>
  <c r="D187" i="12"/>
  <c r="F188" i="25"/>
  <c r="D187" i="39"/>
  <c r="F124" i="25"/>
  <c r="D123" i="12"/>
  <c r="D123" i="39"/>
  <c r="F69" i="25"/>
  <c r="D68" i="12"/>
  <c r="D68" i="39"/>
  <c r="F64" i="25"/>
  <c r="D63" i="12"/>
  <c r="D63" i="39"/>
  <c r="F32" i="25"/>
  <c r="D31" i="12"/>
  <c r="D31" i="39"/>
  <c r="D98" i="39"/>
  <c r="F99" i="25"/>
  <c r="D98" i="12"/>
  <c r="F301" i="25"/>
  <c r="D300" i="39"/>
  <c r="D300" i="12"/>
  <c r="F37" i="25"/>
  <c r="D36" i="39"/>
  <c r="D36" i="12"/>
  <c r="D45" i="12"/>
  <c r="F46" i="25"/>
  <c r="D45" i="39"/>
  <c r="D216" i="12"/>
  <c r="F217" i="25"/>
  <c r="D216" i="39"/>
  <c r="F210" i="25"/>
  <c r="D209" i="39"/>
  <c r="D209" i="12"/>
  <c r="D301" i="12"/>
  <c r="F302" i="25"/>
  <c r="D301" i="39"/>
  <c r="D285" i="12"/>
  <c r="F286" i="25"/>
  <c r="D285" i="39"/>
  <c r="F313" i="25"/>
  <c r="D312" i="39"/>
  <c r="D312" i="12"/>
  <c r="D296" i="39"/>
  <c r="F297" i="25"/>
  <c r="D296" i="12"/>
  <c r="F281" i="25"/>
  <c r="D280" i="39"/>
  <c r="D280" i="12"/>
  <c r="D263" i="12"/>
  <c r="F264" i="25"/>
  <c r="D263" i="39"/>
  <c r="D247" i="12"/>
  <c r="F248" i="25"/>
  <c r="D247" i="39"/>
  <c r="D231" i="12"/>
  <c r="F232" i="25"/>
  <c r="D231" i="39"/>
  <c r="D215" i="12"/>
  <c r="F216" i="25"/>
  <c r="D215" i="39"/>
  <c r="D199" i="12"/>
  <c r="F200" i="25"/>
  <c r="D199" i="39"/>
  <c r="D183" i="12"/>
  <c r="F184" i="25"/>
  <c r="D183" i="39"/>
  <c r="F168" i="25"/>
  <c r="D167" i="39"/>
  <c r="D167" i="12"/>
  <c r="D151" i="12"/>
  <c r="F152" i="25"/>
  <c r="D151" i="39"/>
  <c r="F136" i="25"/>
  <c r="D135" i="12"/>
  <c r="D135" i="39"/>
  <c r="D119" i="12"/>
  <c r="F120" i="25"/>
  <c r="D119" i="39"/>
  <c r="F104" i="25"/>
  <c r="D103" i="39"/>
  <c r="D103" i="12"/>
  <c r="F88" i="25"/>
  <c r="D87" i="39"/>
  <c r="D87" i="12"/>
  <c r="D71" i="12"/>
  <c r="F72" i="25"/>
  <c r="D71" i="39"/>
  <c r="D55" i="12"/>
  <c r="F56" i="25"/>
  <c r="D55" i="39"/>
  <c r="D39" i="12"/>
  <c r="F40" i="25"/>
  <c r="D39" i="39"/>
  <c r="D23" i="12"/>
  <c r="F24" i="25"/>
  <c r="D23" i="39"/>
  <c r="F271" i="25"/>
  <c r="D270" i="12"/>
  <c r="D270" i="39"/>
  <c r="F255" i="25"/>
  <c r="D254" i="39"/>
  <c r="D254" i="12"/>
  <c r="D238" i="12"/>
  <c r="F239" i="25"/>
  <c r="D238" i="39"/>
  <c r="D206" i="12"/>
  <c r="D206" i="39"/>
  <c r="F207" i="25"/>
  <c r="D190" i="12"/>
  <c r="F191" i="25"/>
  <c r="D190" i="39"/>
  <c r="F175" i="25"/>
  <c r="D174" i="12"/>
  <c r="D174" i="39"/>
  <c r="F143" i="25"/>
  <c r="D142" i="12"/>
  <c r="D142" i="39"/>
  <c r="D126" i="39"/>
  <c r="F127" i="25"/>
  <c r="D126" i="12"/>
  <c r="F111" i="25"/>
  <c r="D110" i="12"/>
  <c r="D110" i="39"/>
  <c r="D78" i="39"/>
  <c r="F79" i="25"/>
  <c r="D78" i="12"/>
  <c r="D62" i="12"/>
  <c r="D62" i="39"/>
  <c r="F63" i="25"/>
  <c r="D46" i="12"/>
  <c r="F47" i="25"/>
  <c r="D46" i="39"/>
  <c r="D30" i="12"/>
  <c r="D30" i="39"/>
  <c r="F31" i="25"/>
  <c r="D14" i="12"/>
  <c r="F15" i="25"/>
  <c r="D14" i="39"/>
  <c r="D282" i="39"/>
  <c r="F283" i="25"/>
  <c r="D282" i="12"/>
  <c r="D311" i="12"/>
  <c r="D311" i="39"/>
  <c r="F312" i="25"/>
  <c r="D295" i="12"/>
  <c r="F296" i="25"/>
  <c r="D295" i="39"/>
  <c r="D279" i="12"/>
  <c r="F280" i="25"/>
  <c r="D279" i="39"/>
  <c r="F261" i="25"/>
  <c r="D260" i="39"/>
  <c r="D260" i="12"/>
  <c r="D196" i="12"/>
  <c r="F197" i="25"/>
  <c r="D196" i="39"/>
  <c r="F165" i="25"/>
  <c r="D164" i="39"/>
  <c r="D164" i="12"/>
  <c r="F85" i="25"/>
  <c r="D84" i="39"/>
  <c r="D84" i="12"/>
  <c r="F21" i="25"/>
  <c r="D20" i="39"/>
  <c r="D20" i="12"/>
  <c r="D269" i="12"/>
  <c r="F270" i="25"/>
  <c r="D269" i="39"/>
  <c r="D253" i="12"/>
  <c r="F254" i="25"/>
  <c r="D253" i="39"/>
  <c r="F238" i="25"/>
  <c r="D237" i="39"/>
  <c r="D237" i="12"/>
  <c r="F222" i="25"/>
  <c r="D221" i="39"/>
  <c r="D221" i="12"/>
  <c r="F206" i="25"/>
  <c r="D205" i="12"/>
  <c r="D205" i="39"/>
  <c r="F190" i="25"/>
  <c r="D189" i="39"/>
  <c r="D189" i="12"/>
  <c r="D173" i="12"/>
  <c r="F174" i="25"/>
  <c r="D173" i="39"/>
  <c r="D157" i="12"/>
  <c r="F158" i="25"/>
  <c r="D157" i="39"/>
  <c r="F142" i="25"/>
  <c r="D141" i="39"/>
  <c r="D141" i="12"/>
  <c r="F126" i="25"/>
  <c r="D125" i="39"/>
  <c r="D125" i="12"/>
  <c r="D109" i="12"/>
  <c r="F110" i="25"/>
  <c r="D109" i="39"/>
  <c r="D93" i="12"/>
  <c r="F94" i="25"/>
  <c r="D93" i="39"/>
  <c r="D286" i="39"/>
  <c r="F287" i="25"/>
  <c r="D286" i="12"/>
  <c r="F300" i="25"/>
  <c r="D299" i="12"/>
  <c r="D299" i="39"/>
  <c r="F265" i="25"/>
  <c r="D264" i="12"/>
  <c r="D264" i="39"/>
  <c r="D232" i="12"/>
  <c r="F233" i="25"/>
  <c r="D232" i="39"/>
  <c r="D184" i="12"/>
  <c r="D184" i="39"/>
  <c r="F185" i="25"/>
  <c r="F153" i="25"/>
  <c r="D152" i="12"/>
  <c r="D152" i="39"/>
  <c r="F121" i="25"/>
  <c r="D120" i="39"/>
  <c r="D120" i="12"/>
  <c r="F105" i="25"/>
  <c r="D104" i="39"/>
  <c r="D104" i="12"/>
  <c r="F73" i="25"/>
  <c r="D72" i="39"/>
  <c r="D72" i="12"/>
  <c r="F41" i="25"/>
  <c r="D40" i="39"/>
  <c r="D40" i="12"/>
  <c r="D6" i="12"/>
  <c r="D6" i="39"/>
  <c r="F7" i="25"/>
  <c r="F226" i="25"/>
  <c r="D225" i="39"/>
  <c r="D225" i="12"/>
  <c r="F178" i="25"/>
  <c r="D177" i="39"/>
  <c r="D177" i="12"/>
  <c r="F146" i="25"/>
  <c r="D145" i="39"/>
  <c r="D145" i="12"/>
  <c r="F114" i="25"/>
  <c r="D113" i="12"/>
  <c r="D113" i="39"/>
  <c r="D81" i="12"/>
  <c r="F82" i="25"/>
  <c r="D81" i="39"/>
  <c r="F50" i="25"/>
  <c r="D49" i="12"/>
  <c r="D49" i="39"/>
  <c r="D33" i="12"/>
  <c r="F34" i="25"/>
  <c r="D33" i="39"/>
  <c r="D313" i="12"/>
  <c r="F314" i="25"/>
  <c r="D313" i="39"/>
  <c r="F309" i="25"/>
  <c r="D308" i="39"/>
  <c r="D308" i="12"/>
  <c r="D259" i="12"/>
  <c r="F260" i="25"/>
  <c r="D259" i="39"/>
  <c r="D211" i="12"/>
  <c r="F212" i="25"/>
  <c r="D211" i="39"/>
  <c r="F148" i="25"/>
  <c r="D147" i="12"/>
  <c r="D147" i="39"/>
  <c r="D99" i="12"/>
  <c r="F100" i="25"/>
  <c r="D99" i="39"/>
  <c r="D51" i="12"/>
  <c r="F52" i="25"/>
  <c r="D51" i="39"/>
  <c r="F219" i="25"/>
  <c r="D218" i="39"/>
  <c r="D218" i="12"/>
  <c r="D170" i="12"/>
  <c r="F171" i="25"/>
  <c r="D170" i="39"/>
  <c r="D122" i="39"/>
  <c r="F123" i="25"/>
  <c r="D122" i="12"/>
  <c r="D74" i="39"/>
  <c r="F75" i="25"/>
  <c r="D74" i="12"/>
  <c r="D26" i="12"/>
  <c r="F27" i="25"/>
  <c r="D26" i="39"/>
  <c r="F311" i="25"/>
  <c r="D310" i="39"/>
  <c r="D310" i="12"/>
  <c r="D291" i="12"/>
  <c r="D291" i="39"/>
  <c r="F292" i="25"/>
  <c r="F241" i="25"/>
  <c r="D240" i="39"/>
  <c r="D240" i="12"/>
  <c r="F129" i="25"/>
  <c r="D128" i="39"/>
  <c r="D128" i="12"/>
  <c r="F65" i="25"/>
  <c r="D64" i="39"/>
  <c r="D64" i="12"/>
  <c r="D265" i="12"/>
  <c r="F266" i="25"/>
  <c r="D265" i="39"/>
  <c r="F186" i="25"/>
  <c r="D185" i="39"/>
  <c r="D185" i="12"/>
  <c r="D105" i="12"/>
  <c r="F106" i="25"/>
  <c r="D105" i="39"/>
  <c r="D57" i="12"/>
  <c r="F58" i="25"/>
  <c r="D57" i="39"/>
  <c r="D9" i="12"/>
  <c r="F10" i="25"/>
  <c r="D9" i="39"/>
  <c r="D309" i="12"/>
  <c r="F310" i="25"/>
  <c r="D309" i="39"/>
  <c r="D293" i="12"/>
  <c r="F294" i="25"/>
  <c r="D293" i="39"/>
  <c r="D277" i="12"/>
  <c r="F278" i="25"/>
  <c r="D277" i="39"/>
  <c r="F247" i="25"/>
  <c r="D246" i="39"/>
  <c r="D246" i="12"/>
  <c r="D230" i="12"/>
  <c r="F231" i="25"/>
  <c r="D230" i="39"/>
  <c r="D182" i="12"/>
  <c r="F183" i="25"/>
  <c r="D182" i="39"/>
  <c r="F167" i="25"/>
  <c r="D166" i="39"/>
  <c r="D166" i="12"/>
  <c r="F119" i="25"/>
  <c r="D118" i="12"/>
  <c r="D118" i="39"/>
  <c r="D70" i="39"/>
  <c r="F71" i="25"/>
  <c r="D70" i="12"/>
  <c r="D22" i="12"/>
  <c r="D22" i="39"/>
  <c r="F23" i="25"/>
  <c r="D302" i="39"/>
  <c r="F303" i="25"/>
  <c r="D302" i="12"/>
  <c r="D271" i="12"/>
  <c r="F272" i="25"/>
  <c r="D271" i="39"/>
  <c r="D283" i="12"/>
  <c r="D283" i="39"/>
  <c r="F284" i="25"/>
  <c r="F249" i="25"/>
  <c r="D248" i="39"/>
  <c r="D248" i="12"/>
  <c r="D200" i="12"/>
  <c r="F201" i="25"/>
  <c r="D200" i="39"/>
  <c r="F169" i="25"/>
  <c r="D168" i="39"/>
  <c r="D168" i="12"/>
  <c r="F137" i="25"/>
  <c r="D136" i="39"/>
  <c r="D136" i="12"/>
  <c r="F89" i="25"/>
  <c r="D88" i="39"/>
  <c r="D88" i="12"/>
  <c r="F57" i="25"/>
  <c r="D56" i="12"/>
  <c r="D56" i="39"/>
  <c r="F25" i="25"/>
  <c r="D24" i="12"/>
  <c r="D24" i="39"/>
  <c r="D257" i="12"/>
  <c r="D257" i="39"/>
  <c r="F258" i="25"/>
  <c r="F242" i="25"/>
  <c r="D241" i="39"/>
  <c r="D241" i="12"/>
  <c r="F194" i="25"/>
  <c r="D193" i="39"/>
  <c r="D193" i="12"/>
  <c r="D161" i="12"/>
  <c r="F162" i="25"/>
  <c r="D161" i="39"/>
  <c r="F130" i="25"/>
  <c r="D129" i="12"/>
  <c r="D129" i="39"/>
  <c r="D97" i="12"/>
  <c r="F98" i="25"/>
  <c r="D97" i="39"/>
  <c r="D65" i="12"/>
  <c r="F66" i="25"/>
  <c r="D65" i="39"/>
  <c r="D17" i="12"/>
  <c r="F18" i="25"/>
  <c r="D17" i="39"/>
  <c r="D281" i="12"/>
  <c r="F282" i="25"/>
  <c r="D281" i="39"/>
  <c r="F277" i="25"/>
  <c r="D276" i="39"/>
  <c r="D276" i="12"/>
  <c r="D227" i="12"/>
  <c r="F228" i="25"/>
  <c r="D227" i="39"/>
  <c r="D179" i="12"/>
  <c r="F180" i="25"/>
  <c r="D179" i="39"/>
  <c r="F132" i="25"/>
  <c r="D131" i="39"/>
  <c r="D131" i="12"/>
  <c r="F84" i="25"/>
  <c r="D83" i="12"/>
  <c r="D83" i="39"/>
  <c r="F36" i="25"/>
  <c r="D35" i="12"/>
  <c r="D35" i="39"/>
  <c r="F251" i="25"/>
  <c r="D250" i="39"/>
  <c r="D250" i="12"/>
  <c r="D154" i="12"/>
  <c r="F155" i="25"/>
  <c r="D154" i="39"/>
  <c r="F107" i="25"/>
  <c r="D106" i="39"/>
  <c r="D106" i="12"/>
  <c r="D58" i="12"/>
  <c r="F59" i="25"/>
  <c r="D58" i="39"/>
  <c r="D10" i="12"/>
  <c r="D10" i="39"/>
  <c r="F11" i="25"/>
  <c r="F279" i="25"/>
  <c r="D278" i="39"/>
  <c r="D278" i="12"/>
  <c r="D275" i="12"/>
  <c r="D275" i="39"/>
  <c r="F276" i="25"/>
  <c r="D224" i="12"/>
  <c r="F225" i="25"/>
  <c r="D224" i="39"/>
  <c r="D176" i="12"/>
  <c r="F177" i="25"/>
  <c r="D176" i="39"/>
  <c r="D80" i="39"/>
  <c r="F81" i="25"/>
  <c r="D80" i="12"/>
  <c r="D32" i="39"/>
  <c r="F33" i="25"/>
  <c r="D32" i="12"/>
  <c r="F250" i="25"/>
  <c r="D249" i="12"/>
  <c r="D249" i="39"/>
  <c r="F202" i="25"/>
  <c r="D201" i="39"/>
  <c r="D201" i="12"/>
  <c r="F138" i="25"/>
  <c r="D137" i="39"/>
  <c r="D137" i="12"/>
  <c r="D73" i="12"/>
  <c r="F74" i="25"/>
  <c r="D73" i="39"/>
  <c r="D25" i="12"/>
  <c r="F26" i="25"/>
  <c r="D25" i="39"/>
  <c r="D290" i="39"/>
  <c r="F291" i="25"/>
  <c r="D290" i="12"/>
  <c r="D274" i="39"/>
  <c r="F275" i="25"/>
  <c r="D274" i="12"/>
  <c r="F269" i="25"/>
  <c r="D268" i="39"/>
  <c r="D268" i="12"/>
  <c r="F253" i="25"/>
  <c r="D252" i="39"/>
  <c r="D252" i="12"/>
  <c r="D220" i="12"/>
  <c r="F221" i="25"/>
  <c r="D220" i="39"/>
  <c r="F189" i="25"/>
  <c r="D188" i="12"/>
  <c r="D188" i="39"/>
  <c r="F173" i="25"/>
  <c r="D172" i="39"/>
  <c r="D172" i="12"/>
  <c r="F141" i="25"/>
  <c r="D140" i="39"/>
  <c r="D140" i="12"/>
  <c r="F125" i="25"/>
  <c r="D124" i="12"/>
  <c r="D124" i="39"/>
  <c r="F109" i="25"/>
  <c r="D108" i="39"/>
  <c r="D108" i="12"/>
  <c r="F93" i="25"/>
  <c r="D92" i="12"/>
  <c r="D92" i="39"/>
  <c r="F77" i="25"/>
  <c r="D76" i="12"/>
  <c r="D76" i="39"/>
  <c r="F61" i="25"/>
  <c r="D60" i="12"/>
  <c r="D60" i="39"/>
  <c r="F29" i="25"/>
  <c r="D28" i="12"/>
  <c r="D28" i="39"/>
  <c r="D261" i="12"/>
  <c r="F262" i="25"/>
  <c r="D261" i="39"/>
  <c r="D245" i="12"/>
  <c r="F246" i="25"/>
  <c r="D245" i="39"/>
  <c r="F230" i="25"/>
  <c r="D229" i="39"/>
  <c r="D229" i="12"/>
  <c r="F214" i="25"/>
  <c r="D213" i="39"/>
  <c r="D213" i="12"/>
  <c r="F198" i="25"/>
  <c r="D197" i="12"/>
  <c r="D197" i="39"/>
  <c r="F182" i="25"/>
  <c r="D181" i="39"/>
  <c r="D181" i="12"/>
  <c r="F166" i="25"/>
  <c r="D165" i="39"/>
  <c r="D165" i="12"/>
  <c r="F150" i="25"/>
  <c r="D149" i="39"/>
  <c r="D149" i="12"/>
  <c r="F134" i="25"/>
  <c r="D133" i="39"/>
  <c r="D133" i="12"/>
  <c r="F118" i="25"/>
  <c r="D117" i="12"/>
  <c r="D117" i="39"/>
  <c r="D101" i="12"/>
  <c r="F102" i="25"/>
  <c r="D101" i="39"/>
  <c r="D7" i="12"/>
  <c r="F8" i="25"/>
  <c r="D7" i="39"/>
  <c r="D297" i="12"/>
  <c r="F298" i="25"/>
  <c r="D297" i="39"/>
  <c r="F293" i="25"/>
  <c r="D292" i="39"/>
  <c r="D292" i="12"/>
  <c r="D243" i="12"/>
  <c r="F244" i="25"/>
  <c r="D243" i="39"/>
  <c r="D195" i="12"/>
  <c r="F196" i="25"/>
  <c r="D195" i="39"/>
  <c r="D163" i="12"/>
  <c r="F164" i="25"/>
  <c r="D163" i="39"/>
  <c r="F116" i="25"/>
  <c r="D115" i="12"/>
  <c r="D115" i="39"/>
  <c r="D67" i="12"/>
  <c r="F68" i="25"/>
  <c r="D67" i="39"/>
  <c r="D19" i="12"/>
  <c r="F20" i="25"/>
  <c r="D19" i="39"/>
  <c r="D234" i="39"/>
  <c r="F235" i="25"/>
  <c r="D234" i="12"/>
  <c r="D186" i="12"/>
  <c r="F187" i="25"/>
  <c r="D186" i="39"/>
  <c r="D90" i="39"/>
  <c r="F91" i="25"/>
  <c r="D90" i="12"/>
  <c r="D42" i="12"/>
  <c r="D42" i="39"/>
  <c r="F43" i="25"/>
  <c r="D294" i="39"/>
  <c r="F295" i="25"/>
  <c r="D294" i="12"/>
  <c r="D307" i="12"/>
  <c r="F308" i="25"/>
  <c r="D307" i="39"/>
  <c r="F257" i="25"/>
  <c r="D256" i="39"/>
  <c r="D256" i="12"/>
  <c r="F161" i="25"/>
  <c r="D160" i="12"/>
  <c r="D160" i="39"/>
  <c r="F113" i="25"/>
  <c r="D112" i="12"/>
  <c r="D112" i="39"/>
  <c r="F49" i="25"/>
  <c r="D48" i="12"/>
  <c r="D48" i="39"/>
  <c r="F17" i="25"/>
  <c r="D16" i="39"/>
  <c r="D16" i="12"/>
  <c r="F234" i="25"/>
  <c r="D233" i="39"/>
  <c r="D233" i="12"/>
  <c r="F218" i="25"/>
  <c r="D217" i="39"/>
  <c r="D217" i="12"/>
  <c r="F170" i="25"/>
  <c r="D169" i="39"/>
  <c r="D169" i="12"/>
  <c r="F154" i="25"/>
  <c r="D153" i="39"/>
  <c r="D153" i="12"/>
  <c r="F122" i="25"/>
  <c r="D121" i="39"/>
  <c r="D121" i="12"/>
  <c r="F90" i="25"/>
  <c r="D89" i="12"/>
  <c r="D89" i="39"/>
  <c r="D41" i="12"/>
  <c r="F42" i="25"/>
  <c r="D41" i="39"/>
  <c r="F285" i="25"/>
  <c r="D284" i="39"/>
  <c r="D284" i="12"/>
  <c r="F76" i="25"/>
  <c r="D75" i="39"/>
  <c r="D75" i="12"/>
  <c r="F60" i="25"/>
  <c r="D59" i="39"/>
  <c r="D59" i="12"/>
  <c r="F44" i="25"/>
  <c r="D43" i="12"/>
  <c r="D43" i="39"/>
  <c r="F28" i="25"/>
  <c r="D27" i="39"/>
  <c r="D27" i="12"/>
  <c r="F12" i="25"/>
  <c r="D11" i="39"/>
  <c r="D11" i="12"/>
  <c r="F227" i="25"/>
  <c r="D226" i="12"/>
  <c r="D226" i="39"/>
  <c r="D210" i="12"/>
  <c r="F211" i="25"/>
  <c r="D210" i="39"/>
  <c r="F163" i="25"/>
  <c r="D162" i="39"/>
  <c r="D162" i="12"/>
  <c r="D146" i="39"/>
  <c r="F147" i="25"/>
  <c r="D146" i="12"/>
  <c r="D66" i="39"/>
  <c r="F67" i="25"/>
  <c r="D66" i="12"/>
  <c r="D50" i="12"/>
  <c r="D50" i="39"/>
  <c r="F51" i="25"/>
  <c r="G325" i="34"/>
  <c r="H325" i="34" s="1"/>
  <c r="F22" i="48"/>
  <c r="F24" i="48" s="1"/>
  <c r="J4" i="11"/>
  <c r="N4" i="11"/>
  <c r="G11" i="9"/>
  <c r="F6" i="25" s="1"/>
  <c r="F320" i="9"/>
  <c r="O315" i="49"/>
  <c r="N217" i="11" l="1"/>
  <c r="N242" i="11"/>
  <c r="J217" i="11"/>
  <c r="J242" i="11"/>
  <c r="G15" i="34"/>
  <c r="D5" i="12"/>
  <c r="O217" i="11"/>
  <c r="J168" i="11"/>
  <c r="J243" i="11"/>
  <c r="N168" i="11"/>
  <c r="N243" i="11"/>
  <c r="J46" i="11"/>
  <c r="J313" i="11"/>
  <c r="J311" i="11"/>
  <c r="J309" i="11"/>
  <c r="J307" i="11"/>
  <c r="J305" i="11"/>
  <c r="J303" i="11"/>
  <c r="J301" i="11"/>
  <c r="J299" i="11"/>
  <c r="J297" i="11"/>
  <c r="J295" i="11"/>
  <c r="J293" i="11"/>
  <c r="J291" i="11"/>
  <c r="J289" i="11"/>
  <c r="J287" i="11"/>
  <c r="J285" i="11"/>
  <c r="J283" i="11"/>
  <c r="J281" i="11"/>
  <c r="J279" i="11"/>
  <c r="J277" i="11"/>
  <c r="J275" i="11"/>
  <c r="J273" i="11"/>
  <c r="J271" i="11"/>
  <c r="J269" i="11"/>
  <c r="J267" i="11"/>
  <c r="J265" i="11"/>
  <c r="J263" i="11"/>
  <c r="J261" i="11"/>
  <c r="J259" i="11"/>
  <c r="J257" i="11"/>
  <c r="J255" i="11"/>
  <c r="J253" i="11"/>
  <c r="J251" i="11"/>
  <c r="J249" i="11"/>
  <c r="J247" i="11"/>
  <c r="J245" i="11"/>
  <c r="J241" i="11"/>
  <c r="J239" i="11"/>
  <c r="J237" i="11"/>
  <c r="J235" i="11"/>
  <c r="J233" i="11"/>
  <c r="J229" i="11"/>
  <c r="J225" i="11"/>
  <c r="J221" i="11"/>
  <c r="J216" i="11"/>
  <c r="J212" i="11"/>
  <c r="J208" i="11"/>
  <c r="J204" i="11"/>
  <c r="J232" i="11"/>
  <c r="J228" i="11"/>
  <c r="J224" i="11"/>
  <c r="J220" i="11"/>
  <c r="J215" i="11"/>
  <c r="J211" i="11"/>
  <c r="J207" i="11"/>
  <c r="J203" i="11"/>
  <c r="J201" i="11"/>
  <c r="J199" i="11"/>
  <c r="J197" i="11"/>
  <c r="J195" i="11"/>
  <c r="J193" i="11"/>
  <c r="J191" i="11"/>
  <c r="J189" i="11"/>
  <c r="J187" i="11"/>
  <c r="J185" i="11"/>
  <c r="J183" i="11"/>
  <c r="J181" i="11"/>
  <c r="J179" i="11"/>
  <c r="J177" i="11"/>
  <c r="J175" i="11"/>
  <c r="J173" i="11"/>
  <c r="J171" i="11"/>
  <c r="J169" i="11"/>
  <c r="J166" i="11"/>
  <c r="J164" i="11"/>
  <c r="J162" i="11"/>
  <c r="J160" i="11"/>
  <c r="J158" i="11"/>
  <c r="J156" i="11"/>
  <c r="J154" i="11"/>
  <c r="J152" i="11"/>
  <c r="J150" i="11"/>
  <c r="J148" i="11"/>
  <c r="J146" i="11"/>
  <c r="J144" i="11"/>
  <c r="J142" i="11"/>
  <c r="J140" i="11"/>
  <c r="J138" i="11"/>
  <c r="J136" i="11"/>
  <c r="J134" i="11"/>
  <c r="J132" i="11"/>
  <c r="J130" i="11"/>
  <c r="J128" i="11"/>
  <c r="J126" i="11"/>
  <c r="J124" i="11"/>
  <c r="J123" i="11"/>
  <c r="J121" i="11"/>
  <c r="J119" i="11"/>
  <c r="J117" i="11"/>
  <c r="J115" i="11"/>
  <c r="J113" i="11"/>
  <c r="J111" i="11"/>
  <c r="J109" i="11"/>
  <c r="J107" i="11"/>
  <c r="J105" i="11"/>
  <c r="J103" i="11"/>
  <c r="J101" i="11"/>
  <c r="J99" i="11"/>
  <c r="J122" i="11"/>
  <c r="J120" i="11"/>
  <c r="J118" i="11"/>
  <c r="J116" i="11"/>
  <c r="J114" i="11"/>
  <c r="J112" i="11"/>
  <c r="J110" i="11"/>
  <c r="J108" i="11"/>
  <c r="J106" i="11"/>
  <c r="J104" i="11"/>
  <c r="J102" i="11"/>
  <c r="J100" i="11"/>
  <c r="J98" i="11"/>
  <c r="J94" i="11"/>
  <c r="J90" i="11"/>
  <c r="J86" i="11"/>
  <c r="J84" i="11"/>
  <c r="J82" i="11"/>
  <c r="J80" i="11"/>
  <c r="J78" i="11"/>
  <c r="J76" i="11"/>
  <c r="J74" i="11"/>
  <c r="J72" i="11"/>
  <c r="J70" i="11"/>
  <c r="J68" i="11"/>
  <c r="J66" i="11"/>
  <c r="J64" i="11"/>
  <c r="J62" i="11"/>
  <c r="J60" i="11"/>
  <c r="J58" i="11"/>
  <c r="J56" i="11"/>
  <c r="J54" i="11"/>
  <c r="J52" i="11"/>
  <c r="J50" i="11"/>
  <c r="J48" i="11"/>
  <c r="J97" i="11"/>
  <c r="J93" i="11"/>
  <c r="J89" i="11"/>
  <c r="J85" i="11"/>
  <c r="J83" i="11"/>
  <c r="J81" i="11"/>
  <c r="J79" i="11"/>
  <c r="J77" i="11"/>
  <c r="J75" i="11"/>
  <c r="J73" i="11"/>
  <c r="J71" i="11"/>
  <c r="J69" i="11"/>
  <c r="J67" i="11"/>
  <c r="J65" i="11"/>
  <c r="J63" i="11"/>
  <c r="J61" i="11"/>
  <c r="J59" i="11"/>
  <c r="J57" i="11"/>
  <c r="J55" i="11"/>
  <c r="J53" i="11"/>
  <c r="J51" i="11"/>
  <c r="J49" i="11"/>
  <c r="J47" i="11"/>
  <c r="J44" i="11"/>
  <c r="J42" i="11"/>
  <c r="J40" i="11"/>
  <c r="J38" i="11"/>
  <c r="J36" i="11"/>
  <c r="J45" i="11"/>
  <c r="J32" i="11"/>
  <c r="J28" i="11"/>
  <c r="J24" i="11"/>
  <c r="J33" i="11"/>
  <c r="J29" i="11"/>
  <c r="J25" i="11"/>
  <c r="J22" i="11"/>
  <c r="J20" i="11"/>
  <c r="J19" i="11"/>
  <c r="J17" i="11"/>
  <c r="J15" i="11"/>
  <c r="J13" i="11"/>
  <c r="J11" i="11"/>
  <c r="J9" i="11"/>
  <c r="J7" i="11"/>
  <c r="J312" i="11"/>
  <c r="J310" i="11"/>
  <c r="J308" i="11"/>
  <c r="J306" i="11"/>
  <c r="J304" i="11"/>
  <c r="J302" i="11"/>
  <c r="J300" i="11"/>
  <c r="J298" i="11"/>
  <c r="J296" i="11"/>
  <c r="J294" i="11"/>
  <c r="J292" i="11"/>
  <c r="J290" i="11"/>
  <c r="J288" i="11"/>
  <c r="J286" i="11"/>
  <c r="J284" i="11"/>
  <c r="J282" i="11"/>
  <c r="J280" i="11"/>
  <c r="J278" i="11"/>
  <c r="J276" i="11"/>
  <c r="J274" i="11"/>
  <c r="J272" i="11"/>
  <c r="J270" i="11"/>
  <c r="J268" i="11"/>
  <c r="J266" i="11"/>
  <c r="J264" i="11"/>
  <c r="J262" i="11"/>
  <c r="J260" i="11"/>
  <c r="J258" i="11"/>
  <c r="J256" i="11"/>
  <c r="J254" i="11"/>
  <c r="J252" i="11"/>
  <c r="J250" i="11"/>
  <c r="J248" i="11"/>
  <c r="J246" i="11"/>
  <c r="J244" i="11"/>
  <c r="J240" i="11"/>
  <c r="J238" i="11"/>
  <c r="J236" i="11"/>
  <c r="J234" i="11"/>
  <c r="J231" i="11"/>
  <c r="J227" i="11"/>
  <c r="J223" i="11"/>
  <c r="J219" i="11"/>
  <c r="J214" i="11"/>
  <c r="J210" i="11"/>
  <c r="J206" i="11"/>
  <c r="J202" i="11"/>
  <c r="J200" i="11"/>
  <c r="J198" i="11"/>
  <c r="J196" i="11"/>
  <c r="J194" i="11"/>
  <c r="J192" i="11"/>
  <c r="J190" i="11"/>
  <c r="J188" i="11"/>
  <c r="J186" i="11"/>
  <c r="J184" i="11"/>
  <c r="J182" i="11"/>
  <c r="J180" i="11"/>
  <c r="J178" i="11"/>
  <c r="J176" i="11"/>
  <c r="J174" i="11"/>
  <c r="J172" i="11"/>
  <c r="J170" i="11"/>
  <c r="J167" i="11"/>
  <c r="J165" i="11"/>
  <c r="J163" i="11"/>
  <c r="J161" i="11"/>
  <c r="J159" i="11"/>
  <c r="J157" i="11"/>
  <c r="J155" i="11"/>
  <c r="J153" i="11"/>
  <c r="J151" i="11"/>
  <c r="J149" i="11"/>
  <c r="J147" i="11"/>
  <c r="J145" i="11"/>
  <c r="J143" i="11"/>
  <c r="J141" i="11"/>
  <c r="J139" i="11"/>
  <c r="J137" i="11"/>
  <c r="J135" i="11"/>
  <c r="J133" i="11"/>
  <c r="J131" i="11"/>
  <c r="J129" i="11"/>
  <c r="J127" i="11"/>
  <c r="J230" i="11"/>
  <c r="J226" i="11"/>
  <c r="J222" i="11"/>
  <c r="J218" i="11"/>
  <c r="J213" i="11"/>
  <c r="J209" i="11"/>
  <c r="J205" i="11"/>
  <c r="J125" i="11"/>
  <c r="J96" i="11"/>
  <c r="J92" i="11"/>
  <c r="J88" i="11"/>
  <c r="J95" i="11"/>
  <c r="J91" i="11"/>
  <c r="J87" i="11"/>
  <c r="J34" i="11"/>
  <c r="J43" i="11"/>
  <c r="J41" i="11"/>
  <c r="J39" i="11"/>
  <c r="J37" i="11"/>
  <c r="J35" i="11"/>
  <c r="J30" i="11"/>
  <c r="J26" i="11"/>
  <c r="J23" i="11"/>
  <c r="J21" i="11"/>
  <c r="J18" i="11"/>
  <c r="J16" i="11"/>
  <c r="J14" i="11"/>
  <c r="J12" i="11"/>
  <c r="J10" i="11"/>
  <c r="J8" i="11"/>
  <c r="J6" i="11"/>
  <c r="J31" i="11"/>
  <c r="J27" i="11"/>
  <c r="N24" i="11"/>
  <c r="N26" i="11"/>
  <c r="N28" i="11"/>
  <c r="N30" i="11"/>
  <c r="N32" i="11"/>
  <c r="N46" i="11"/>
  <c r="N86" i="11"/>
  <c r="N88" i="11"/>
  <c r="N90" i="11"/>
  <c r="N92" i="11"/>
  <c r="N94" i="11"/>
  <c r="N96" i="11"/>
  <c r="N98" i="11"/>
  <c r="N204" i="11"/>
  <c r="N206" i="11"/>
  <c r="N208" i="11"/>
  <c r="N210" i="11"/>
  <c r="N212" i="11"/>
  <c r="N214" i="11"/>
  <c r="N216" i="11"/>
  <c r="N219" i="11"/>
  <c r="N221" i="11"/>
  <c r="N223" i="11"/>
  <c r="N225" i="11"/>
  <c r="N227" i="11"/>
  <c r="N229" i="11"/>
  <c r="N231" i="11"/>
  <c r="N230" i="11"/>
  <c r="N226" i="11"/>
  <c r="N222" i="11"/>
  <c r="N218" i="11"/>
  <c r="N213" i="11"/>
  <c r="N209" i="11"/>
  <c r="N205" i="11"/>
  <c r="N313" i="11"/>
  <c r="N311" i="11"/>
  <c r="N309" i="11"/>
  <c r="N307" i="11"/>
  <c r="N305" i="11"/>
  <c r="N303" i="11"/>
  <c r="N301" i="11"/>
  <c r="N299" i="11"/>
  <c r="N297" i="11"/>
  <c r="N295" i="11"/>
  <c r="N293" i="11"/>
  <c r="N291" i="11"/>
  <c r="N289" i="11"/>
  <c r="N287" i="11"/>
  <c r="N285" i="11"/>
  <c r="N283" i="11"/>
  <c r="N281" i="11"/>
  <c r="N279" i="11"/>
  <c r="N277" i="11"/>
  <c r="N275" i="11"/>
  <c r="N273" i="11"/>
  <c r="N271" i="11"/>
  <c r="N269" i="11"/>
  <c r="N267" i="11"/>
  <c r="N265" i="11"/>
  <c r="N263" i="11"/>
  <c r="N261" i="11"/>
  <c r="N259" i="11"/>
  <c r="N257" i="11"/>
  <c r="N255" i="11"/>
  <c r="N253" i="11"/>
  <c r="N251" i="11"/>
  <c r="N249" i="11"/>
  <c r="N247" i="11"/>
  <c r="N245" i="11"/>
  <c r="N241" i="11"/>
  <c r="N239" i="11"/>
  <c r="N237" i="11"/>
  <c r="N235" i="11"/>
  <c r="N233" i="11"/>
  <c r="N201" i="11"/>
  <c r="N199" i="11"/>
  <c r="N197" i="11"/>
  <c r="N195" i="11"/>
  <c r="N193" i="11"/>
  <c r="N191" i="11"/>
  <c r="N189" i="11"/>
  <c r="N187" i="11"/>
  <c r="N185" i="11"/>
  <c r="N183" i="11"/>
  <c r="N181" i="11"/>
  <c r="N179" i="11"/>
  <c r="N177" i="11"/>
  <c r="N175" i="11"/>
  <c r="N173" i="11"/>
  <c r="N171" i="11"/>
  <c r="N169" i="11"/>
  <c r="N166" i="11"/>
  <c r="N164" i="11"/>
  <c r="N162" i="11"/>
  <c r="N160" i="11"/>
  <c r="N158" i="11"/>
  <c r="N156" i="11"/>
  <c r="N154" i="11"/>
  <c r="N152" i="11"/>
  <c r="N150" i="11"/>
  <c r="N148" i="11"/>
  <c r="N146" i="11"/>
  <c r="N144" i="11"/>
  <c r="N142" i="11"/>
  <c r="N140" i="11"/>
  <c r="N138" i="11"/>
  <c r="N136" i="11"/>
  <c r="N134" i="11"/>
  <c r="N132" i="11"/>
  <c r="N130" i="11"/>
  <c r="N128" i="11"/>
  <c r="N125" i="11"/>
  <c r="N97" i="11"/>
  <c r="N93" i="11"/>
  <c r="N89" i="11"/>
  <c r="N34" i="11"/>
  <c r="N43" i="11"/>
  <c r="N41" i="11"/>
  <c r="N39" i="11"/>
  <c r="N37" i="11"/>
  <c r="N35" i="11"/>
  <c r="N31" i="11"/>
  <c r="N27" i="11"/>
  <c r="N22" i="11"/>
  <c r="N20" i="11"/>
  <c r="N19" i="11"/>
  <c r="N17" i="11"/>
  <c r="N15" i="11"/>
  <c r="N13" i="11"/>
  <c r="N11" i="11"/>
  <c r="N9" i="11"/>
  <c r="N7" i="11"/>
  <c r="N312" i="11"/>
  <c r="N310" i="11"/>
  <c r="N308" i="11"/>
  <c r="N306" i="11"/>
  <c r="N304" i="11"/>
  <c r="N302" i="11"/>
  <c r="N300" i="11"/>
  <c r="N298" i="11"/>
  <c r="N296" i="11"/>
  <c r="N294" i="11"/>
  <c r="N292" i="11"/>
  <c r="N290" i="11"/>
  <c r="N288" i="11"/>
  <c r="N286" i="11"/>
  <c r="N284" i="11"/>
  <c r="N282" i="11"/>
  <c r="N280" i="11"/>
  <c r="N278" i="11"/>
  <c r="N276" i="11"/>
  <c r="N274" i="11"/>
  <c r="N272" i="11"/>
  <c r="N270" i="11"/>
  <c r="N268" i="11"/>
  <c r="N266" i="11"/>
  <c r="N264" i="11"/>
  <c r="N262" i="11"/>
  <c r="N260" i="11"/>
  <c r="N258" i="11"/>
  <c r="N256" i="11"/>
  <c r="N254" i="11"/>
  <c r="N252" i="11"/>
  <c r="N250" i="11"/>
  <c r="N248" i="11"/>
  <c r="N246" i="11"/>
  <c r="N244" i="11"/>
  <c r="N240" i="11"/>
  <c r="N238" i="11"/>
  <c r="N236" i="11"/>
  <c r="N234" i="11"/>
  <c r="N232" i="11"/>
  <c r="N228" i="11"/>
  <c r="N224" i="11"/>
  <c r="N220" i="11"/>
  <c r="N215" i="11"/>
  <c r="N211" i="11"/>
  <c r="N207" i="11"/>
  <c r="N203" i="11"/>
  <c r="N202" i="11"/>
  <c r="N200" i="11"/>
  <c r="N198" i="11"/>
  <c r="N196" i="11"/>
  <c r="N194" i="11"/>
  <c r="N192" i="11"/>
  <c r="N190" i="11"/>
  <c r="N188" i="11"/>
  <c r="N186" i="11"/>
  <c r="N184" i="11"/>
  <c r="N182" i="11"/>
  <c r="N180" i="11"/>
  <c r="N178" i="11"/>
  <c r="N176" i="11"/>
  <c r="N174" i="11"/>
  <c r="N172" i="11"/>
  <c r="N170" i="11"/>
  <c r="N167" i="11"/>
  <c r="N165" i="11"/>
  <c r="N163" i="11"/>
  <c r="N161" i="11"/>
  <c r="N159" i="11"/>
  <c r="N157" i="11"/>
  <c r="N155" i="11"/>
  <c r="N153" i="11"/>
  <c r="N151" i="11"/>
  <c r="N149" i="11"/>
  <c r="N147" i="11"/>
  <c r="N145" i="11"/>
  <c r="N143" i="11"/>
  <c r="N141" i="11"/>
  <c r="N139" i="11"/>
  <c r="N137" i="11"/>
  <c r="N135" i="11"/>
  <c r="N133" i="11"/>
  <c r="N131" i="11"/>
  <c r="N129" i="11"/>
  <c r="N127" i="11"/>
  <c r="N126" i="11"/>
  <c r="N124" i="11"/>
  <c r="N123" i="11"/>
  <c r="N121" i="11"/>
  <c r="N119" i="11"/>
  <c r="N117" i="11"/>
  <c r="N115" i="11"/>
  <c r="N113" i="11"/>
  <c r="N111" i="11"/>
  <c r="N109" i="11"/>
  <c r="N107" i="11"/>
  <c r="N105" i="11"/>
  <c r="N103" i="11"/>
  <c r="N101" i="11"/>
  <c r="N99" i="11"/>
  <c r="N95" i="11"/>
  <c r="N91" i="11"/>
  <c r="N87" i="11"/>
  <c r="N122" i="11"/>
  <c r="N120" i="11"/>
  <c r="N118" i="11"/>
  <c r="N116" i="11"/>
  <c r="N114" i="11"/>
  <c r="N112" i="11"/>
  <c r="N110" i="11"/>
  <c r="N108" i="11"/>
  <c r="N106" i="11"/>
  <c r="N104" i="11"/>
  <c r="N102" i="11"/>
  <c r="N100" i="11"/>
  <c r="N85" i="11"/>
  <c r="N83" i="11"/>
  <c r="N81" i="11"/>
  <c r="N79" i="11"/>
  <c r="N77" i="11"/>
  <c r="N75" i="11"/>
  <c r="N73" i="11"/>
  <c r="N71" i="11"/>
  <c r="N69" i="11"/>
  <c r="N67" i="11"/>
  <c r="N65" i="11"/>
  <c r="N63" i="11"/>
  <c r="N61" i="11"/>
  <c r="N59" i="11"/>
  <c r="N57" i="11"/>
  <c r="N55" i="11"/>
  <c r="N53" i="11"/>
  <c r="N51" i="11"/>
  <c r="N49" i="11"/>
  <c r="N47" i="11"/>
  <c r="N84" i="11"/>
  <c r="N82" i="11"/>
  <c r="N80" i="11"/>
  <c r="N78" i="11"/>
  <c r="N76" i="11"/>
  <c r="N74" i="11"/>
  <c r="N72" i="11"/>
  <c r="N70" i="11"/>
  <c r="N68" i="11"/>
  <c r="N66" i="11"/>
  <c r="N64" i="11"/>
  <c r="N62" i="11"/>
  <c r="N60" i="11"/>
  <c r="N58" i="11"/>
  <c r="N56" i="11"/>
  <c r="N54" i="11"/>
  <c r="N52" i="11"/>
  <c r="N50" i="11"/>
  <c r="N48" i="11"/>
  <c r="N45" i="11"/>
  <c r="N44" i="11"/>
  <c r="N42" i="11"/>
  <c r="N40" i="11"/>
  <c r="N38" i="11"/>
  <c r="N36" i="11"/>
  <c r="N33" i="11"/>
  <c r="N29" i="11"/>
  <c r="N25" i="11"/>
  <c r="N23" i="11"/>
  <c r="N21" i="11"/>
  <c r="N18" i="11"/>
  <c r="N16" i="11"/>
  <c r="N14" i="11"/>
  <c r="N12" i="11"/>
  <c r="N10" i="11"/>
  <c r="N8" i="11"/>
  <c r="N6" i="11"/>
  <c r="N5" i="11"/>
  <c r="J5" i="11"/>
  <c r="D5" i="39"/>
  <c r="G320" i="9"/>
  <c r="O242" i="11" l="1"/>
  <c r="H243" i="25" s="1"/>
  <c r="O58" i="11"/>
  <c r="P58" i="11" s="1"/>
  <c r="O112" i="11"/>
  <c r="P112" i="11" s="1"/>
  <c r="O74" i="11"/>
  <c r="H75" i="25" s="1"/>
  <c r="D314" i="12"/>
  <c r="D314" i="39"/>
  <c r="P217" i="11"/>
  <c r="H218" i="25"/>
  <c r="O56" i="11"/>
  <c r="O72" i="11"/>
  <c r="O110" i="11"/>
  <c r="O48" i="11"/>
  <c r="O64" i="11"/>
  <c r="O80" i="11"/>
  <c r="O102" i="11"/>
  <c r="O118" i="11"/>
  <c r="O54" i="11"/>
  <c r="O70" i="11"/>
  <c r="O108" i="11"/>
  <c r="O60" i="11"/>
  <c r="O76" i="11"/>
  <c r="O114" i="11"/>
  <c r="O62" i="11"/>
  <c r="O78" i="11"/>
  <c r="O100" i="11"/>
  <c r="O116" i="11"/>
  <c r="O66" i="11"/>
  <c r="O52" i="11"/>
  <c r="O68" i="11"/>
  <c r="O84" i="11"/>
  <c r="O106" i="11"/>
  <c r="O122" i="11"/>
  <c r="O216" i="11"/>
  <c r="O82" i="11"/>
  <c r="O120" i="11"/>
  <c r="O219" i="11"/>
  <c r="O50" i="11"/>
  <c r="O104" i="11"/>
  <c r="O248" i="11"/>
  <c r="O264" i="11"/>
  <c r="O280" i="11"/>
  <c r="O296" i="11"/>
  <c r="O312" i="11"/>
  <c r="O20" i="11"/>
  <c r="O245" i="11"/>
  <c r="O261" i="11"/>
  <c r="O277" i="11"/>
  <c r="O293" i="11"/>
  <c r="O309" i="11"/>
  <c r="O95" i="11"/>
  <c r="O224" i="11"/>
  <c r="O51" i="11"/>
  <c r="O67" i="11"/>
  <c r="O83" i="11"/>
  <c r="O227" i="11"/>
  <c r="O45" i="11"/>
  <c r="O101" i="11"/>
  <c r="O117" i="11"/>
  <c r="O220" i="11"/>
  <c r="O86" i="11"/>
  <c r="O35" i="11"/>
  <c r="O14" i="11"/>
  <c r="O135" i="11"/>
  <c r="O167" i="11"/>
  <c r="O200" i="11"/>
  <c r="O132" i="11"/>
  <c r="O164" i="11"/>
  <c r="O197" i="11"/>
  <c r="O36" i="11"/>
  <c r="O250" i="11"/>
  <c r="O266" i="11"/>
  <c r="O282" i="11"/>
  <c r="O298" i="11"/>
  <c r="O7" i="11"/>
  <c r="O22" i="11"/>
  <c r="O247" i="11"/>
  <c r="O263" i="11"/>
  <c r="O279" i="11"/>
  <c r="O295" i="11"/>
  <c r="O311" i="11"/>
  <c r="O151" i="11"/>
  <c r="O184" i="11"/>
  <c r="O148" i="11"/>
  <c r="O181" i="11"/>
  <c r="O121" i="11"/>
  <c r="O105" i="11"/>
  <c r="O29" i="11"/>
  <c r="O57" i="11"/>
  <c r="O73" i="11"/>
  <c r="O246" i="11"/>
  <c r="O262" i="11"/>
  <c r="O278" i="11"/>
  <c r="O294" i="11"/>
  <c r="O310" i="11"/>
  <c r="O19" i="11"/>
  <c r="O241" i="11"/>
  <c r="O259" i="11"/>
  <c r="O275" i="11"/>
  <c r="O291" i="11"/>
  <c r="O307" i="11"/>
  <c r="O46" i="11"/>
  <c r="O168" i="11"/>
  <c r="O53" i="11"/>
  <c r="O69" i="11"/>
  <c r="O85" i="11"/>
  <c r="O215" i="11"/>
  <c r="O225" i="11"/>
  <c r="O42" i="11"/>
  <c r="O238" i="11"/>
  <c r="O256" i="11"/>
  <c r="O272" i="11"/>
  <c r="O288" i="11"/>
  <c r="O304" i="11"/>
  <c r="O13" i="11"/>
  <c r="O97" i="11"/>
  <c r="O235" i="11"/>
  <c r="O253" i="11"/>
  <c r="O269" i="11"/>
  <c r="O285" i="11"/>
  <c r="O301" i="11"/>
  <c r="O75" i="11"/>
  <c r="O33" i="11"/>
  <c r="O203" i="11"/>
  <c r="O59" i="11"/>
  <c r="O25" i="11"/>
  <c r="O55" i="11"/>
  <c r="O71" i="11"/>
  <c r="O243" i="11"/>
  <c r="O232" i="11"/>
  <c r="O38" i="11"/>
  <c r="O252" i="11"/>
  <c r="O268" i="11"/>
  <c r="O300" i="11"/>
  <c r="O9" i="11"/>
  <c r="O89" i="11"/>
  <c r="O249" i="11"/>
  <c r="O265" i="11"/>
  <c r="O281" i="11"/>
  <c r="O297" i="11"/>
  <c r="O313" i="11"/>
  <c r="O94" i="11"/>
  <c r="O228" i="11"/>
  <c r="O234" i="11"/>
  <c r="O284" i="11"/>
  <c r="O44" i="11"/>
  <c r="O240" i="11"/>
  <c r="O258" i="11"/>
  <c r="O274" i="11"/>
  <c r="O290" i="11"/>
  <c r="O306" i="11"/>
  <c r="O15" i="11"/>
  <c r="O125" i="11"/>
  <c r="O237" i="11"/>
  <c r="O255" i="11"/>
  <c r="O271" i="11"/>
  <c r="O287" i="11"/>
  <c r="O303" i="11"/>
  <c r="O208" i="11"/>
  <c r="O10" i="11"/>
  <c r="O131" i="11"/>
  <c r="O147" i="11"/>
  <c r="O163" i="11"/>
  <c r="O180" i="11"/>
  <c r="O196" i="11"/>
  <c r="O244" i="11"/>
  <c r="O260" i="11"/>
  <c r="O276" i="11"/>
  <c r="O292" i="11"/>
  <c r="O308" i="11"/>
  <c r="O17" i="11"/>
  <c r="O39" i="11"/>
  <c r="O128" i="11"/>
  <c r="O144" i="11"/>
  <c r="O160" i="11"/>
  <c r="O177" i="11"/>
  <c r="O193" i="11"/>
  <c r="O239" i="11"/>
  <c r="O257" i="11"/>
  <c r="O273" i="11"/>
  <c r="O289" i="11"/>
  <c r="O305" i="11"/>
  <c r="O109" i="11"/>
  <c r="O124" i="11"/>
  <c r="O155" i="11"/>
  <c r="O172" i="11"/>
  <c r="O188" i="11"/>
  <c r="O27" i="11"/>
  <c r="O136" i="11"/>
  <c r="O152" i="11"/>
  <c r="O169" i="11"/>
  <c r="O185" i="11"/>
  <c r="O201" i="11"/>
  <c r="O28" i="11"/>
  <c r="O43" i="11"/>
  <c r="O61" i="11"/>
  <c r="O47" i="11"/>
  <c r="O79" i="11"/>
  <c r="O87" i="11"/>
  <c r="O139" i="11"/>
  <c r="O40" i="11"/>
  <c r="O49" i="11"/>
  <c r="O65" i="11"/>
  <c r="O81" i="11"/>
  <c r="O207" i="11"/>
  <c r="O236" i="11"/>
  <c r="O254" i="11"/>
  <c r="O270" i="11"/>
  <c r="O286" i="11"/>
  <c r="O302" i="11"/>
  <c r="O11" i="11"/>
  <c r="O93" i="11"/>
  <c r="O233" i="11"/>
  <c r="O251" i="11"/>
  <c r="O267" i="11"/>
  <c r="O283" i="11"/>
  <c r="O299" i="11"/>
  <c r="O92" i="11"/>
  <c r="O26" i="11"/>
  <c r="O77" i="11"/>
  <c r="O18" i="11"/>
  <c r="O63" i="11"/>
  <c r="O6" i="11"/>
  <c r="O21" i="11"/>
  <c r="O113" i="11"/>
  <c r="O127" i="11"/>
  <c r="O143" i="11"/>
  <c r="O159" i="11"/>
  <c r="O176" i="11"/>
  <c r="O192" i="11"/>
  <c r="O211" i="11"/>
  <c r="O140" i="11"/>
  <c r="O156" i="11"/>
  <c r="O173" i="11"/>
  <c r="O189" i="11"/>
  <c r="O210" i="11"/>
  <c r="O98" i="11"/>
  <c r="O90" i="11"/>
  <c r="E34" i="48"/>
  <c r="O8" i="11"/>
  <c r="O12" i="11"/>
  <c r="O16" i="11"/>
  <c r="O23" i="11"/>
  <c r="O91" i="11"/>
  <c r="O99" i="11"/>
  <c r="O103" i="11"/>
  <c r="O107" i="11"/>
  <c r="O111" i="11"/>
  <c r="O115" i="11"/>
  <c r="O119" i="11"/>
  <c r="O123" i="11"/>
  <c r="H124" i="25" s="1"/>
  <c r="O126" i="11"/>
  <c r="H127" i="25" s="1"/>
  <c r="O129" i="11"/>
  <c r="O133" i="11"/>
  <c r="O137" i="11"/>
  <c r="O141" i="11"/>
  <c r="O145" i="11"/>
  <c r="O149" i="11"/>
  <c r="O153" i="11"/>
  <c r="O157" i="11"/>
  <c r="H158" i="25" s="1"/>
  <c r="O161" i="11"/>
  <c r="O165" i="11"/>
  <c r="O170" i="11"/>
  <c r="O174" i="11"/>
  <c r="O178" i="11"/>
  <c r="O182" i="11"/>
  <c r="O186" i="11"/>
  <c r="O190" i="11"/>
  <c r="H191" i="25" s="1"/>
  <c r="O194" i="11"/>
  <c r="O198" i="11"/>
  <c r="O202" i="11"/>
  <c r="O31" i="11"/>
  <c r="O37" i="11"/>
  <c r="O41" i="11"/>
  <c r="H42" i="25" s="1"/>
  <c r="O34" i="11"/>
  <c r="O130" i="11"/>
  <c r="O134" i="11"/>
  <c r="O138" i="11"/>
  <c r="O142" i="11"/>
  <c r="O146" i="11"/>
  <c r="O150" i="11"/>
  <c r="O154" i="11"/>
  <c r="O158" i="11"/>
  <c r="O162" i="11"/>
  <c r="O166" i="11"/>
  <c r="O171" i="11"/>
  <c r="O175" i="11"/>
  <c r="O179" i="11"/>
  <c r="O183" i="11"/>
  <c r="O187" i="11"/>
  <c r="O191" i="11"/>
  <c r="O195" i="11"/>
  <c r="H196" i="25" s="1"/>
  <c r="O199" i="11"/>
  <c r="O205" i="11"/>
  <c r="O213" i="11"/>
  <c r="O222" i="11"/>
  <c r="H223" i="25" s="1"/>
  <c r="O230" i="11"/>
  <c r="O229" i="11"/>
  <c r="O221" i="11"/>
  <c r="O212" i="11"/>
  <c r="O204" i="11"/>
  <c r="O96" i="11"/>
  <c r="O209" i="11"/>
  <c r="O218" i="11"/>
  <c r="O226" i="11"/>
  <c r="O231" i="11"/>
  <c r="O223" i="11"/>
  <c r="O214" i="11"/>
  <c r="H215" i="25" s="1"/>
  <c r="O206" i="11"/>
  <c r="O32" i="11"/>
  <c r="O24" i="11"/>
  <c r="O88" i="11"/>
  <c r="O30" i="11"/>
  <c r="O5" i="11"/>
  <c r="P5" i="11" s="1"/>
  <c r="J314" i="11"/>
  <c r="N314" i="11"/>
  <c r="E33" i="48"/>
  <c r="F315" i="25"/>
  <c r="P74" i="11" l="1"/>
  <c r="H113" i="25"/>
  <c r="H59" i="25"/>
  <c r="P206" i="11"/>
  <c r="H207" i="25"/>
  <c r="P204" i="11"/>
  <c r="H205" i="25"/>
  <c r="P199" i="11"/>
  <c r="H200" i="25"/>
  <c r="P166" i="11"/>
  <c r="H167" i="25"/>
  <c r="P134" i="11"/>
  <c r="H135" i="25"/>
  <c r="P194" i="11"/>
  <c r="H195" i="25"/>
  <c r="P161" i="11"/>
  <c r="H162" i="25"/>
  <c r="P129" i="11"/>
  <c r="H130" i="25"/>
  <c r="P176" i="11"/>
  <c r="H177" i="25"/>
  <c r="P233" i="11"/>
  <c r="H234" i="25"/>
  <c r="P207" i="11"/>
  <c r="H208" i="25"/>
  <c r="P136" i="11"/>
  <c r="H137" i="25"/>
  <c r="P289" i="11"/>
  <c r="H290" i="25"/>
  <c r="P128" i="11"/>
  <c r="H129" i="25"/>
  <c r="P196" i="11"/>
  <c r="H197" i="25"/>
  <c r="P287" i="11"/>
  <c r="H288" i="25"/>
  <c r="P274" i="11"/>
  <c r="H275" i="25"/>
  <c r="P313" i="11"/>
  <c r="H314" i="25"/>
  <c r="P268" i="11"/>
  <c r="H269" i="25"/>
  <c r="P235" i="11"/>
  <c r="H236" i="25"/>
  <c r="P307" i="11"/>
  <c r="H308" i="25"/>
  <c r="P278" i="11"/>
  <c r="H279" i="25"/>
  <c r="P181" i="11"/>
  <c r="H182" i="25"/>
  <c r="P247" i="11"/>
  <c r="H248" i="25"/>
  <c r="P197" i="11"/>
  <c r="H198" i="25"/>
  <c r="P219" i="11"/>
  <c r="H220" i="25"/>
  <c r="P267" i="11"/>
  <c r="H268" i="25"/>
  <c r="P228" i="11"/>
  <c r="H229" i="25"/>
  <c r="P269" i="11"/>
  <c r="H270" i="25"/>
  <c r="P310" i="11"/>
  <c r="H311" i="25"/>
  <c r="P279" i="11"/>
  <c r="H280" i="25"/>
  <c r="P261" i="11"/>
  <c r="H262" i="25"/>
  <c r="P171" i="11"/>
  <c r="H172" i="25"/>
  <c r="P198" i="11"/>
  <c r="H199" i="25"/>
  <c r="P133" i="11"/>
  <c r="H134" i="25"/>
  <c r="P251" i="11"/>
  <c r="H252" i="25"/>
  <c r="P305" i="11"/>
  <c r="H306" i="25"/>
  <c r="P144" i="11"/>
  <c r="H145" i="25"/>
  <c r="P290" i="11"/>
  <c r="H291" i="25"/>
  <c r="P253" i="11"/>
  <c r="H254" i="25"/>
  <c r="P294" i="11"/>
  <c r="H295" i="25"/>
  <c r="P212" i="11"/>
  <c r="H213" i="25"/>
  <c r="P162" i="11"/>
  <c r="H163" i="25"/>
  <c r="P130" i="11"/>
  <c r="H131" i="25"/>
  <c r="P210" i="11"/>
  <c r="H211" i="25"/>
  <c r="P159" i="11"/>
  <c r="H160" i="25"/>
  <c r="P273" i="11"/>
  <c r="H274" i="25"/>
  <c r="P180" i="11"/>
  <c r="H181" i="25"/>
  <c r="P271" i="11"/>
  <c r="H272" i="25"/>
  <c r="P258" i="11"/>
  <c r="H259" i="25"/>
  <c r="P297" i="11"/>
  <c r="H298" i="25"/>
  <c r="P252" i="11"/>
  <c r="H253" i="25"/>
  <c r="P203" i="11"/>
  <c r="H204" i="25"/>
  <c r="P225" i="11"/>
  <c r="H226" i="25"/>
  <c r="P291" i="11"/>
  <c r="H292" i="25"/>
  <c r="P262" i="11"/>
  <c r="H263" i="25"/>
  <c r="P148" i="11"/>
  <c r="H149" i="25"/>
  <c r="P164" i="11"/>
  <c r="H165" i="25"/>
  <c r="P220" i="11"/>
  <c r="H221" i="25"/>
  <c r="P224" i="11"/>
  <c r="H225" i="25"/>
  <c r="P312" i="11"/>
  <c r="H313" i="25"/>
  <c r="P226" i="11"/>
  <c r="H227" i="25"/>
  <c r="P183" i="11"/>
  <c r="H184" i="25"/>
  <c r="P150" i="11"/>
  <c r="H151" i="25"/>
  <c r="P145" i="11"/>
  <c r="H146" i="25"/>
  <c r="P286" i="11"/>
  <c r="H287" i="25"/>
  <c r="P155" i="11"/>
  <c r="H156" i="25"/>
  <c r="P292" i="11"/>
  <c r="H293" i="25"/>
  <c r="P284" i="11"/>
  <c r="H285" i="25"/>
  <c r="P249" i="11"/>
  <c r="H250" i="25"/>
  <c r="P301" i="11"/>
  <c r="H302" i="25"/>
  <c r="P288" i="11"/>
  <c r="H289" i="25"/>
  <c r="P282" i="11"/>
  <c r="H283" i="25"/>
  <c r="P293" i="11"/>
  <c r="H294" i="25"/>
  <c r="P218" i="11"/>
  <c r="H219" i="25"/>
  <c r="P179" i="11"/>
  <c r="H180" i="25"/>
  <c r="P141" i="11"/>
  <c r="H142" i="25"/>
  <c r="P140" i="11"/>
  <c r="H141" i="25"/>
  <c r="P270" i="11"/>
  <c r="H271" i="25"/>
  <c r="P185" i="11"/>
  <c r="H186" i="25"/>
  <c r="P276" i="11"/>
  <c r="H277" i="25"/>
  <c r="P234" i="11"/>
  <c r="H235" i="25"/>
  <c r="P272" i="11"/>
  <c r="H273" i="25"/>
  <c r="P227" i="11"/>
  <c r="H228" i="25"/>
  <c r="P213" i="11"/>
  <c r="H214" i="25"/>
  <c r="P142" i="11"/>
  <c r="H143" i="25"/>
  <c r="P137" i="11"/>
  <c r="H138" i="25"/>
  <c r="P254" i="11"/>
  <c r="H255" i="25"/>
  <c r="P160" i="11"/>
  <c r="H161" i="25"/>
  <c r="P260" i="11"/>
  <c r="H261" i="25"/>
  <c r="P306" i="11"/>
  <c r="H307" i="25"/>
  <c r="P256" i="11"/>
  <c r="H257" i="25"/>
  <c r="P205" i="11"/>
  <c r="H206" i="25"/>
  <c r="P223" i="11"/>
  <c r="H224" i="25"/>
  <c r="P221" i="11"/>
  <c r="H222" i="25"/>
  <c r="P191" i="11"/>
  <c r="H192" i="25"/>
  <c r="P158" i="11"/>
  <c r="H159" i="25"/>
  <c r="P186" i="11"/>
  <c r="H187" i="25"/>
  <c r="P153" i="11"/>
  <c r="H154" i="25"/>
  <c r="P189" i="11"/>
  <c r="H190" i="25"/>
  <c r="P143" i="11"/>
  <c r="H144" i="25"/>
  <c r="P188" i="11"/>
  <c r="H189" i="25"/>
  <c r="P257" i="11"/>
  <c r="H258" i="25"/>
  <c r="P163" i="11"/>
  <c r="H164" i="25"/>
  <c r="P255" i="11"/>
  <c r="H256" i="25"/>
  <c r="P240" i="11"/>
  <c r="H241" i="25"/>
  <c r="P281" i="11"/>
  <c r="H282" i="25"/>
  <c r="P215" i="11"/>
  <c r="H216" i="25"/>
  <c r="P275" i="11"/>
  <c r="H276" i="25"/>
  <c r="P246" i="11"/>
  <c r="H247" i="25"/>
  <c r="P184" i="11"/>
  <c r="H185" i="25"/>
  <c r="P132" i="11"/>
  <c r="H133" i="25"/>
  <c r="P296" i="11"/>
  <c r="H297" i="25"/>
  <c r="P230" i="11"/>
  <c r="H231" i="25"/>
  <c r="P178" i="11"/>
  <c r="H179" i="25"/>
  <c r="P156" i="11"/>
  <c r="H157" i="25"/>
  <c r="P299" i="11"/>
  <c r="H300" i="25"/>
  <c r="P201" i="11"/>
  <c r="H202" i="25"/>
  <c r="P193" i="11"/>
  <c r="H194" i="25"/>
  <c r="P131" i="11"/>
  <c r="H132" i="25"/>
  <c r="P243" i="11"/>
  <c r="H244" i="25"/>
  <c r="P241" i="11"/>
  <c r="H242" i="25"/>
  <c r="P311" i="11"/>
  <c r="H312" i="25"/>
  <c r="P167" i="11"/>
  <c r="H168" i="25"/>
  <c r="P264" i="11"/>
  <c r="H265" i="25"/>
  <c r="P146" i="11"/>
  <c r="H147" i="25"/>
  <c r="P174" i="11"/>
  <c r="H175" i="25"/>
  <c r="P283" i="11"/>
  <c r="H284" i="25"/>
  <c r="P139" i="11"/>
  <c r="H140" i="25"/>
  <c r="P177" i="11"/>
  <c r="H178" i="25"/>
  <c r="P285" i="11"/>
  <c r="H286" i="25"/>
  <c r="P295" i="11"/>
  <c r="H296" i="25"/>
  <c r="P266" i="11"/>
  <c r="H267" i="25"/>
  <c r="P135" i="11"/>
  <c r="H136" i="25"/>
  <c r="P277" i="11"/>
  <c r="H278" i="25"/>
  <c r="P248" i="11"/>
  <c r="H249" i="25"/>
  <c r="P209" i="11"/>
  <c r="H210" i="25"/>
  <c r="P175" i="11"/>
  <c r="H176" i="25"/>
  <c r="P202" i="11"/>
  <c r="H203" i="25"/>
  <c r="P170" i="11"/>
  <c r="H171" i="25"/>
  <c r="P211" i="11"/>
  <c r="H212" i="25"/>
  <c r="P169" i="11"/>
  <c r="H170" i="25"/>
  <c r="P208" i="11"/>
  <c r="H209" i="25"/>
  <c r="P168" i="11"/>
  <c r="H169" i="25"/>
  <c r="P250" i="11"/>
  <c r="H251" i="25"/>
  <c r="P138" i="11"/>
  <c r="H139" i="25"/>
  <c r="P165" i="11"/>
  <c r="H166" i="25"/>
  <c r="P192" i="11"/>
  <c r="H193" i="25"/>
  <c r="P236" i="11"/>
  <c r="H237" i="25"/>
  <c r="P152" i="11"/>
  <c r="H153" i="25"/>
  <c r="P244" i="11"/>
  <c r="H245" i="25"/>
  <c r="P303" i="11"/>
  <c r="H304" i="25"/>
  <c r="P300" i="11"/>
  <c r="H301" i="25"/>
  <c r="P238" i="11"/>
  <c r="H239" i="25"/>
  <c r="P263" i="11"/>
  <c r="H264" i="25"/>
  <c r="P245" i="11"/>
  <c r="H246" i="25"/>
  <c r="P231" i="11"/>
  <c r="H232" i="25"/>
  <c r="P229" i="11"/>
  <c r="H230" i="25"/>
  <c r="P187" i="11"/>
  <c r="H188" i="25"/>
  <c r="P154" i="11"/>
  <c r="H155" i="25"/>
  <c r="P182" i="11"/>
  <c r="H183" i="25"/>
  <c r="P149" i="11"/>
  <c r="H150" i="25"/>
  <c r="P173" i="11"/>
  <c r="H174" i="25"/>
  <c r="P127" i="11"/>
  <c r="H128" i="25"/>
  <c r="P302" i="11"/>
  <c r="H303" i="25"/>
  <c r="P172" i="11"/>
  <c r="H173" i="25"/>
  <c r="P239" i="11"/>
  <c r="H240" i="25"/>
  <c r="P308" i="11"/>
  <c r="H309" i="25"/>
  <c r="P147" i="11"/>
  <c r="H148" i="25"/>
  <c r="P237" i="11"/>
  <c r="H238" i="25"/>
  <c r="P265" i="11"/>
  <c r="H266" i="25"/>
  <c r="P232" i="11"/>
  <c r="H233" i="25"/>
  <c r="P304" i="11"/>
  <c r="H305" i="25"/>
  <c r="P259" i="11"/>
  <c r="H260" i="25"/>
  <c r="P151" i="11"/>
  <c r="H152" i="25"/>
  <c r="P298" i="11"/>
  <c r="H299" i="25"/>
  <c r="P200" i="11"/>
  <c r="H201" i="25"/>
  <c r="P309" i="11"/>
  <c r="H310" i="25"/>
  <c r="P280" i="11"/>
  <c r="H281" i="25"/>
  <c r="P216" i="11"/>
  <c r="H217" i="25"/>
  <c r="F217" i="39"/>
  <c r="F217" i="12"/>
  <c r="P88" i="11"/>
  <c r="H89" i="25"/>
  <c r="P8" i="11"/>
  <c r="H9" i="25"/>
  <c r="P124" i="11"/>
  <c r="H125" i="25"/>
  <c r="P15" i="11"/>
  <c r="H16" i="25"/>
  <c r="P89" i="11"/>
  <c r="H90" i="25"/>
  <c r="P19" i="11"/>
  <c r="H20" i="25"/>
  <c r="F112" i="12"/>
  <c r="F112" i="39"/>
  <c r="P107" i="11"/>
  <c r="H108" i="25"/>
  <c r="P32" i="11"/>
  <c r="H33" i="25"/>
  <c r="P90" i="11"/>
  <c r="H91" i="25"/>
  <c r="P94" i="11"/>
  <c r="H95" i="25"/>
  <c r="P25" i="11"/>
  <c r="H26" i="25"/>
  <c r="P46" i="11"/>
  <c r="H47" i="25"/>
  <c r="P121" i="11"/>
  <c r="H122" i="25"/>
  <c r="P36" i="11"/>
  <c r="H37" i="25"/>
  <c r="P35" i="11"/>
  <c r="H36" i="25"/>
  <c r="P67" i="11"/>
  <c r="H68" i="25"/>
  <c r="P68" i="11"/>
  <c r="H69" i="25"/>
  <c r="P76" i="11"/>
  <c r="H77" i="25"/>
  <c r="P64" i="11"/>
  <c r="H65" i="25"/>
  <c r="F58" i="39"/>
  <c r="F58" i="12"/>
  <c r="P91" i="11"/>
  <c r="H92" i="25"/>
  <c r="P77" i="11"/>
  <c r="H78" i="25"/>
  <c r="P93" i="11"/>
  <c r="H94" i="25"/>
  <c r="P81" i="11"/>
  <c r="H82" i="25"/>
  <c r="P61" i="11"/>
  <c r="H62" i="25"/>
  <c r="P39" i="11"/>
  <c r="H40" i="25"/>
  <c r="P97" i="11"/>
  <c r="H98" i="25"/>
  <c r="P22" i="11"/>
  <c r="H23" i="25"/>
  <c r="P110" i="11"/>
  <c r="H111" i="25"/>
  <c r="P34" i="11"/>
  <c r="H35" i="25"/>
  <c r="P23" i="11"/>
  <c r="H24" i="25"/>
  <c r="P26" i="11"/>
  <c r="H27" i="25"/>
  <c r="P11" i="11"/>
  <c r="H12" i="25"/>
  <c r="P65" i="11"/>
  <c r="H66" i="25"/>
  <c r="P43" i="11"/>
  <c r="H44" i="25"/>
  <c r="P17" i="11"/>
  <c r="H18" i="25"/>
  <c r="P38" i="11"/>
  <c r="H39" i="25"/>
  <c r="P33" i="11"/>
  <c r="H34" i="25"/>
  <c r="P13" i="11"/>
  <c r="H14" i="25"/>
  <c r="P7" i="11"/>
  <c r="H8" i="25"/>
  <c r="P117" i="11"/>
  <c r="H118" i="25"/>
  <c r="P95" i="11"/>
  <c r="H96" i="25"/>
  <c r="P82" i="11"/>
  <c r="H83" i="25"/>
  <c r="P116" i="11"/>
  <c r="H117" i="25"/>
  <c r="P70" i="11"/>
  <c r="H71" i="25"/>
  <c r="P72" i="11"/>
  <c r="H73" i="25"/>
  <c r="P119" i="11"/>
  <c r="H120" i="25"/>
  <c r="P16" i="11"/>
  <c r="H17" i="25"/>
  <c r="P92" i="11"/>
  <c r="H93" i="25"/>
  <c r="P49" i="11"/>
  <c r="H50" i="25"/>
  <c r="P28" i="11"/>
  <c r="H29" i="25"/>
  <c r="P44" i="11"/>
  <c r="H45" i="25"/>
  <c r="P75" i="11"/>
  <c r="H76" i="25"/>
  <c r="P85" i="11"/>
  <c r="H86" i="25"/>
  <c r="P73" i="11"/>
  <c r="H74" i="25"/>
  <c r="P101" i="11"/>
  <c r="H102" i="25"/>
  <c r="P100" i="11"/>
  <c r="H101" i="25"/>
  <c r="P54" i="11"/>
  <c r="H55" i="25"/>
  <c r="P56" i="11"/>
  <c r="H57" i="25"/>
  <c r="P30" i="11"/>
  <c r="H31" i="25"/>
  <c r="P37" i="11"/>
  <c r="H38" i="25"/>
  <c r="P115" i="11"/>
  <c r="H116" i="25"/>
  <c r="P12" i="11"/>
  <c r="H13" i="25"/>
  <c r="P113" i="11"/>
  <c r="H114" i="25"/>
  <c r="P40" i="11"/>
  <c r="H41" i="25"/>
  <c r="P125" i="11"/>
  <c r="H126" i="25"/>
  <c r="P69" i="11"/>
  <c r="H70" i="25"/>
  <c r="P57" i="11"/>
  <c r="H58" i="25"/>
  <c r="P45" i="11"/>
  <c r="H46" i="25"/>
  <c r="P122" i="11"/>
  <c r="H123" i="25"/>
  <c r="P78" i="11"/>
  <c r="H79" i="25"/>
  <c r="P118" i="11"/>
  <c r="H119" i="25"/>
  <c r="P6" i="11"/>
  <c r="H7" i="25"/>
  <c r="P87" i="11"/>
  <c r="H88" i="25"/>
  <c r="P109" i="11"/>
  <c r="H110" i="25"/>
  <c r="P9" i="11"/>
  <c r="H10" i="25"/>
  <c r="P55" i="11"/>
  <c r="H56" i="25"/>
  <c r="P105" i="11"/>
  <c r="H106" i="25"/>
  <c r="P14" i="11"/>
  <c r="H15" i="25"/>
  <c r="P83" i="11"/>
  <c r="H84" i="25"/>
  <c r="P104" i="11"/>
  <c r="H105" i="25"/>
  <c r="P84" i="11"/>
  <c r="H85" i="25"/>
  <c r="P114" i="11"/>
  <c r="H115" i="25"/>
  <c r="P80" i="11"/>
  <c r="H81" i="25"/>
  <c r="P99" i="11"/>
  <c r="H100" i="25"/>
  <c r="P98" i="11"/>
  <c r="H99" i="25"/>
  <c r="P18" i="11"/>
  <c r="H19" i="25"/>
  <c r="P47" i="11"/>
  <c r="H48" i="25"/>
  <c r="P59" i="11"/>
  <c r="H60" i="25"/>
  <c r="P42" i="11"/>
  <c r="H43" i="25"/>
  <c r="P86" i="11"/>
  <c r="H87" i="25"/>
  <c r="P51" i="11"/>
  <c r="H52" i="25"/>
  <c r="P20" i="11"/>
  <c r="H21" i="25"/>
  <c r="P52" i="11"/>
  <c r="H53" i="25"/>
  <c r="P60" i="11"/>
  <c r="H61" i="25"/>
  <c r="P48" i="11"/>
  <c r="H49" i="25"/>
  <c r="P31" i="11"/>
  <c r="H32" i="25"/>
  <c r="P111" i="11"/>
  <c r="H112" i="25"/>
  <c r="P21" i="11"/>
  <c r="H22" i="25"/>
  <c r="P10" i="11"/>
  <c r="H11" i="25"/>
  <c r="P71" i="11"/>
  <c r="H72" i="25"/>
  <c r="P53" i="11"/>
  <c r="H54" i="25"/>
  <c r="P29" i="11"/>
  <c r="H30" i="25"/>
  <c r="P106" i="11"/>
  <c r="H107" i="25"/>
  <c r="P62" i="11"/>
  <c r="H63" i="25"/>
  <c r="P102" i="11"/>
  <c r="H103" i="25"/>
  <c r="P24" i="11"/>
  <c r="H25" i="25"/>
  <c r="P96" i="11"/>
  <c r="H97" i="25"/>
  <c r="P103" i="11"/>
  <c r="H104" i="25"/>
  <c r="P63" i="11"/>
  <c r="H64" i="25"/>
  <c r="P79" i="11"/>
  <c r="H80" i="25"/>
  <c r="P50" i="11"/>
  <c r="H51" i="25"/>
  <c r="P27" i="11"/>
  <c r="H28" i="25"/>
  <c r="P120" i="11"/>
  <c r="H121" i="25"/>
  <c r="P66" i="11"/>
  <c r="H67" i="25"/>
  <c r="P108" i="11"/>
  <c r="H109" i="25"/>
  <c r="F74" i="12"/>
  <c r="F74" i="39"/>
  <c r="P222" i="11"/>
  <c r="P214" i="11"/>
  <c r="P195" i="11"/>
  <c r="P190" i="11"/>
  <c r="P157" i="11"/>
  <c r="P126" i="11"/>
  <c r="P123" i="11"/>
  <c r="P41" i="11"/>
  <c r="F34" i="48"/>
  <c r="F5" i="39"/>
  <c r="H6" i="25"/>
  <c r="O314" i="11"/>
  <c r="F216" i="12" l="1"/>
  <c r="F216" i="39"/>
  <c r="F298" i="12"/>
  <c r="F298" i="39"/>
  <c r="F232" i="12"/>
  <c r="F232" i="39"/>
  <c r="F308" i="39"/>
  <c r="F308" i="12"/>
  <c r="F127" i="39"/>
  <c r="F127" i="12"/>
  <c r="F154" i="12"/>
  <c r="F154" i="39"/>
  <c r="F245" i="12"/>
  <c r="F245" i="39"/>
  <c r="F303" i="12"/>
  <c r="F303" i="39"/>
  <c r="F192" i="12"/>
  <c r="F192" i="39"/>
  <c r="F168" i="39"/>
  <c r="F168" i="12"/>
  <c r="F170" i="12"/>
  <c r="F170" i="39"/>
  <c r="F248" i="12"/>
  <c r="F248" i="39"/>
  <c r="F295" i="39"/>
  <c r="F295" i="12"/>
  <c r="F283" i="12"/>
  <c r="F283" i="39"/>
  <c r="F167" i="12"/>
  <c r="F167" i="39"/>
  <c r="F131" i="39"/>
  <c r="F131" i="12"/>
  <c r="F156" i="39"/>
  <c r="F156" i="12"/>
  <c r="F132" i="12"/>
  <c r="F132" i="39"/>
  <c r="F215" i="39"/>
  <c r="F215" i="12"/>
  <c r="F163" i="12"/>
  <c r="F163" i="39"/>
  <c r="F189" i="12"/>
  <c r="F189" i="39"/>
  <c r="F191" i="12"/>
  <c r="F191" i="39"/>
  <c r="F256" i="39"/>
  <c r="F256" i="12"/>
  <c r="F254" i="12"/>
  <c r="F254" i="39"/>
  <c r="F227" i="39"/>
  <c r="F227" i="12"/>
  <c r="F185" i="39"/>
  <c r="F185" i="12"/>
  <c r="F179" i="12"/>
  <c r="F179" i="39"/>
  <c r="F288" i="39"/>
  <c r="F288" i="12"/>
  <c r="F292" i="39"/>
  <c r="F292" i="12"/>
  <c r="F150" i="39"/>
  <c r="F150" i="12"/>
  <c r="F224" i="39"/>
  <c r="F224" i="12"/>
  <c r="F262" i="39"/>
  <c r="F262" i="12"/>
  <c r="F252" i="12"/>
  <c r="F252" i="39"/>
  <c r="F180" i="39"/>
  <c r="F180" i="12"/>
  <c r="F130" i="39"/>
  <c r="F130" i="12"/>
  <c r="F253" i="39"/>
  <c r="F253" i="12"/>
  <c r="F251" i="12"/>
  <c r="F251" i="39"/>
  <c r="F261" i="12"/>
  <c r="F261" i="39"/>
  <c r="F228" i="12"/>
  <c r="F228" i="39"/>
  <c r="F247" i="39"/>
  <c r="F247" i="12"/>
  <c r="F235" i="12"/>
  <c r="F235" i="39"/>
  <c r="F287" i="39"/>
  <c r="F287" i="12"/>
  <c r="F136" i="12"/>
  <c r="F136" i="39"/>
  <c r="F129" i="12"/>
  <c r="F129" i="39"/>
  <c r="F166" i="12"/>
  <c r="F166" i="39"/>
  <c r="F280" i="12"/>
  <c r="F280" i="39"/>
  <c r="F239" i="39"/>
  <c r="F239" i="12"/>
  <c r="F187" i="39"/>
  <c r="F187" i="12"/>
  <c r="F165" i="12"/>
  <c r="F165" i="39"/>
  <c r="F277" i="12"/>
  <c r="F277" i="39"/>
  <c r="F311" i="39"/>
  <c r="F311" i="12"/>
  <c r="F281" i="39"/>
  <c r="F281" i="12"/>
  <c r="F221" i="39"/>
  <c r="F221" i="12"/>
  <c r="F218" i="12"/>
  <c r="F218" i="39"/>
  <c r="F183" i="39"/>
  <c r="F183" i="12"/>
  <c r="F297" i="39"/>
  <c r="F297" i="12"/>
  <c r="F133" i="39"/>
  <c r="F133" i="12"/>
  <c r="F181" i="12"/>
  <c r="F181" i="39"/>
  <c r="F199" i="12"/>
  <c r="F199" i="39"/>
  <c r="F157" i="12"/>
  <c r="F157" i="39"/>
  <c r="F309" i="12"/>
  <c r="F309" i="39"/>
  <c r="F259" i="39"/>
  <c r="F259" i="12"/>
  <c r="F237" i="39"/>
  <c r="F237" i="12"/>
  <c r="F172" i="39"/>
  <c r="F172" i="12"/>
  <c r="F149" i="12"/>
  <c r="F149" i="39"/>
  <c r="F229" i="39"/>
  <c r="F229" i="12"/>
  <c r="F238" i="12"/>
  <c r="F238" i="39"/>
  <c r="F152" i="39"/>
  <c r="F152" i="12"/>
  <c r="F138" i="12"/>
  <c r="F138" i="39"/>
  <c r="F169" i="12"/>
  <c r="F169" i="39"/>
  <c r="F175" i="39"/>
  <c r="F175" i="12"/>
  <c r="F135" i="12"/>
  <c r="F135" i="39"/>
  <c r="F177" i="12"/>
  <c r="F177" i="39"/>
  <c r="F146" i="39"/>
  <c r="F146" i="12"/>
  <c r="F241" i="12"/>
  <c r="F241" i="39"/>
  <c r="F201" i="12"/>
  <c r="F201" i="39"/>
  <c r="F230" i="39"/>
  <c r="F230" i="12"/>
  <c r="F246" i="12"/>
  <c r="F246" i="39"/>
  <c r="F240" i="12"/>
  <c r="F240" i="39"/>
  <c r="F188" i="39"/>
  <c r="F188" i="12"/>
  <c r="F186" i="39"/>
  <c r="F186" i="12"/>
  <c r="F223" i="39"/>
  <c r="F223" i="12"/>
  <c r="F260" i="39"/>
  <c r="F260" i="12"/>
  <c r="F142" i="39"/>
  <c r="F142" i="12"/>
  <c r="F234" i="12"/>
  <c r="F234" i="39"/>
  <c r="F140" i="12"/>
  <c r="F140" i="39"/>
  <c r="F293" i="39"/>
  <c r="F293" i="12"/>
  <c r="F249" i="39"/>
  <c r="F249" i="12"/>
  <c r="F286" i="12"/>
  <c r="F286" i="39"/>
  <c r="F226" i="39"/>
  <c r="F226" i="12"/>
  <c r="F164" i="12"/>
  <c r="F164" i="39"/>
  <c r="F225" i="12"/>
  <c r="F225" i="39"/>
  <c r="F258" i="12"/>
  <c r="F258" i="39"/>
  <c r="F159" i="39"/>
  <c r="F159" i="12"/>
  <c r="F212" i="39"/>
  <c r="F212" i="12"/>
  <c r="F144" i="12"/>
  <c r="F144" i="39"/>
  <c r="F198" i="12"/>
  <c r="F198" i="39"/>
  <c r="F310" i="12"/>
  <c r="F310" i="39"/>
  <c r="F219" i="12"/>
  <c r="F219" i="39"/>
  <c r="F278" i="39"/>
  <c r="F278" i="12"/>
  <c r="F313" i="39"/>
  <c r="F313" i="12"/>
  <c r="F128" i="12"/>
  <c r="F128" i="39"/>
  <c r="F233" i="39"/>
  <c r="F233" i="12"/>
  <c r="F194" i="39"/>
  <c r="F194" i="12"/>
  <c r="F204" i="39"/>
  <c r="F204" i="12"/>
  <c r="F265" i="12"/>
  <c r="F265" i="39"/>
  <c r="F263" i="39"/>
  <c r="F263" i="12"/>
  <c r="F208" i="39"/>
  <c r="F208" i="12"/>
  <c r="F285" i="39"/>
  <c r="F285" i="12"/>
  <c r="F193" i="12"/>
  <c r="F193" i="39"/>
  <c r="F184" i="12"/>
  <c r="F184" i="39"/>
  <c r="F153" i="39"/>
  <c r="F153" i="12"/>
  <c r="F137" i="12"/>
  <c r="F137" i="39"/>
  <c r="F301" i="39"/>
  <c r="F301" i="12"/>
  <c r="F220" i="39"/>
  <c r="F220" i="12"/>
  <c r="F162" i="39"/>
  <c r="F162" i="12"/>
  <c r="F279" i="39"/>
  <c r="F279" i="12"/>
  <c r="F268" i="12"/>
  <c r="F268" i="39"/>
  <c r="F207" i="39"/>
  <c r="F207" i="12"/>
  <c r="F190" i="39"/>
  <c r="F190" i="12"/>
  <c r="F214" i="39"/>
  <c r="F214" i="12"/>
  <c r="F222" i="12"/>
  <c r="F222" i="39"/>
  <c r="F151" i="39"/>
  <c r="F151" i="12"/>
  <c r="F173" i="39"/>
  <c r="F173" i="12"/>
  <c r="F244" i="39"/>
  <c r="F244" i="12"/>
  <c r="F202" i="39"/>
  <c r="F202" i="12"/>
  <c r="F174" i="39"/>
  <c r="F174" i="12"/>
  <c r="F178" i="12"/>
  <c r="F178" i="39"/>
  <c r="F257" i="12"/>
  <c r="F257" i="39"/>
  <c r="F306" i="12"/>
  <c r="F306" i="39"/>
  <c r="F272" i="39"/>
  <c r="F272" i="12"/>
  <c r="F270" i="12"/>
  <c r="F270" i="39"/>
  <c r="F155" i="39"/>
  <c r="F155" i="12"/>
  <c r="F291" i="12"/>
  <c r="F291" i="39"/>
  <c r="F273" i="12"/>
  <c r="F273" i="39"/>
  <c r="F290" i="39"/>
  <c r="F290" i="12"/>
  <c r="F267" i="12"/>
  <c r="F267" i="39"/>
  <c r="F196" i="12"/>
  <c r="F196" i="39"/>
  <c r="F161" i="12"/>
  <c r="F161" i="39"/>
  <c r="F195" i="12"/>
  <c r="F195" i="39"/>
  <c r="F200" i="39"/>
  <c r="F200" i="12"/>
  <c r="F304" i="12"/>
  <c r="F304" i="39"/>
  <c r="F147" i="12"/>
  <c r="F147" i="39"/>
  <c r="F302" i="12"/>
  <c r="F302" i="39"/>
  <c r="F182" i="12"/>
  <c r="F182" i="39"/>
  <c r="F231" i="12"/>
  <c r="F231" i="39"/>
  <c r="F300" i="12"/>
  <c r="F300" i="39"/>
  <c r="F236" i="39"/>
  <c r="F236" i="12"/>
  <c r="F250" i="39"/>
  <c r="F250" i="12"/>
  <c r="F211" i="39"/>
  <c r="F211" i="12"/>
  <c r="F209" i="39"/>
  <c r="F209" i="12"/>
  <c r="F266" i="39"/>
  <c r="F266" i="12"/>
  <c r="F139" i="39"/>
  <c r="F139" i="12"/>
  <c r="F264" i="12"/>
  <c r="F264" i="39"/>
  <c r="F243" i="12"/>
  <c r="F243" i="39"/>
  <c r="F299" i="12"/>
  <c r="F299" i="39"/>
  <c r="F296" i="12"/>
  <c r="F296" i="39"/>
  <c r="F275" i="39"/>
  <c r="F275" i="12"/>
  <c r="F255" i="12"/>
  <c r="F255" i="39"/>
  <c r="F143" i="12"/>
  <c r="F143" i="39"/>
  <c r="F158" i="39"/>
  <c r="F158" i="12"/>
  <c r="F205" i="39"/>
  <c r="F205" i="12"/>
  <c r="F160" i="12"/>
  <c r="F160" i="39"/>
  <c r="F213" i="12"/>
  <c r="F213" i="39"/>
  <c r="F276" i="12"/>
  <c r="F276" i="39"/>
  <c r="F141" i="12"/>
  <c r="F141" i="39"/>
  <c r="F282" i="39"/>
  <c r="F282" i="12"/>
  <c r="F284" i="39"/>
  <c r="F284" i="12"/>
  <c r="F145" i="39"/>
  <c r="F145" i="12"/>
  <c r="F312" i="12"/>
  <c r="F312" i="39"/>
  <c r="F148" i="39"/>
  <c r="F148" i="12"/>
  <c r="F203" i="12"/>
  <c r="F203" i="39"/>
  <c r="F271" i="12"/>
  <c r="F271" i="39"/>
  <c r="F210" i="12"/>
  <c r="F210" i="39"/>
  <c r="F294" i="12"/>
  <c r="F294" i="39"/>
  <c r="F305" i="12"/>
  <c r="F305" i="39"/>
  <c r="F171" i="39"/>
  <c r="F171" i="12"/>
  <c r="F269" i="39"/>
  <c r="F269" i="12"/>
  <c r="F197" i="39"/>
  <c r="F197" i="12"/>
  <c r="F307" i="12"/>
  <c r="F307" i="39"/>
  <c r="F274" i="12"/>
  <c r="F274" i="39"/>
  <c r="F289" i="12"/>
  <c r="F289" i="39"/>
  <c r="F176" i="12"/>
  <c r="F176" i="39"/>
  <c r="F134" i="12"/>
  <c r="F134" i="39"/>
  <c r="F206" i="12"/>
  <c r="F206" i="39"/>
  <c r="F80" i="12"/>
  <c r="F80" i="39"/>
  <c r="F66" i="39"/>
  <c r="F66" i="12"/>
  <c r="F79" i="39"/>
  <c r="F79" i="12"/>
  <c r="F24" i="12"/>
  <c r="F24" i="39"/>
  <c r="F29" i="12"/>
  <c r="F29" i="39"/>
  <c r="F21" i="12"/>
  <c r="F21" i="39"/>
  <c r="F60" i="12"/>
  <c r="F60" i="39"/>
  <c r="F86" i="39"/>
  <c r="F86" i="12"/>
  <c r="F18" i="39"/>
  <c r="F18" i="12"/>
  <c r="F114" i="12"/>
  <c r="F114" i="39"/>
  <c r="F14" i="12"/>
  <c r="F14" i="39"/>
  <c r="F109" i="12"/>
  <c r="F109" i="39"/>
  <c r="F78" i="12"/>
  <c r="F78" i="39"/>
  <c r="F69" i="12"/>
  <c r="F69" i="39"/>
  <c r="F12" i="39"/>
  <c r="F12" i="12"/>
  <c r="F56" i="39"/>
  <c r="F56" i="12"/>
  <c r="F73" i="12"/>
  <c r="F73" i="39"/>
  <c r="F28" i="12"/>
  <c r="F28" i="39"/>
  <c r="F119" i="12"/>
  <c r="F119" i="39"/>
  <c r="F82" i="39"/>
  <c r="F82" i="12"/>
  <c r="F13" i="39"/>
  <c r="F13" i="12"/>
  <c r="F43" i="12"/>
  <c r="F43" i="39"/>
  <c r="F23" i="12"/>
  <c r="F23" i="39"/>
  <c r="F97" i="12"/>
  <c r="F97" i="39"/>
  <c r="F93" i="12"/>
  <c r="F93" i="39"/>
  <c r="F64" i="39"/>
  <c r="F64" i="12"/>
  <c r="F35" i="39"/>
  <c r="F35" i="12"/>
  <c r="F25" i="39"/>
  <c r="F25" i="12"/>
  <c r="F107" i="12"/>
  <c r="F107" i="39"/>
  <c r="F15" i="39"/>
  <c r="F15" i="12"/>
  <c r="F96" i="39"/>
  <c r="F96" i="12"/>
  <c r="F10" i="39"/>
  <c r="F10" i="12"/>
  <c r="F51" i="12"/>
  <c r="F51" i="39"/>
  <c r="F9" i="39"/>
  <c r="F9" i="12"/>
  <c r="F57" i="39"/>
  <c r="F57" i="12"/>
  <c r="F16" i="39"/>
  <c r="F16" i="12"/>
  <c r="F120" i="39"/>
  <c r="F120" i="12"/>
  <c r="F102" i="12"/>
  <c r="F102" i="39"/>
  <c r="F111" i="12"/>
  <c r="F111" i="39"/>
  <c r="F42" i="12"/>
  <c r="F42" i="39"/>
  <c r="F84" i="12"/>
  <c r="F84" i="39"/>
  <c r="F87" i="12"/>
  <c r="F87" i="39"/>
  <c r="F125" i="39"/>
  <c r="F125" i="12"/>
  <c r="F54" i="12"/>
  <c r="F54" i="39"/>
  <c r="F49" i="12"/>
  <c r="F49" i="39"/>
  <c r="F72" i="39"/>
  <c r="F72" i="12"/>
  <c r="F33" i="12"/>
  <c r="F33" i="39"/>
  <c r="F34" i="12"/>
  <c r="F34" i="39"/>
  <c r="F77" i="12"/>
  <c r="F77" i="39"/>
  <c r="F76" i="39"/>
  <c r="F76" i="12"/>
  <c r="F94" i="12"/>
  <c r="F94" i="39"/>
  <c r="F41" i="39"/>
  <c r="F41" i="12"/>
  <c r="F123" i="39"/>
  <c r="F123" i="12"/>
  <c r="F103" i="12"/>
  <c r="F103" i="39"/>
  <c r="F62" i="39"/>
  <c r="F62" i="12"/>
  <c r="F31" i="12"/>
  <c r="F31" i="39"/>
  <c r="F59" i="39"/>
  <c r="F59" i="12"/>
  <c r="F99" i="39"/>
  <c r="F99" i="12"/>
  <c r="F104" i="12"/>
  <c r="F104" i="39"/>
  <c r="F55" i="39"/>
  <c r="F55" i="12"/>
  <c r="F6" i="39"/>
  <c r="F6" i="12"/>
  <c r="F45" i="12"/>
  <c r="F45" i="39"/>
  <c r="F40" i="12"/>
  <c r="F40" i="39"/>
  <c r="F37" i="12"/>
  <c r="F37" i="39"/>
  <c r="F100" i="12"/>
  <c r="F100" i="39"/>
  <c r="F75" i="12"/>
  <c r="F75" i="39"/>
  <c r="F92" i="39"/>
  <c r="F92" i="12"/>
  <c r="F70" i="12"/>
  <c r="F70" i="39"/>
  <c r="F117" i="39"/>
  <c r="F117" i="12"/>
  <c r="F38" i="39"/>
  <c r="F38" i="12"/>
  <c r="F11" i="12"/>
  <c r="F11" i="39"/>
  <c r="F110" i="39"/>
  <c r="F110" i="12"/>
  <c r="F61" i="39"/>
  <c r="F61" i="12"/>
  <c r="F91" i="12"/>
  <c r="F91" i="39"/>
  <c r="F68" i="12"/>
  <c r="F68" i="39"/>
  <c r="F121" i="39"/>
  <c r="F121" i="12"/>
  <c r="F90" i="12"/>
  <c r="F90" i="39"/>
  <c r="F19" i="39"/>
  <c r="F19" i="12"/>
  <c r="F8" i="12"/>
  <c r="F8" i="39"/>
  <c r="F108" i="12"/>
  <c r="F108" i="39"/>
  <c r="F106" i="12"/>
  <c r="F106" i="39"/>
  <c r="F48" i="12"/>
  <c r="F48" i="39"/>
  <c r="F47" i="39"/>
  <c r="F47" i="12"/>
  <c r="F118" i="12"/>
  <c r="F118" i="39"/>
  <c r="F113" i="39"/>
  <c r="F113" i="12"/>
  <c r="F44" i="39"/>
  <c r="F44" i="12"/>
  <c r="F63" i="12"/>
  <c r="F63" i="39"/>
  <c r="F53" i="12"/>
  <c r="F53" i="39"/>
  <c r="F52" i="12"/>
  <c r="F52" i="39"/>
  <c r="F98" i="39"/>
  <c r="F98" i="12"/>
  <c r="F105" i="12"/>
  <c r="F105" i="39"/>
  <c r="F122" i="12"/>
  <c r="F122" i="39"/>
  <c r="F115" i="12"/>
  <c r="F115" i="39"/>
  <c r="F85" i="12"/>
  <c r="F85" i="39"/>
  <c r="F95" i="39"/>
  <c r="F95" i="12"/>
  <c r="F65" i="39"/>
  <c r="F65" i="12"/>
  <c r="F39" i="12"/>
  <c r="F39" i="39"/>
  <c r="F36" i="12"/>
  <c r="F36" i="39"/>
  <c r="F124" i="39"/>
  <c r="F124" i="12"/>
  <c r="F27" i="12"/>
  <c r="F27" i="39"/>
  <c r="F71" i="39"/>
  <c r="F71" i="12"/>
  <c r="F20" i="12"/>
  <c r="F20" i="39"/>
  <c r="F126" i="39"/>
  <c r="F126" i="12"/>
  <c r="F50" i="39"/>
  <c r="F50" i="12"/>
  <c r="F83" i="12"/>
  <c r="F83" i="39"/>
  <c r="F30" i="12"/>
  <c r="F30" i="39"/>
  <c r="F101" i="39"/>
  <c r="F101" i="12"/>
  <c r="F116" i="39"/>
  <c r="F116" i="12"/>
  <c r="F7" i="39"/>
  <c r="F7" i="12"/>
  <c r="F17" i="12"/>
  <c r="F17" i="39"/>
  <c r="F26" i="12"/>
  <c r="F26" i="39"/>
  <c r="F22" i="39"/>
  <c r="F22" i="12"/>
  <c r="F81" i="12"/>
  <c r="F81" i="39"/>
  <c r="F67" i="39"/>
  <c r="F67" i="12"/>
  <c r="F46" i="12"/>
  <c r="F46" i="39"/>
  <c r="F32" i="39"/>
  <c r="F32" i="12"/>
  <c r="F89" i="39"/>
  <c r="F89" i="12"/>
  <c r="F88" i="12"/>
  <c r="F88" i="39"/>
  <c r="C7" i="34"/>
  <c r="C9" i="34" s="1"/>
  <c r="P314" i="11"/>
  <c r="F314" i="39" s="1"/>
  <c r="F5" i="12"/>
  <c r="H315" i="25"/>
  <c r="D7" i="34" l="1"/>
  <c r="D9" i="34" s="1"/>
  <c r="E15" i="34" s="1"/>
  <c r="F314" i="12"/>
  <c r="E21" i="34" l="1"/>
  <c r="I21" i="34" s="1"/>
  <c r="E10" i="12" s="1"/>
  <c r="G10" i="12" s="1"/>
  <c r="H10" i="12" s="1"/>
  <c r="E25" i="34"/>
  <c r="I25" i="34" s="1"/>
  <c r="E14" i="12" s="1"/>
  <c r="G14" i="12" s="1"/>
  <c r="H14" i="12" s="1"/>
  <c r="E29" i="34"/>
  <c r="I29" i="34" s="1"/>
  <c r="E18" i="12" s="1"/>
  <c r="G18" i="12" s="1"/>
  <c r="H18" i="12" s="1"/>
  <c r="E45" i="34"/>
  <c r="I45" i="34" s="1"/>
  <c r="E34" i="12" s="1"/>
  <c r="G34" i="12" s="1"/>
  <c r="H34" i="12" s="1"/>
  <c r="E53" i="34"/>
  <c r="I53" i="34" s="1"/>
  <c r="E42" i="12" s="1"/>
  <c r="G42" i="12" s="1"/>
  <c r="H42" i="12" s="1"/>
  <c r="E57" i="34"/>
  <c r="I57" i="34" s="1"/>
  <c r="E46" i="12" s="1"/>
  <c r="G46" i="12" s="1"/>
  <c r="H46" i="12" s="1"/>
  <c r="E65" i="34"/>
  <c r="I65" i="34" s="1"/>
  <c r="E54" i="12" s="1"/>
  <c r="G54" i="12" s="1"/>
  <c r="H54" i="12" s="1"/>
  <c r="E17" i="34"/>
  <c r="I17" i="34" s="1"/>
  <c r="E6" i="12" s="1"/>
  <c r="G6" i="12" s="1"/>
  <c r="H6" i="12" s="1"/>
  <c r="E33" i="34"/>
  <c r="I33" i="34" s="1"/>
  <c r="E22" i="12" s="1"/>
  <c r="G22" i="12" s="1"/>
  <c r="H22" i="12" s="1"/>
  <c r="E37" i="34"/>
  <c r="I37" i="34" s="1"/>
  <c r="E26" i="12" s="1"/>
  <c r="G26" i="12" s="1"/>
  <c r="H26" i="12" s="1"/>
  <c r="E41" i="34"/>
  <c r="I41" i="34" s="1"/>
  <c r="E30" i="12" s="1"/>
  <c r="G30" i="12" s="1"/>
  <c r="H30" i="12" s="1"/>
  <c r="E49" i="34"/>
  <c r="I49" i="34" s="1"/>
  <c r="E38" i="12" s="1"/>
  <c r="G38" i="12" s="1"/>
  <c r="H38" i="12" s="1"/>
  <c r="E61" i="34"/>
  <c r="I61" i="34" s="1"/>
  <c r="E50" i="12" s="1"/>
  <c r="G50" i="12" s="1"/>
  <c r="H50" i="12" s="1"/>
  <c r="E69" i="34"/>
  <c r="I69" i="34" s="1"/>
  <c r="E58" i="12" s="1"/>
  <c r="G58" i="12" s="1"/>
  <c r="H58" i="12" s="1"/>
  <c r="E20" i="34"/>
  <c r="I20" i="34" s="1"/>
  <c r="E9" i="12" s="1"/>
  <c r="G9" i="12" s="1"/>
  <c r="H9" i="12" s="1"/>
  <c r="E24" i="34"/>
  <c r="I24" i="34" s="1"/>
  <c r="E13" i="12" s="1"/>
  <c r="G13" i="12" s="1"/>
  <c r="H13" i="12" s="1"/>
  <c r="E28" i="34"/>
  <c r="I28" i="34" s="1"/>
  <c r="E17" i="12" s="1"/>
  <c r="G17" i="12" s="1"/>
  <c r="H17" i="12" s="1"/>
  <c r="E32" i="34"/>
  <c r="I32" i="34" s="1"/>
  <c r="E21" i="12" s="1"/>
  <c r="G21" i="12" s="1"/>
  <c r="H21" i="12" s="1"/>
  <c r="E36" i="34"/>
  <c r="I36" i="34" s="1"/>
  <c r="E25" i="12" s="1"/>
  <c r="G25" i="12" s="1"/>
  <c r="H25" i="12" s="1"/>
  <c r="E40" i="34"/>
  <c r="I40" i="34" s="1"/>
  <c r="E29" i="12" s="1"/>
  <c r="G29" i="12" s="1"/>
  <c r="H29" i="12" s="1"/>
  <c r="E44" i="34"/>
  <c r="I44" i="34" s="1"/>
  <c r="E33" i="12" s="1"/>
  <c r="G33" i="12" s="1"/>
  <c r="H33" i="12" s="1"/>
  <c r="E48" i="34"/>
  <c r="I48" i="34" s="1"/>
  <c r="E37" i="12" s="1"/>
  <c r="G37" i="12" s="1"/>
  <c r="H37" i="12" s="1"/>
  <c r="E23" i="34"/>
  <c r="I23" i="34" s="1"/>
  <c r="E12" i="12" s="1"/>
  <c r="G12" i="12" s="1"/>
  <c r="H12" i="12" s="1"/>
  <c r="E27" i="34"/>
  <c r="I27" i="34" s="1"/>
  <c r="E16" i="12" s="1"/>
  <c r="G16" i="12" s="1"/>
  <c r="H16" i="12" s="1"/>
  <c r="E31" i="34"/>
  <c r="I31" i="34" s="1"/>
  <c r="E20" i="12" s="1"/>
  <c r="G20" i="12" s="1"/>
  <c r="H20" i="12" s="1"/>
  <c r="E35" i="34"/>
  <c r="I35" i="34" s="1"/>
  <c r="E24" i="12" s="1"/>
  <c r="G24" i="12" s="1"/>
  <c r="H24" i="12" s="1"/>
  <c r="E43" i="34"/>
  <c r="I43" i="34" s="1"/>
  <c r="E32" i="12" s="1"/>
  <c r="G32" i="12" s="1"/>
  <c r="H32" i="12" s="1"/>
  <c r="E47" i="34"/>
  <c r="I47" i="34" s="1"/>
  <c r="E36" i="12" s="1"/>
  <c r="G36" i="12" s="1"/>
  <c r="H36" i="12" s="1"/>
  <c r="E64" i="34"/>
  <c r="I64" i="34" s="1"/>
  <c r="E53" i="12" s="1"/>
  <c r="G53" i="12" s="1"/>
  <c r="H53" i="12" s="1"/>
  <c r="E77" i="34"/>
  <c r="I77" i="34" s="1"/>
  <c r="E66" i="12" s="1"/>
  <c r="G66" i="12" s="1"/>
  <c r="H66" i="12" s="1"/>
  <c r="E85" i="34"/>
  <c r="I85" i="34" s="1"/>
  <c r="E74" i="12" s="1"/>
  <c r="G74" i="12" s="1"/>
  <c r="H74" i="12" s="1"/>
  <c r="E93" i="34"/>
  <c r="I93" i="34" s="1"/>
  <c r="E82" i="12" s="1"/>
  <c r="G82" i="12" s="1"/>
  <c r="H82" i="12" s="1"/>
  <c r="E101" i="34"/>
  <c r="I101" i="34" s="1"/>
  <c r="E90" i="12" s="1"/>
  <c r="G90" i="12" s="1"/>
  <c r="H90" i="12" s="1"/>
  <c r="E109" i="34"/>
  <c r="I109" i="34" s="1"/>
  <c r="E98" i="12" s="1"/>
  <c r="G98" i="12" s="1"/>
  <c r="H98" i="12" s="1"/>
  <c r="E117" i="34"/>
  <c r="I117" i="34" s="1"/>
  <c r="E106" i="12" s="1"/>
  <c r="G106" i="12" s="1"/>
  <c r="H106" i="12" s="1"/>
  <c r="E125" i="34"/>
  <c r="I125" i="34" s="1"/>
  <c r="E114" i="12" s="1"/>
  <c r="G114" i="12" s="1"/>
  <c r="H114" i="12" s="1"/>
  <c r="E133" i="34"/>
  <c r="I133" i="34" s="1"/>
  <c r="E122" i="12" s="1"/>
  <c r="G122" i="12" s="1"/>
  <c r="H122" i="12" s="1"/>
  <c r="E141" i="34"/>
  <c r="I141" i="34" s="1"/>
  <c r="E130" i="12" s="1"/>
  <c r="G130" i="12" s="1"/>
  <c r="H130" i="12" s="1"/>
  <c r="E149" i="34"/>
  <c r="I149" i="34" s="1"/>
  <c r="E138" i="12" s="1"/>
  <c r="G138" i="12" s="1"/>
  <c r="H138" i="12" s="1"/>
  <c r="E157" i="34"/>
  <c r="I157" i="34" s="1"/>
  <c r="E146" i="12" s="1"/>
  <c r="G146" i="12" s="1"/>
  <c r="H146" i="12" s="1"/>
  <c r="E165" i="34"/>
  <c r="I165" i="34" s="1"/>
  <c r="E154" i="12" s="1"/>
  <c r="G154" i="12" s="1"/>
  <c r="H154" i="12" s="1"/>
  <c r="E173" i="34"/>
  <c r="I173" i="34" s="1"/>
  <c r="E162" i="12" s="1"/>
  <c r="G162" i="12" s="1"/>
  <c r="H162" i="12" s="1"/>
  <c r="E181" i="34"/>
  <c r="I181" i="34" s="1"/>
  <c r="E170" i="12" s="1"/>
  <c r="G170" i="12" s="1"/>
  <c r="H170" i="12" s="1"/>
  <c r="E189" i="34"/>
  <c r="I189" i="34" s="1"/>
  <c r="E178" i="12" s="1"/>
  <c r="G178" i="12" s="1"/>
  <c r="H178" i="12" s="1"/>
  <c r="E197" i="34"/>
  <c r="I197" i="34" s="1"/>
  <c r="E186" i="12" s="1"/>
  <c r="G186" i="12" s="1"/>
  <c r="H186" i="12" s="1"/>
  <c r="E205" i="34"/>
  <c r="I205" i="34" s="1"/>
  <c r="E194" i="12" s="1"/>
  <c r="G194" i="12" s="1"/>
  <c r="H194" i="12" s="1"/>
  <c r="E213" i="34"/>
  <c r="I213" i="34" s="1"/>
  <c r="E202" i="12" s="1"/>
  <c r="G202" i="12" s="1"/>
  <c r="H202" i="12" s="1"/>
  <c r="E221" i="34"/>
  <c r="I221" i="34" s="1"/>
  <c r="E210" i="12" s="1"/>
  <c r="G210" i="12" s="1"/>
  <c r="H210" i="12" s="1"/>
  <c r="E229" i="34"/>
  <c r="I229" i="34" s="1"/>
  <c r="E218" i="12" s="1"/>
  <c r="G218" i="12" s="1"/>
  <c r="H218" i="12" s="1"/>
  <c r="E237" i="34"/>
  <c r="I237" i="34" s="1"/>
  <c r="E226" i="12" s="1"/>
  <c r="G226" i="12" s="1"/>
  <c r="H226" i="12" s="1"/>
  <c r="E245" i="34"/>
  <c r="I245" i="34" s="1"/>
  <c r="E234" i="12" s="1"/>
  <c r="G234" i="12" s="1"/>
  <c r="H234" i="12" s="1"/>
  <c r="E253" i="34"/>
  <c r="I253" i="34" s="1"/>
  <c r="E242" i="12" s="1"/>
  <c r="G242" i="12" s="1"/>
  <c r="H242" i="12" s="1"/>
  <c r="E261" i="34"/>
  <c r="I261" i="34" s="1"/>
  <c r="E250" i="12" s="1"/>
  <c r="G250" i="12" s="1"/>
  <c r="H250" i="12" s="1"/>
  <c r="E269" i="34"/>
  <c r="I269" i="34" s="1"/>
  <c r="E258" i="12" s="1"/>
  <c r="G258" i="12" s="1"/>
  <c r="H258" i="12" s="1"/>
  <c r="E277" i="34"/>
  <c r="I277" i="34" s="1"/>
  <c r="E266" i="12" s="1"/>
  <c r="G266" i="12" s="1"/>
  <c r="H266" i="12" s="1"/>
  <c r="E285" i="34"/>
  <c r="I285" i="34" s="1"/>
  <c r="E274" i="12" s="1"/>
  <c r="G274" i="12" s="1"/>
  <c r="H274" i="12" s="1"/>
  <c r="E293" i="34"/>
  <c r="I293" i="34" s="1"/>
  <c r="E282" i="12" s="1"/>
  <c r="G282" i="12" s="1"/>
  <c r="H282" i="12" s="1"/>
  <c r="E301" i="34"/>
  <c r="I301" i="34" s="1"/>
  <c r="E290" i="12" s="1"/>
  <c r="G290" i="12" s="1"/>
  <c r="H290" i="12" s="1"/>
  <c r="E309" i="34"/>
  <c r="I309" i="34" s="1"/>
  <c r="E298" i="12" s="1"/>
  <c r="G298" i="12" s="1"/>
  <c r="H298" i="12" s="1"/>
  <c r="E317" i="34"/>
  <c r="I317" i="34" s="1"/>
  <c r="E306" i="12" s="1"/>
  <c r="G306" i="12" s="1"/>
  <c r="H306" i="12" s="1"/>
  <c r="E63" i="34"/>
  <c r="I63" i="34" s="1"/>
  <c r="E52" i="12" s="1"/>
  <c r="G52" i="12" s="1"/>
  <c r="H52" i="12" s="1"/>
  <c r="E68" i="34"/>
  <c r="I68" i="34" s="1"/>
  <c r="E57" i="12" s="1"/>
  <c r="G57" i="12" s="1"/>
  <c r="H57" i="12" s="1"/>
  <c r="E51" i="34"/>
  <c r="I51" i="34" s="1"/>
  <c r="E40" i="12" s="1"/>
  <c r="G40" i="12" s="1"/>
  <c r="H40" i="12" s="1"/>
  <c r="E56" i="34"/>
  <c r="I56" i="34" s="1"/>
  <c r="E45" i="12" s="1"/>
  <c r="G45" i="12" s="1"/>
  <c r="H45" i="12" s="1"/>
  <c r="E76" i="34"/>
  <c r="I76" i="34" s="1"/>
  <c r="E65" i="12" s="1"/>
  <c r="G65" i="12" s="1"/>
  <c r="H65" i="12" s="1"/>
  <c r="E84" i="34"/>
  <c r="I84" i="34" s="1"/>
  <c r="E73" i="12" s="1"/>
  <c r="G73" i="12" s="1"/>
  <c r="H73" i="12" s="1"/>
  <c r="E92" i="34"/>
  <c r="I92" i="34" s="1"/>
  <c r="E81" i="12" s="1"/>
  <c r="G81" i="12" s="1"/>
  <c r="H81" i="12" s="1"/>
  <c r="E100" i="34"/>
  <c r="I100" i="34" s="1"/>
  <c r="E89" i="12" s="1"/>
  <c r="G89" i="12" s="1"/>
  <c r="H89" i="12" s="1"/>
  <c r="E108" i="34"/>
  <c r="I108" i="34" s="1"/>
  <c r="E97" i="12" s="1"/>
  <c r="G97" i="12" s="1"/>
  <c r="H97" i="12" s="1"/>
  <c r="E116" i="34"/>
  <c r="I116" i="34" s="1"/>
  <c r="E105" i="12" s="1"/>
  <c r="G105" i="12" s="1"/>
  <c r="H105" i="12" s="1"/>
  <c r="E124" i="34"/>
  <c r="I124" i="34" s="1"/>
  <c r="E113" i="12" s="1"/>
  <c r="G113" i="12" s="1"/>
  <c r="H113" i="12" s="1"/>
  <c r="E132" i="34"/>
  <c r="I132" i="34" s="1"/>
  <c r="E121" i="12" s="1"/>
  <c r="G121" i="12" s="1"/>
  <c r="H121" i="12" s="1"/>
  <c r="E140" i="34"/>
  <c r="I140" i="34" s="1"/>
  <c r="E129" i="12" s="1"/>
  <c r="G129" i="12" s="1"/>
  <c r="H129" i="12" s="1"/>
  <c r="E148" i="34"/>
  <c r="I148" i="34" s="1"/>
  <c r="E137" i="12" s="1"/>
  <c r="G137" i="12" s="1"/>
  <c r="H137" i="12" s="1"/>
  <c r="E156" i="34"/>
  <c r="I156" i="34" s="1"/>
  <c r="E145" i="12" s="1"/>
  <c r="G145" i="12" s="1"/>
  <c r="H145" i="12" s="1"/>
  <c r="E164" i="34"/>
  <c r="I164" i="34" s="1"/>
  <c r="E153" i="12" s="1"/>
  <c r="G153" i="12" s="1"/>
  <c r="H153" i="12" s="1"/>
  <c r="E172" i="34"/>
  <c r="I172" i="34" s="1"/>
  <c r="E161" i="12" s="1"/>
  <c r="G161" i="12" s="1"/>
  <c r="H161" i="12" s="1"/>
  <c r="E180" i="34"/>
  <c r="I180" i="34" s="1"/>
  <c r="E169" i="12" s="1"/>
  <c r="G169" i="12" s="1"/>
  <c r="H169" i="12" s="1"/>
  <c r="E188" i="34"/>
  <c r="I188" i="34" s="1"/>
  <c r="E177" i="12" s="1"/>
  <c r="G177" i="12" s="1"/>
  <c r="H177" i="12" s="1"/>
  <c r="E196" i="34"/>
  <c r="I196" i="34" s="1"/>
  <c r="E185" i="12" s="1"/>
  <c r="G185" i="12" s="1"/>
  <c r="H185" i="12" s="1"/>
  <c r="E204" i="34"/>
  <c r="I204" i="34" s="1"/>
  <c r="E193" i="12" s="1"/>
  <c r="G193" i="12" s="1"/>
  <c r="H193" i="12" s="1"/>
  <c r="E212" i="34"/>
  <c r="I212" i="34" s="1"/>
  <c r="E201" i="12" s="1"/>
  <c r="G201" i="12" s="1"/>
  <c r="H201" i="12" s="1"/>
  <c r="E220" i="34"/>
  <c r="I220" i="34" s="1"/>
  <c r="E209" i="12" s="1"/>
  <c r="G209" i="12" s="1"/>
  <c r="H209" i="12" s="1"/>
  <c r="E228" i="34"/>
  <c r="I228" i="34" s="1"/>
  <c r="E217" i="12" s="1"/>
  <c r="G217" i="12" s="1"/>
  <c r="H217" i="12" s="1"/>
  <c r="E236" i="34"/>
  <c r="I236" i="34" s="1"/>
  <c r="E225" i="12" s="1"/>
  <c r="G225" i="12" s="1"/>
  <c r="H225" i="12" s="1"/>
  <c r="E244" i="34"/>
  <c r="I244" i="34" s="1"/>
  <c r="E233" i="12" s="1"/>
  <c r="G233" i="12" s="1"/>
  <c r="H233" i="12" s="1"/>
  <c r="E252" i="34"/>
  <c r="I252" i="34" s="1"/>
  <c r="E241" i="12" s="1"/>
  <c r="G241" i="12" s="1"/>
  <c r="H241" i="12" s="1"/>
  <c r="E260" i="34"/>
  <c r="I260" i="34" s="1"/>
  <c r="E249" i="12" s="1"/>
  <c r="G249" i="12" s="1"/>
  <c r="H249" i="12" s="1"/>
  <c r="E268" i="34"/>
  <c r="I268" i="34" s="1"/>
  <c r="E257" i="12" s="1"/>
  <c r="G257" i="12" s="1"/>
  <c r="H257" i="12" s="1"/>
  <c r="E276" i="34"/>
  <c r="I276" i="34" s="1"/>
  <c r="E265" i="12" s="1"/>
  <c r="G265" i="12" s="1"/>
  <c r="H265" i="12" s="1"/>
  <c r="E284" i="34"/>
  <c r="I284" i="34" s="1"/>
  <c r="E273" i="12" s="1"/>
  <c r="G273" i="12" s="1"/>
  <c r="H273" i="12" s="1"/>
  <c r="E292" i="34"/>
  <c r="I292" i="34" s="1"/>
  <c r="E281" i="12" s="1"/>
  <c r="G281" i="12" s="1"/>
  <c r="H281" i="12" s="1"/>
  <c r="E300" i="34"/>
  <c r="I300" i="34" s="1"/>
  <c r="E289" i="12" s="1"/>
  <c r="G289" i="12" s="1"/>
  <c r="H289" i="12" s="1"/>
  <c r="E308" i="34"/>
  <c r="I308" i="34" s="1"/>
  <c r="E297" i="12" s="1"/>
  <c r="G297" i="12" s="1"/>
  <c r="H297" i="12" s="1"/>
  <c r="E316" i="34"/>
  <c r="I316" i="34" s="1"/>
  <c r="E305" i="12" s="1"/>
  <c r="G305" i="12" s="1"/>
  <c r="H305" i="12" s="1"/>
  <c r="E324" i="34"/>
  <c r="I324" i="34" s="1"/>
  <c r="E313" i="12" s="1"/>
  <c r="G313" i="12" s="1"/>
  <c r="H313" i="12" s="1"/>
  <c r="E60" i="34"/>
  <c r="I60" i="34" s="1"/>
  <c r="E49" i="12" s="1"/>
  <c r="G49" i="12" s="1"/>
  <c r="H49" i="12" s="1"/>
  <c r="E265" i="34"/>
  <c r="I265" i="34" s="1"/>
  <c r="E254" i="12" s="1"/>
  <c r="G254" i="12" s="1"/>
  <c r="H254" i="12" s="1"/>
  <c r="E297" i="34"/>
  <c r="I297" i="34" s="1"/>
  <c r="E286" i="12" s="1"/>
  <c r="G286" i="12" s="1"/>
  <c r="H286" i="12" s="1"/>
  <c r="E81" i="34"/>
  <c r="I81" i="34" s="1"/>
  <c r="E70" i="12" s="1"/>
  <c r="G70" i="12" s="1"/>
  <c r="H70" i="12" s="1"/>
  <c r="E113" i="34"/>
  <c r="I113" i="34" s="1"/>
  <c r="E102" i="12" s="1"/>
  <c r="G102" i="12" s="1"/>
  <c r="H102" i="12" s="1"/>
  <c r="E145" i="34"/>
  <c r="I145" i="34" s="1"/>
  <c r="E134" i="12" s="1"/>
  <c r="G134" i="12" s="1"/>
  <c r="H134" i="12" s="1"/>
  <c r="E177" i="34"/>
  <c r="I177" i="34" s="1"/>
  <c r="E166" i="12" s="1"/>
  <c r="G166" i="12" s="1"/>
  <c r="H166" i="12" s="1"/>
  <c r="E209" i="34"/>
  <c r="I209" i="34" s="1"/>
  <c r="E198" i="12" s="1"/>
  <c r="G198" i="12" s="1"/>
  <c r="H198" i="12" s="1"/>
  <c r="E52" i="34"/>
  <c r="I52" i="34" s="1"/>
  <c r="E41" i="12" s="1"/>
  <c r="G41" i="12" s="1"/>
  <c r="H41" i="12" s="1"/>
  <c r="E249" i="34"/>
  <c r="I249" i="34" s="1"/>
  <c r="E238" i="12" s="1"/>
  <c r="G238" i="12" s="1"/>
  <c r="H238" i="12" s="1"/>
  <c r="E321" i="34"/>
  <c r="I321" i="34" s="1"/>
  <c r="E310" i="12" s="1"/>
  <c r="G310" i="12" s="1"/>
  <c r="H310" i="12" s="1"/>
  <c r="E217" i="34"/>
  <c r="I217" i="34" s="1"/>
  <c r="E206" i="12" s="1"/>
  <c r="G206" i="12" s="1"/>
  <c r="H206" i="12" s="1"/>
  <c r="E273" i="34"/>
  <c r="I273" i="34" s="1"/>
  <c r="E262" i="12" s="1"/>
  <c r="G262" i="12" s="1"/>
  <c r="H262" i="12" s="1"/>
  <c r="E305" i="34"/>
  <c r="I305" i="34" s="1"/>
  <c r="E294" i="12" s="1"/>
  <c r="G294" i="12" s="1"/>
  <c r="H294" i="12" s="1"/>
  <c r="E89" i="34"/>
  <c r="I89" i="34" s="1"/>
  <c r="E78" i="12" s="1"/>
  <c r="G78" i="12" s="1"/>
  <c r="H78" i="12" s="1"/>
  <c r="E121" i="34"/>
  <c r="I121" i="34" s="1"/>
  <c r="E110" i="12" s="1"/>
  <c r="G110" i="12" s="1"/>
  <c r="H110" i="12" s="1"/>
  <c r="E153" i="34"/>
  <c r="E185" i="34"/>
  <c r="I185" i="34" s="1"/>
  <c r="E174" i="12" s="1"/>
  <c r="G174" i="12" s="1"/>
  <c r="H174" i="12" s="1"/>
  <c r="E225" i="34"/>
  <c r="I225" i="34" s="1"/>
  <c r="E214" i="12" s="1"/>
  <c r="G214" i="12" s="1"/>
  <c r="H214" i="12" s="1"/>
  <c r="E296" i="34"/>
  <c r="I296" i="34" s="1"/>
  <c r="E285" i="12" s="1"/>
  <c r="G285" i="12" s="1"/>
  <c r="H285" i="12" s="1"/>
  <c r="E73" i="34"/>
  <c r="I73" i="34" s="1"/>
  <c r="E62" i="12" s="1"/>
  <c r="G62" i="12" s="1"/>
  <c r="H62" i="12" s="1"/>
  <c r="E105" i="34"/>
  <c r="I105" i="34" s="1"/>
  <c r="E94" i="12" s="1"/>
  <c r="G94" i="12" s="1"/>
  <c r="H94" i="12" s="1"/>
  <c r="E137" i="34"/>
  <c r="I137" i="34" s="1"/>
  <c r="E126" i="12" s="1"/>
  <c r="G126" i="12" s="1"/>
  <c r="H126" i="12" s="1"/>
  <c r="E169" i="34"/>
  <c r="I169" i="34" s="1"/>
  <c r="E158" i="12" s="1"/>
  <c r="G158" i="12" s="1"/>
  <c r="H158" i="12" s="1"/>
  <c r="E201" i="34"/>
  <c r="I201" i="34" s="1"/>
  <c r="E190" i="12" s="1"/>
  <c r="G190" i="12" s="1"/>
  <c r="H190" i="12" s="1"/>
  <c r="E257" i="34"/>
  <c r="E280" i="34"/>
  <c r="I280" i="34" s="1"/>
  <c r="E269" i="12" s="1"/>
  <c r="G269" i="12" s="1"/>
  <c r="H269" i="12" s="1"/>
  <c r="E312" i="34"/>
  <c r="I312" i="34" s="1"/>
  <c r="E301" i="12" s="1"/>
  <c r="G301" i="12" s="1"/>
  <c r="H301" i="12" s="1"/>
  <c r="E233" i="34"/>
  <c r="I233" i="34" s="1"/>
  <c r="E222" i="12" s="1"/>
  <c r="G222" i="12" s="1"/>
  <c r="H222" i="12" s="1"/>
  <c r="E281" i="34"/>
  <c r="I281" i="34" s="1"/>
  <c r="E270" i="12" s="1"/>
  <c r="G270" i="12" s="1"/>
  <c r="H270" i="12" s="1"/>
  <c r="E313" i="34"/>
  <c r="I313" i="34" s="1"/>
  <c r="E302" i="12" s="1"/>
  <c r="G302" i="12" s="1"/>
  <c r="H302" i="12" s="1"/>
  <c r="E97" i="34"/>
  <c r="I97" i="34" s="1"/>
  <c r="E86" i="12" s="1"/>
  <c r="G86" i="12" s="1"/>
  <c r="H86" i="12" s="1"/>
  <c r="E129" i="34"/>
  <c r="I129" i="34" s="1"/>
  <c r="E118" i="12" s="1"/>
  <c r="G118" i="12" s="1"/>
  <c r="H118" i="12" s="1"/>
  <c r="E161" i="34"/>
  <c r="I161" i="34" s="1"/>
  <c r="E150" i="12" s="1"/>
  <c r="G150" i="12" s="1"/>
  <c r="H150" i="12" s="1"/>
  <c r="E193" i="34"/>
  <c r="I193" i="34" s="1"/>
  <c r="E182" i="12" s="1"/>
  <c r="G182" i="12" s="1"/>
  <c r="H182" i="12" s="1"/>
  <c r="E241" i="34"/>
  <c r="I241" i="34" s="1"/>
  <c r="E230" i="12" s="1"/>
  <c r="G230" i="12" s="1"/>
  <c r="H230" i="12" s="1"/>
  <c r="E272" i="34"/>
  <c r="I272" i="34" s="1"/>
  <c r="E261" i="12" s="1"/>
  <c r="G261" i="12" s="1"/>
  <c r="H261" i="12" s="1"/>
  <c r="E304" i="34"/>
  <c r="I304" i="34" s="1"/>
  <c r="E293" i="12" s="1"/>
  <c r="G293" i="12" s="1"/>
  <c r="H293" i="12" s="1"/>
  <c r="E289" i="34"/>
  <c r="I289" i="34" s="1"/>
  <c r="E278" i="12" s="1"/>
  <c r="G278" i="12" s="1"/>
  <c r="H278" i="12" s="1"/>
  <c r="E320" i="34"/>
  <c r="I320" i="34" s="1"/>
  <c r="E309" i="12" s="1"/>
  <c r="G309" i="12" s="1"/>
  <c r="H309" i="12" s="1"/>
  <c r="E154" i="34"/>
  <c r="I154" i="34" s="1"/>
  <c r="E143" i="12" s="1"/>
  <c r="G143" i="12" s="1"/>
  <c r="H143" i="12" s="1"/>
  <c r="E291" i="34"/>
  <c r="I291" i="34" s="1"/>
  <c r="E280" i="12" s="1"/>
  <c r="G280" i="12" s="1"/>
  <c r="H280" i="12" s="1"/>
  <c r="E243" i="34"/>
  <c r="I243" i="34" s="1"/>
  <c r="E232" i="12" s="1"/>
  <c r="G232" i="12" s="1"/>
  <c r="H232" i="12" s="1"/>
  <c r="E163" i="34"/>
  <c r="I163" i="34" s="1"/>
  <c r="E152" i="12" s="1"/>
  <c r="G152" i="12" s="1"/>
  <c r="H152" i="12" s="1"/>
  <c r="E99" i="34"/>
  <c r="I99" i="34" s="1"/>
  <c r="E88" i="12" s="1"/>
  <c r="G88" i="12" s="1"/>
  <c r="H88" i="12" s="1"/>
  <c r="E303" i="34"/>
  <c r="I303" i="34" s="1"/>
  <c r="E292" i="12" s="1"/>
  <c r="G292" i="12" s="1"/>
  <c r="H292" i="12" s="1"/>
  <c r="E234" i="34"/>
  <c r="I234" i="34" s="1"/>
  <c r="E223" i="12" s="1"/>
  <c r="G223" i="12" s="1"/>
  <c r="H223" i="12" s="1"/>
  <c r="E270" i="34"/>
  <c r="I270" i="34" s="1"/>
  <c r="E259" i="12" s="1"/>
  <c r="G259" i="12" s="1"/>
  <c r="H259" i="12" s="1"/>
  <c r="E231" i="34"/>
  <c r="I231" i="34" s="1"/>
  <c r="E220" i="12" s="1"/>
  <c r="G220" i="12" s="1"/>
  <c r="H220" i="12" s="1"/>
  <c r="E159" i="34"/>
  <c r="I159" i="34" s="1"/>
  <c r="E148" i="12" s="1"/>
  <c r="G148" i="12" s="1"/>
  <c r="H148" i="12" s="1"/>
  <c r="E95" i="34"/>
  <c r="I95" i="34" s="1"/>
  <c r="E84" i="12" s="1"/>
  <c r="G84" i="12" s="1"/>
  <c r="H84" i="12" s="1"/>
  <c r="E226" i="34"/>
  <c r="I226" i="34" s="1"/>
  <c r="E215" i="12" s="1"/>
  <c r="G215" i="12" s="1"/>
  <c r="H215" i="12" s="1"/>
  <c r="E90" i="34"/>
  <c r="I90" i="34" s="1"/>
  <c r="E79" i="12" s="1"/>
  <c r="G79" i="12" s="1"/>
  <c r="H79" i="12" s="1"/>
  <c r="E290" i="34"/>
  <c r="I290" i="34" s="1"/>
  <c r="E279" i="12" s="1"/>
  <c r="G279" i="12" s="1"/>
  <c r="H279" i="12" s="1"/>
  <c r="E248" i="34"/>
  <c r="I248" i="34" s="1"/>
  <c r="E237" i="12" s="1"/>
  <c r="G237" i="12" s="1"/>
  <c r="H237" i="12" s="1"/>
  <c r="E179" i="34"/>
  <c r="I179" i="34" s="1"/>
  <c r="E168" i="12" s="1"/>
  <c r="G168" i="12" s="1"/>
  <c r="H168" i="12" s="1"/>
  <c r="E115" i="34"/>
  <c r="I115" i="34" s="1"/>
  <c r="E104" i="12" s="1"/>
  <c r="G104" i="12" s="1"/>
  <c r="H104" i="12" s="1"/>
  <c r="E39" i="34"/>
  <c r="I39" i="34" s="1"/>
  <c r="E28" i="12" s="1"/>
  <c r="G28" i="12" s="1"/>
  <c r="H28" i="12" s="1"/>
  <c r="E102" i="34"/>
  <c r="I102" i="34" s="1"/>
  <c r="E91" i="12" s="1"/>
  <c r="G91" i="12" s="1"/>
  <c r="H91" i="12" s="1"/>
  <c r="E150" i="34"/>
  <c r="I150" i="34" s="1"/>
  <c r="E139" i="12" s="1"/>
  <c r="G139" i="12" s="1"/>
  <c r="H139" i="12" s="1"/>
  <c r="E78" i="34"/>
  <c r="I78" i="34" s="1"/>
  <c r="E67" i="12" s="1"/>
  <c r="G67" i="12" s="1"/>
  <c r="H67" i="12" s="1"/>
  <c r="E232" i="34"/>
  <c r="I232" i="34" s="1"/>
  <c r="E221" i="12" s="1"/>
  <c r="G221" i="12" s="1"/>
  <c r="H221" i="12" s="1"/>
  <c r="E199" i="34"/>
  <c r="I199" i="34" s="1"/>
  <c r="E188" i="12" s="1"/>
  <c r="G188" i="12" s="1"/>
  <c r="H188" i="12" s="1"/>
  <c r="E71" i="34"/>
  <c r="I71" i="34" s="1"/>
  <c r="E60" i="12" s="1"/>
  <c r="G60" i="12" s="1"/>
  <c r="H60" i="12" s="1"/>
  <c r="E315" i="34"/>
  <c r="I315" i="34" s="1"/>
  <c r="E304" i="12" s="1"/>
  <c r="G304" i="12" s="1"/>
  <c r="H304" i="12" s="1"/>
  <c r="E138" i="34"/>
  <c r="I138" i="34" s="1"/>
  <c r="E127" i="12" s="1"/>
  <c r="G127" i="12" s="1"/>
  <c r="H127" i="12" s="1"/>
  <c r="E54" i="34"/>
  <c r="I54" i="34" s="1"/>
  <c r="E43" i="12" s="1"/>
  <c r="G43" i="12" s="1"/>
  <c r="H43" i="12" s="1"/>
  <c r="E151" i="34"/>
  <c r="I151" i="34" s="1"/>
  <c r="E140" i="12" s="1"/>
  <c r="G140" i="12" s="1"/>
  <c r="H140" i="12" s="1"/>
  <c r="E251" i="34"/>
  <c r="I251" i="34" s="1"/>
  <c r="E240" i="12" s="1"/>
  <c r="G240" i="12" s="1"/>
  <c r="H240" i="12" s="1"/>
  <c r="E131" i="34"/>
  <c r="I131" i="34" s="1"/>
  <c r="E120" i="12" s="1"/>
  <c r="G120" i="12" s="1"/>
  <c r="H120" i="12" s="1"/>
  <c r="E302" i="34"/>
  <c r="I302" i="34" s="1"/>
  <c r="E291" i="12" s="1"/>
  <c r="G291" i="12" s="1"/>
  <c r="H291" i="12" s="1"/>
  <c r="E127" i="34"/>
  <c r="I127" i="34" s="1"/>
  <c r="E116" i="12" s="1"/>
  <c r="G116" i="12" s="1"/>
  <c r="H116" i="12" s="1"/>
  <c r="E322" i="34"/>
  <c r="I322" i="34" s="1"/>
  <c r="E311" i="12" s="1"/>
  <c r="G311" i="12" s="1"/>
  <c r="H311" i="12" s="1"/>
  <c r="E147" i="34"/>
  <c r="I147" i="34" s="1"/>
  <c r="E136" i="12" s="1"/>
  <c r="G136" i="12" s="1"/>
  <c r="H136" i="12" s="1"/>
  <c r="E288" i="34"/>
  <c r="I288" i="34" s="1"/>
  <c r="E277" i="12" s="1"/>
  <c r="G277" i="12" s="1"/>
  <c r="H277" i="12" s="1"/>
  <c r="E128" i="34"/>
  <c r="I128" i="34" s="1"/>
  <c r="E117" i="12" s="1"/>
  <c r="G117" i="12" s="1"/>
  <c r="H117" i="12" s="1"/>
  <c r="E278" i="34"/>
  <c r="I278" i="34" s="1"/>
  <c r="E267" i="12" s="1"/>
  <c r="G267" i="12" s="1"/>
  <c r="H267" i="12" s="1"/>
  <c r="E216" i="34"/>
  <c r="I216" i="34" s="1"/>
  <c r="E205" i="12" s="1"/>
  <c r="G205" i="12" s="1"/>
  <c r="H205" i="12" s="1"/>
  <c r="E152" i="34"/>
  <c r="I152" i="34" s="1"/>
  <c r="E141" i="12" s="1"/>
  <c r="G141" i="12" s="1"/>
  <c r="H141" i="12" s="1"/>
  <c r="E88" i="34"/>
  <c r="I88" i="34" s="1"/>
  <c r="E77" i="12" s="1"/>
  <c r="G77" i="12" s="1"/>
  <c r="H77" i="12" s="1"/>
  <c r="E299" i="34"/>
  <c r="I299" i="34" s="1"/>
  <c r="E288" i="12" s="1"/>
  <c r="G288" i="12" s="1"/>
  <c r="H288" i="12" s="1"/>
  <c r="E30" i="34"/>
  <c r="I30" i="34" s="1"/>
  <c r="E19" i="12" s="1"/>
  <c r="G19" i="12" s="1"/>
  <c r="H19" i="12" s="1"/>
  <c r="E266" i="34"/>
  <c r="I266" i="34" s="1"/>
  <c r="E255" i="12" s="1"/>
  <c r="G255" i="12" s="1"/>
  <c r="H255" i="12" s="1"/>
  <c r="E227" i="34"/>
  <c r="I227" i="34" s="1"/>
  <c r="E216" i="12" s="1"/>
  <c r="G216" i="12" s="1"/>
  <c r="H216" i="12" s="1"/>
  <c r="E155" i="34"/>
  <c r="I155" i="34" s="1"/>
  <c r="E144" i="12" s="1"/>
  <c r="G144" i="12" s="1"/>
  <c r="H144" i="12" s="1"/>
  <c r="E91" i="34"/>
  <c r="I91" i="34" s="1"/>
  <c r="E80" i="12" s="1"/>
  <c r="G80" i="12" s="1"/>
  <c r="H80" i="12" s="1"/>
  <c r="E192" i="34"/>
  <c r="I192" i="34" s="1"/>
  <c r="E181" i="12" s="1"/>
  <c r="G181" i="12" s="1"/>
  <c r="H181" i="12" s="1"/>
  <c r="E79" i="34"/>
  <c r="I79" i="34" s="1"/>
  <c r="E68" i="12" s="1"/>
  <c r="G68" i="12" s="1"/>
  <c r="H68" i="12" s="1"/>
  <c r="E279" i="34"/>
  <c r="I279" i="34" s="1"/>
  <c r="E268" i="12" s="1"/>
  <c r="G268" i="12" s="1"/>
  <c r="H268" i="12" s="1"/>
  <c r="E246" i="34"/>
  <c r="I246" i="34" s="1"/>
  <c r="E235" i="12" s="1"/>
  <c r="G235" i="12" s="1"/>
  <c r="H235" i="12" s="1"/>
  <c r="E168" i="34"/>
  <c r="I168" i="34" s="1"/>
  <c r="E157" i="12" s="1"/>
  <c r="G157" i="12" s="1"/>
  <c r="H157" i="12" s="1"/>
  <c r="E104" i="34"/>
  <c r="I104" i="34" s="1"/>
  <c r="E93" i="12" s="1"/>
  <c r="G93" i="12" s="1"/>
  <c r="H93" i="12" s="1"/>
  <c r="E22" i="34"/>
  <c r="I22" i="34" s="1"/>
  <c r="E11" i="12" s="1"/>
  <c r="G11" i="12" s="1"/>
  <c r="H11" i="12" s="1"/>
  <c r="E86" i="34"/>
  <c r="I86" i="34" s="1"/>
  <c r="E75" i="12" s="1"/>
  <c r="G75" i="12" s="1"/>
  <c r="H75" i="12" s="1"/>
  <c r="E118" i="34"/>
  <c r="I118" i="34" s="1"/>
  <c r="E107" i="12" s="1"/>
  <c r="G107" i="12" s="1"/>
  <c r="H107" i="12" s="1"/>
  <c r="E70" i="34"/>
  <c r="I70" i="34" s="1"/>
  <c r="E59" i="12" s="1"/>
  <c r="G59" i="12" s="1"/>
  <c r="H59" i="12" s="1"/>
  <c r="E107" i="34"/>
  <c r="I107" i="34" s="1"/>
  <c r="E96" i="12" s="1"/>
  <c r="G96" i="12" s="1"/>
  <c r="H96" i="12" s="1"/>
  <c r="E135" i="34"/>
  <c r="E282" i="34"/>
  <c r="I282" i="34" s="1"/>
  <c r="E271" i="12" s="1"/>
  <c r="G271" i="12" s="1"/>
  <c r="H271" i="12" s="1"/>
  <c r="E202" i="34"/>
  <c r="I202" i="34" s="1"/>
  <c r="E191" i="12" s="1"/>
  <c r="G191" i="12" s="1"/>
  <c r="H191" i="12" s="1"/>
  <c r="E74" i="34"/>
  <c r="I74" i="34" s="1"/>
  <c r="E63" i="12" s="1"/>
  <c r="G63" i="12" s="1"/>
  <c r="H63" i="12" s="1"/>
  <c r="E256" i="34"/>
  <c r="I256" i="34" s="1"/>
  <c r="E245" i="12" s="1"/>
  <c r="G245" i="12" s="1"/>
  <c r="H245" i="12" s="1"/>
  <c r="E87" i="34"/>
  <c r="I87" i="34" s="1"/>
  <c r="E76" i="12" s="1"/>
  <c r="G76" i="12" s="1"/>
  <c r="H76" i="12" s="1"/>
  <c r="E58" i="34"/>
  <c r="I58" i="34" s="1"/>
  <c r="E47" i="12" s="1"/>
  <c r="G47" i="12" s="1"/>
  <c r="H47" i="12" s="1"/>
  <c r="E34" i="34"/>
  <c r="I34" i="34" s="1"/>
  <c r="E23" i="12" s="1"/>
  <c r="G23" i="12" s="1"/>
  <c r="H23" i="12" s="1"/>
  <c r="E323" i="34"/>
  <c r="I323" i="34" s="1"/>
  <c r="E312" i="12" s="1"/>
  <c r="G312" i="12" s="1"/>
  <c r="H312" i="12" s="1"/>
  <c r="E50" i="34"/>
  <c r="I50" i="34" s="1"/>
  <c r="E39" i="12" s="1"/>
  <c r="G39" i="12" s="1"/>
  <c r="H39" i="12" s="1"/>
  <c r="E191" i="34"/>
  <c r="I191" i="34" s="1"/>
  <c r="E180" i="12" s="1"/>
  <c r="G180" i="12" s="1"/>
  <c r="H180" i="12" s="1"/>
  <c r="E143" i="34"/>
  <c r="I143" i="34" s="1"/>
  <c r="E132" i="12" s="1"/>
  <c r="G132" i="12" s="1"/>
  <c r="H132" i="12" s="1"/>
  <c r="E254" i="34"/>
  <c r="I254" i="34" s="1"/>
  <c r="E243" i="12" s="1"/>
  <c r="G243" i="12" s="1"/>
  <c r="H243" i="12" s="1"/>
  <c r="E83" i="34"/>
  <c r="I83" i="34" s="1"/>
  <c r="E72" i="12" s="1"/>
  <c r="G72" i="12" s="1"/>
  <c r="H72" i="12" s="1"/>
  <c r="E42" i="34"/>
  <c r="I42" i="34" s="1"/>
  <c r="E31" i="12" s="1"/>
  <c r="G31" i="12" s="1"/>
  <c r="H31" i="12" s="1"/>
  <c r="E19" i="34"/>
  <c r="I19" i="34" s="1"/>
  <c r="E8" i="12" s="1"/>
  <c r="G8" i="12" s="1"/>
  <c r="H8" i="12" s="1"/>
  <c r="E263" i="34"/>
  <c r="I263" i="34" s="1"/>
  <c r="E252" i="12" s="1"/>
  <c r="G252" i="12" s="1"/>
  <c r="H252" i="12" s="1"/>
  <c r="E122" i="34"/>
  <c r="I122" i="34" s="1"/>
  <c r="E111" i="12" s="1"/>
  <c r="G111" i="12" s="1"/>
  <c r="H111" i="12" s="1"/>
  <c r="E274" i="34"/>
  <c r="I274" i="34" s="1"/>
  <c r="E263" i="12" s="1"/>
  <c r="G263" i="12" s="1"/>
  <c r="H263" i="12" s="1"/>
  <c r="E210" i="34"/>
  <c r="I210" i="34" s="1"/>
  <c r="E199" i="12" s="1"/>
  <c r="G199" i="12" s="1"/>
  <c r="H199" i="12" s="1"/>
  <c r="E146" i="34"/>
  <c r="I146" i="34" s="1"/>
  <c r="E135" i="12" s="1"/>
  <c r="G135" i="12" s="1"/>
  <c r="H135" i="12" s="1"/>
  <c r="E82" i="34"/>
  <c r="I82" i="34" s="1"/>
  <c r="E71" i="12" s="1"/>
  <c r="G71" i="12" s="1"/>
  <c r="H71" i="12" s="1"/>
  <c r="E286" i="34"/>
  <c r="I286" i="34" s="1"/>
  <c r="E275" i="12" s="1"/>
  <c r="G275" i="12" s="1"/>
  <c r="H275" i="12" s="1"/>
  <c r="E319" i="34"/>
  <c r="I319" i="34" s="1"/>
  <c r="E308" i="12" s="1"/>
  <c r="G308" i="12" s="1"/>
  <c r="H308" i="12" s="1"/>
  <c r="E239" i="34"/>
  <c r="I239" i="34" s="1"/>
  <c r="E228" i="12" s="1"/>
  <c r="G228" i="12" s="1"/>
  <c r="H228" i="12" s="1"/>
  <c r="E208" i="34"/>
  <c r="I208" i="34" s="1"/>
  <c r="E197" i="12" s="1"/>
  <c r="G197" i="12" s="1"/>
  <c r="H197" i="12" s="1"/>
  <c r="E144" i="34"/>
  <c r="I144" i="34" s="1"/>
  <c r="E133" i="12" s="1"/>
  <c r="G133" i="12" s="1"/>
  <c r="H133" i="12" s="1"/>
  <c r="E80" i="34"/>
  <c r="I80" i="34" s="1"/>
  <c r="E69" i="12" s="1"/>
  <c r="G69" i="12" s="1"/>
  <c r="H69" i="12" s="1"/>
  <c r="E175" i="34"/>
  <c r="I175" i="34" s="1"/>
  <c r="E164" i="12" s="1"/>
  <c r="G164" i="12" s="1"/>
  <c r="H164" i="12" s="1"/>
  <c r="E75" i="34"/>
  <c r="I75" i="34" s="1"/>
  <c r="E64" i="12" s="1"/>
  <c r="G64" i="12" s="1"/>
  <c r="H64" i="12" s="1"/>
  <c r="E275" i="34"/>
  <c r="I275" i="34" s="1"/>
  <c r="E264" i="12" s="1"/>
  <c r="G264" i="12" s="1"/>
  <c r="H264" i="12" s="1"/>
  <c r="E242" i="34"/>
  <c r="I242" i="34" s="1"/>
  <c r="E231" i="12" s="1"/>
  <c r="G231" i="12" s="1"/>
  <c r="H231" i="12" s="1"/>
  <c r="E162" i="34"/>
  <c r="I162" i="34" s="1"/>
  <c r="E151" i="12" s="1"/>
  <c r="G151" i="12" s="1"/>
  <c r="H151" i="12" s="1"/>
  <c r="E98" i="34"/>
  <c r="I98" i="34" s="1"/>
  <c r="E87" i="12" s="1"/>
  <c r="G87" i="12" s="1"/>
  <c r="H87" i="12" s="1"/>
  <c r="E206" i="34"/>
  <c r="I206" i="34" s="1"/>
  <c r="E195" i="12" s="1"/>
  <c r="G195" i="12" s="1"/>
  <c r="H195" i="12" s="1"/>
  <c r="E46" i="34"/>
  <c r="I46" i="34" s="1"/>
  <c r="E35" i="12" s="1"/>
  <c r="G35" i="12" s="1"/>
  <c r="H35" i="12" s="1"/>
  <c r="E38" i="34"/>
  <c r="I38" i="34" s="1"/>
  <c r="E27" i="12" s="1"/>
  <c r="G27" i="12" s="1"/>
  <c r="H27" i="12" s="1"/>
  <c r="E66" i="34"/>
  <c r="I66" i="34" s="1"/>
  <c r="E55" i="12" s="1"/>
  <c r="G55" i="12" s="1"/>
  <c r="H55" i="12" s="1"/>
  <c r="E255" i="34"/>
  <c r="I255" i="34" s="1"/>
  <c r="E244" i="12" s="1"/>
  <c r="G244" i="12" s="1"/>
  <c r="H244" i="12" s="1"/>
  <c r="E235" i="34"/>
  <c r="I235" i="34" s="1"/>
  <c r="E224" i="12" s="1"/>
  <c r="G224" i="12" s="1"/>
  <c r="H224" i="12" s="1"/>
  <c r="E171" i="34"/>
  <c r="I171" i="34" s="1"/>
  <c r="E160" i="12" s="1"/>
  <c r="G160" i="12" s="1"/>
  <c r="H160" i="12" s="1"/>
  <c r="E215" i="34"/>
  <c r="I215" i="34" s="1"/>
  <c r="E204" i="12" s="1"/>
  <c r="G204" i="12" s="1"/>
  <c r="H204" i="12" s="1"/>
  <c r="E190" i="34"/>
  <c r="I190" i="34" s="1"/>
  <c r="E179" i="12" s="1"/>
  <c r="G179" i="12" s="1"/>
  <c r="H179" i="12" s="1"/>
  <c r="E222" i="34"/>
  <c r="I222" i="34" s="1"/>
  <c r="E211" i="12" s="1"/>
  <c r="G211" i="12" s="1"/>
  <c r="H211" i="12" s="1"/>
  <c r="E207" i="34"/>
  <c r="I207" i="34" s="1"/>
  <c r="E196" i="12" s="1"/>
  <c r="G196" i="12" s="1"/>
  <c r="H196" i="12" s="1"/>
  <c r="E195" i="34"/>
  <c r="I195" i="34" s="1"/>
  <c r="E184" i="12" s="1"/>
  <c r="G184" i="12" s="1"/>
  <c r="H184" i="12" s="1"/>
  <c r="E271" i="34"/>
  <c r="I271" i="34" s="1"/>
  <c r="E260" i="12" s="1"/>
  <c r="G260" i="12" s="1"/>
  <c r="H260" i="12" s="1"/>
  <c r="E67" i="34"/>
  <c r="I67" i="34" s="1"/>
  <c r="E56" i="12" s="1"/>
  <c r="G56" i="12" s="1"/>
  <c r="H56" i="12" s="1"/>
  <c r="E59" i="34"/>
  <c r="I59" i="34" s="1"/>
  <c r="E48" i="12" s="1"/>
  <c r="G48" i="12" s="1"/>
  <c r="H48" i="12" s="1"/>
  <c r="E211" i="34"/>
  <c r="I211" i="34" s="1"/>
  <c r="E200" i="12" s="1"/>
  <c r="G200" i="12" s="1"/>
  <c r="H200" i="12" s="1"/>
  <c r="E174" i="34"/>
  <c r="I174" i="34" s="1"/>
  <c r="E163" i="12" s="1"/>
  <c r="G163" i="12" s="1"/>
  <c r="H163" i="12" s="1"/>
  <c r="E198" i="34"/>
  <c r="I198" i="34" s="1"/>
  <c r="E187" i="12" s="1"/>
  <c r="G187" i="12" s="1"/>
  <c r="H187" i="12" s="1"/>
  <c r="E203" i="34"/>
  <c r="I203" i="34" s="1"/>
  <c r="E192" i="12" s="1"/>
  <c r="G192" i="12" s="1"/>
  <c r="H192" i="12" s="1"/>
  <c r="E310" i="34"/>
  <c r="I310" i="34" s="1"/>
  <c r="E299" i="12" s="1"/>
  <c r="G299" i="12" s="1"/>
  <c r="H299" i="12" s="1"/>
  <c r="E224" i="34"/>
  <c r="I224" i="34" s="1"/>
  <c r="E213" i="12" s="1"/>
  <c r="G213" i="12" s="1"/>
  <c r="H213" i="12" s="1"/>
  <c r="E184" i="34"/>
  <c r="I184" i="34" s="1"/>
  <c r="E173" i="12" s="1"/>
  <c r="G173" i="12" s="1"/>
  <c r="H173" i="12" s="1"/>
  <c r="E120" i="34"/>
  <c r="I120" i="34" s="1"/>
  <c r="E109" i="12" s="1"/>
  <c r="G109" i="12" s="1"/>
  <c r="H109" i="12" s="1"/>
  <c r="E18" i="34"/>
  <c r="I18" i="34" s="1"/>
  <c r="E7" i="12" s="1"/>
  <c r="G7" i="12" s="1"/>
  <c r="H7" i="12" s="1"/>
  <c r="E267" i="34"/>
  <c r="I267" i="34" s="1"/>
  <c r="E256" i="12" s="1"/>
  <c r="G256" i="12" s="1"/>
  <c r="H256" i="12" s="1"/>
  <c r="E298" i="34"/>
  <c r="I298" i="34" s="1"/>
  <c r="E287" i="12" s="1"/>
  <c r="G287" i="12" s="1"/>
  <c r="H287" i="12" s="1"/>
  <c r="E264" i="34"/>
  <c r="I264" i="34" s="1"/>
  <c r="E253" i="12" s="1"/>
  <c r="G253" i="12" s="1"/>
  <c r="H253" i="12" s="1"/>
  <c r="E187" i="34"/>
  <c r="I187" i="34" s="1"/>
  <c r="E176" i="12" s="1"/>
  <c r="G176" i="12" s="1"/>
  <c r="H176" i="12" s="1"/>
  <c r="E123" i="34"/>
  <c r="I123" i="34" s="1"/>
  <c r="E112" i="12" s="1"/>
  <c r="G112" i="12" s="1"/>
  <c r="H112" i="12" s="1"/>
  <c r="E55" i="34"/>
  <c r="I55" i="34" s="1"/>
  <c r="E44" i="12" s="1"/>
  <c r="G44" i="12" s="1"/>
  <c r="H44" i="12" s="1"/>
  <c r="E139" i="34"/>
  <c r="I139" i="34" s="1"/>
  <c r="E128" i="12" s="1"/>
  <c r="G128" i="12" s="1"/>
  <c r="H128" i="12" s="1"/>
  <c r="E311" i="34"/>
  <c r="I311" i="34" s="1"/>
  <c r="E300" i="12" s="1"/>
  <c r="G300" i="12" s="1"/>
  <c r="H300" i="12" s="1"/>
  <c r="E250" i="34"/>
  <c r="I250" i="34" s="1"/>
  <c r="E239" i="12" s="1"/>
  <c r="G239" i="12" s="1"/>
  <c r="H239" i="12" s="1"/>
  <c r="E200" i="34"/>
  <c r="I200" i="34" s="1"/>
  <c r="E189" i="12" s="1"/>
  <c r="G189" i="12" s="1"/>
  <c r="H189" i="12" s="1"/>
  <c r="E136" i="34"/>
  <c r="I136" i="34" s="1"/>
  <c r="E125" i="12" s="1"/>
  <c r="G125" i="12" s="1"/>
  <c r="H125" i="12" s="1"/>
  <c r="E72" i="34"/>
  <c r="I72" i="34" s="1"/>
  <c r="E61" i="12" s="1"/>
  <c r="G61" i="12" s="1"/>
  <c r="H61" i="12" s="1"/>
  <c r="E166" i="34"/>
  <c r="I166" i="34" s="1"/>
  <c r="E155" i="12" s="1"/>
  <c r="G155" i="12" s="1"/>
  <c r="H155" i="12" s="1"/>
  <c r="E214" i="34"/>
  <c r="I214" i="34" s="1"/>
  <c r="E203" i="12" s="1"/>
  <c r="G203" i="12" s="1"/>
  <c r="H203" i="12" s="1"/>
  <c r="E142" i="34"/>
  <c r="I142" i="34" s="1"/>
  <c r="E131" i="12" s="1"/>
  <c r="G131" i="12" s="1"/>
  <c r="H131" i="12" s="1"/>
  <c r="E186" i="34"/>
  <c r="I186" i="34" s="1"/>
  <c r="E175" i="12" s="1"/>
  <c r="G175" i="12" s="1"/>
  <c r="H175" i="12" s="1"/>
  <c r="E306" i="34"/>
  <c r="I306" i="34" s="1"/>
  <c r="E295" i="12" s="1"/>
  <c r="G295" i="12" s="1"/>
  <c r="H295" i="12" s="1"/>
  <c r="E218" i="34"/>
  <c r="I218" i="34" s="1"/>
  <c r="E207" i="12" s="1"/>
  <c r="G207" i="12" s="1"/>
  <c r="H207" i="12" s="1"/>
  <c r="E178" i="34"/>
  <c r="I178" i="34" s="1"/>
  <c r="E167" i="12" s="1"/>
  <c r="G167" i="12" s="1"/>
  <c r="H167" i="12" s="1"/>
  <c r="E114" i="34"/>
  <c r="I114" i="34" s="1"/>
  <c r="E103" i="12" s="1"/>
  <c r="G103" i="12" s="1"/>
  <c r="H103" i="12" s="1"/>
  <c r="E318" i="34"/>
  <c r="I318" i="34" s="1"/>
  <c r="E307" i="12" s="1"/>
  <c r="G307" i="12" s="1"/>
  <c r="H307" i="12" s="1"/>
  <c r="E240" i="34"/>
  <c r="I240" i="34" s="1"/>
  <c r="E229" i="12" s="1"/>
  <c r="G229" i="12" s="1"/>
  <c r="H229" i="12" s="1"/>
  <c r="E287" i="34"/>
  <c r="I287" i="34" s="1"/>
  <c r="E276" i="12" s="1"/>
  <c r="G276" i="12" s="1"/>
  <c r="H276" i="12" s="1"/>
  <c r="E262" i="34"/>
  <c r="I262" i="34" s="1"/>
  <c r="E251" i="12" s="1"/>
  <c r="G251" i="12" s="1"/>
  <c r="H251" i="12" s="1"/>
  <c r="E176" i="34"/>
  <c r="I176" i="34" s="1"/>
  <c r="E165" i="12" s="1"/>
  <c r="G165" i="12" s="1"/>
  <c r="H165" i="12" s="1"/>
  <c r="E112" i="34"/>
  <c r="I112" i="34" s="1"/>
  <c r="E101" i="12" s="1"/>
  <c r="G101" i="12" s="1"/>
  <c r="H101" i="12" s="1"/>
  <c r="E259" i="34"/>
  <c r="I259" i="34" s="1"/>
  <c r="E248" i="12" s="1"/>
  <c r="G248" i="12" s="1"/>
  <c r="H248" i="12" s="1"/>
  <c r="E111" i="34"/>
  <c r="I111" i="34" s="1"/>
  <c r="E100" i="12" s="1"/>
  <c r="G100" i="12" s="1"/>
  <c r="H100" i="12" s="1"/>
  <c r="E307" i="34"/>
  <c r="I307" i="34" s="1"/>
  <c r="E296" i="12" s="1"/>
  <c r="G296" i="12" s="1"/>
  <c r="H296" i="12" s="1"/>
  <c r="E223" i="34"/>
  <c r="I223" i="34" s="1"/>
  <c r="E212" i="12" s="1"/>
  <c r="G212" i="12" s="1"/>
  <c r="H212" i="12" s="1"/>
  <c r="E194" i="34"/>
  <c r="I194" i="34" s="1"/>
  <c r="E183" i="12" s="1"/>
  <c r="G183" i="12" s="1"/>
  <c r="H183" i="12" s="1"/>
  <c r="E130" i="34"/>
  <c r="I130" i="34" s="1"/>
  <c r="E119" i="12" s="1"/>
  <c r="G119" i="12" s="1"/>
  <c r="H119" i="12" s="1"/>
  <c r="E26" i="34"/>
  <c r="I26" i="34" s="1"/>
  <c r="E15" i="12" s="1"/>
  <c r="G15" i="12" s="1"/>
  <c r="H15" i="12" s="1"/>
  <c r="E134" i="34"/>
  <c r="I134" i="34" s="1"/>
  <c r="E123" i="12" s="1"/>
  <c r="G123" i="12" s="1"/>
  <c r="H123" i="12" s="1"/>
  <c r="E182" i="34"/>
  <c r="I182" i="34" s="1"/>
  <c r="E171" i="12" s="1"/>
  <c r="G171" i="12" s="1"/>
  <c r="H171" i="12" s="1"/>
  <c r="E110" i="34"/>
  <c r="I110" i="34" s="1"/>
  <c r="E99" i="12" s="1"/>
  <c r="G99" i="12" s="1"/>
  <c r="H99" i="12" s="1"/>
  <c r="E160" i="34"/>
  <c r="I160" i="34" s="1"/>
  <c r="E149" i="12" s="1"/>
  <c r="G149" i="12" s="1"/>
  <c r="H149" i="12" s="1"/>
  <c r="E295" i="34"/>
  <c r="I295" i="34" s="1"/>
  <c r="E284" i="12" s="1"/>
  <c r="G284" i="12" s="1"/>
  <c r="H284" i="12" s="1"/>
  <c r="E247" i="34"/>
  <c r="I247" i="34" s="1"/>
  <c r="E236" i="12" s="1"/>
  <c r="G236" i="12" s="1"/>
  <c r="H236" i="12" s="1"/>
  <c r="E167" i="34"/>
  <c r="I167" i="34" s="1"/>
  <c r="E156" i="12" s="1"/>
  <c r="G156" i="12" s="1"/>
  <c r="H156" i="12" s="1"/>
  <c r="E103" i="34"/>
  <c r="I103" i="34" s="1"/>
  <c r="E92" i="12" s="1"/>
  <c r="G92" i="12" s="1"/>
  <c r="H92" i="12" s="1"/>
  <c r="E314" i="34"/>
  <c r="I314" i="34" s="1"/>
  <c r="E303" i="12" s="1"/>
  <c r="G303" i="12" s="1"/>
  <c r="H303" i="12" s="1"/>
  <c r="E238" i="34"/>
  <c r="I238" i="34" s="1"/>
  <c r="E227" i="12" s="1"/>
  <c r="G227" i="12" s="1"/>
  <c r="H227" i="12" s="1"/>
  <c r="E283" i="34"/>
  <c r="I283" i="34" s="1"/>
  <c r="E272" i="12" s="1"/>
  <c r="G272" i="12" s="1"/>
  <c r="H272" i="12" s="1"/>
  <c r="E258" i="34"/>
  <c r="I258" i="34" s="1"/>
  <c r="E247" i="12" s="1"/>
  <c r="G247" i="12" s="1"/>
  <c r="H247" i="12" s="1"/>
  <c r="E170" i="34"/>
  <c r="I170" i="34" s="1"/>
  <c r="E159" i="12" s="1"/>
  <c r="G159" i="12" s="1"/>
  <c r="H159" i="12" s="1"/>
  <c r="E106" i="34"/>
  <c r="I106" i="34" s="1"/>
  <c r="E95" i="12" s="1"/>
  <c r="G95" i="12" s="1"/>
  <c r="H95" i="12" s="1"/>
  <c r="E230" i="34"/>
  <c r="I230" i="34" s="1"/>
  <c r="E219" i="12" s="1"/>
  <c r="G219" i="12" s="1"/>
  <c r="H219" i="12" s="1"/>
  <c r="E96" i="34"/>
  <c r="I96" i="34" s="1"/>
  <c r="E85" i="12" s="1"/>
  <c r="G85" i="12" s="1"/>
  <c r="H85" i="12" s="1"/>
  <c r="E294" i="34"/>
  <c r="I294" i="34" s="1"/>
  <c r="E283" i="12" s="1"/>
  <c r="G283" i="12" s="1"/>
  <c r="H283" i="12" s="1"/>
  <c r="E219" i="34"/>
  <c r="I219" i="34" s="1"/>
  <c r="E208" i="12" s="1"/>
  <c r="G208" i="12" s="1"/>
  <c r="H208" i="12" s="1"/>
  <c r="E183" i="34"/>
  <c r="I183" i="34" s="1"/>
  <c r="E172" i="12" s="1"/>
  <c r="G172" i="12" s="1"/>
  <c r="H172" i="12" s="1"/>
  <c r="E119" i="34"/>
  <c r="I119" i="34" s="1"/>
  <c r="E108" i="12" s="1"/>
  <c r="G108" i="12" s="1"/>
  <c r="H108" i="12" s="1"/>
  <c r="E62" i="34"/>
  <c r="I62" i="34" s="1"/>
  <c r="E51" i="12" s="1"/>
  <c r="G51" i="12" s="1"/>
  <c r="H51" i="12" s="1"/>
  <c r="E126" i="34"/>
  <c r="I126" i="34" s="1"/>
  <c r="E115" i="12" s="1"/>
  <c r="G115" i="12" s="1"/>
  <c r="H115" i="12" s="1"/>
  <c r="E158" i="34"/>
  <c r="I158" i="34" s="1"/>
  <c r="E147" i="12" s="1"/>
  <c r="G147" i="12" s="1"/>
  <c r="H147" i="12" s="1"/>
  <c r="E94" i="34"/>
  <c r="I94" i="34" s="1"/>
  <c r="E83" i="12" s="1"/>
  <c r="G83" i="12" s="1"/>
  <c r="H83" i="12" s="1"/>
  <c r="I135" i="34"/>
  <c r="E124" i="12" s="1"/>
  <c r="G124" i="12" s="1"/>
  <c r="H124" i="12" s="1"/>
  <c r="I153" i="34"/>
  <c r="E142" i="12" s="1"/>
  <c r="G142" i="12" s="1"/>
  <c r="H142" i="12" s="1"/>
  <c r="I257" i="34"/>
  <c r="E246" i="12" s="1"/>
  <c r="G246" i="12" s="1"/>
  <c r="H246" i="12" s="1"/>
  <c r="E16" i="34"/>
  <c r="E252" i="39" l="1"/>
  <c r="G252" i="39" s="1"/>
  <c r="H252" i="39" s="1"/>
  <c r="I252" i="39" s="1"/>
  <c r="J252" i="39" s="1"/>
  <c r="I253" i="25" s="1"/>
  <c r="G253" i="25"/>
  <c r="G52" i="25"/>
  <c r="E51" i="39"/>
  <c r="G51" i="39" s="1"/>
  <c r="H51" i="39" s="1"/>
  <c r="I51" i="39" s="1"/>
  <c r="J51" i="39" s="1"/>
  <c r="I52" i="25" s="1"/>
  <c r="G150" i="25"/>
  <c r="E149" i="39"/>
  <c r="G149" i="39" s="1"/>
  <c r="H149" i="39" s="1"/>
  <c r="I149" i="39" s="1"/>
  <c r="J149" i="39" s="1"/>
  <c r="I150" i="25" s="1"/>
  <c r="G156" i="25"/>
  <c r="E155" i="39"/>
  <c r="G155" i="39" s="1"/>
  <c r="H155" i="39" s="1"/>
  <c r="I155" i="39" s="1"/>
  <c r="J155" i="39" s="1"/>
  <c r="I156" i="25" s="1"/>
  <c r="G245" i="25"/>
  <c r="E244" i="39"/>
  <c r="G244" i="39" s="1"/>
  <c r="H244" i="39" s="1"/>
  <c r="I244" i="39" s="1"/>
  <c r="J244" i="39" s="1"/>
  <c r="I245" i="25" s="1"/>
  <c r="G48" i="25"/>
  <c r="E47" i="39"/>
  <c r="G47" i="39" s="1"/>
  <c r="H47" i="39" s="1"/>
  <c r="I47" i="39" s="1"/>
  <c r="J47" i="39" s="1"/>
  <c r="I48" i="25" s="1"/>
  <c r="G117" i="25"/>
  <c r="E116" i="39"/>
  <c r="G116" i="39" s="1"/>
  <c r="H116" i="39" s="1"/>
  <c r="I116" i="39" s="1"/>
  <c r="J116" i="39" s="1"/>
  <c r="I117" i="25" s="1"/>
  <c r="G260" i="25"/>
  <c r="E259" i="39"/>
  <c r="G259" i="39" s="1"/>
  <c r="H259" i="39" s="1"/>
  <c r="I259" i="39" s="1"/>
  <c r="J259" i="39" s="1"/>
  <c r="I260" i="25" s="1"/>
  <c r="G159" i="25"/>
  <c r="E158" i="39"/>
  <c r="G158" i="39" s="1"/>
  <c r="H158" i="39" s="1"/>
  <c r="I158" i="39" s="1"/>
  <c r="J158" i="39" s="1"/>
  <c r="I159" i="25" s="1"/>
  <c r="G199" i="25"/>
  <c r="E198" i="39"/>
  <c r="G198" i="39" s="1"/>
  <c r="H198" i="39" s="1"/>
  <c r="I198" i="39" s="1"/>
  <c r="J198" i="39" s="1"/>
  <c r="I199" i="25" s="1"/>
  <c r="E313" i="39"/>
  <c r="G313" i="39" s="1"/>
  <c r="H313" i="39" s="1"/>
  <c r="I313" i="39" s="1"/>
  <c r="J313" i="39" s="1"/>
  <c r="I314" i="25" s="1"/>
  <c r="G314" i="25"/>
  <c r="G250" i="25"/>
  <c r="E249" i="39"/>
  <c r="G249" i="39" s="1"/>
  <c r="H249" i="39" s="1"/>
  <c r="I249" i="39" s="1"/>
  <c r="J249" i="39" s="1"/>
  <c r="I250" i="25" s="1"/>
  <c r="G186" i="25"/>
  <c r="E185" i="39"/>
  <c r="G185" i="39" s="1"/>
  <c r="H185" i="39" s="1"/>
  <c r="I185" i="39" s="1"/>
  <c r="J185" i="39" s="1"/>
  <c r="I186" i="25" s="1"/>
  <c r="G122" i="25"/>
  <c r="E121" i="39"/>
  <c r="G121" i="39" s="1"/>
  <c r="H121" i="39" s="1"/>
  <c r="I121" i="39" s="1"/>
  <c r="J121" i="39" s="1"/>
  <c r="I122" i="25" s="1"/>
  <c r="G275" i="25"/>
  <c r="E274" i="39"/>
  <c r="G274" i="39" s="1"/>
  <c r="H274" i="39" s="1"/>
  <c r="I274" i="39" s="1"/>
  <c r="J274" i="39" s="1"/>
  <c r="I275" i="25" s="1"/>
  <c r="G83" i="25"/>
  <c r="E82" i="39"/>
  <c r="G82" i="39" s="1"/>
  <c r="H82" i="39" s="1"/>
  <c r="I82" i="39" s="1"/>
  <c r="J82" i="39" s="1"/>
  <c r="I83" i="25" s="1"/>
  <c r="G17" i="25"/>
  <c r="E16" i="39"/>
  <c r="G16" i="39" s="1"/>
  <c r="H16" i="39" s="1"/>
  <c r="I16" i="39" s="1"/>
  <c r="J16" i="39" s="1"/>
  <c r="I17" i="25" s="1"/>
  <c r="G14" i="25"/>
  <c r="E13" i="39"/>
  <c r="G13" i="39" s="1"/>
  <c r="H13" i="39" s="1"/>
  <c r="I13" i="39" s="1"/>
  <c r="J13" i="39" s="1"/>
  <c r="I14" i="25" s="1"/>
  <c r="G7" i="25"/>
  <c r="E6" i="39"/>
  <c r="G6" i="39" s="1"/>
  <c r="H6" i="39" s="1"/>
  <c r="I6" i="39" s="1"/>
  <c r="J6" i="39" s="1"/>
  <c r="I7" i="25" s="1"/>
  <c r="G289" i="25"/>
  <c r="E288" i="39"/>
  <c r="G288" i="39" s="1"/>
  <c r="H288" i="39" s="1"/>
  <c r="I288" i="39" s="1"/>
  <c r="J288" i="39" s="1"/>
  <c r="I289" i="25" s="1"/>
  <c r="G247" i="25"/>
  <c r="E246" i="39"/>
  <c r="G246" i="39" s="1"/>
  <c r="H246" i="39" s="1"/>
  <c r="I246" i="39" s="1"/>
  <c r="J246" i="39" s="1"/>
  <c r="I247" i="25" s="1"/>
  <c r="G155" i="25"/>
  <c r="E154" i="39"/>
  <c r="G154" i="39" s="1"/>
  <c r="H154" i="39" s="1"/>
  <c r="I154" i="39" s="1"/>
  <c r="J154" i="39" s="1"/>
  <c r="I155" i="25" s="1"/>
  <c r="G160" i="25"/>
  <c r="E159" i="39"/>
  <c r="G159" i="39" s="1"/>
  <c r="H159" i="39" s="1"/>
  <c r="I159" i="39" s="1"/>
  <c r="J159" i="39" s="1"/>
  <c r="I160" i="25" s="1"/>
  <c r="G91" i="25"/>
  <c r="E90" i="39"/>
  <c r="G90" i="39" s="1"/>
  <c r="H90" i="39" s="1"/>
  <c r="I90" i="39" s="1"/>
  <c r="J90" i="39" s="1"/>
  <c r="I91" i="25" s="1"/>
  <c r="G50" i="25"/>
  <c r="E49" i="39"/>
  <c r="G49" i="39" s="1"/>
  <c r="H49" i="39" s="1"/>
  <c r="I49" i="39" s="1"/>
  <c r="J49" i="39" s="1"/>
  <c r="I50" i="25" s="1"/>
  <c r="G23" i="25"/>
  <c r="E22" i="39"/>
  <c r="G22" i="39" s="1"/>
  <c r="H22" i="39" s="1"/>
  <c r="I22" i="39" s="1"/>
  <c r="J22" i="39" s="1"/>
  <c r="I23" i="25" s="1"/>
  <c r="G173" i="25"/>
  <c r="E172" i="39"/>
  <c r="G172" i="39" s="1"/>
  <c r="H172" i="39" s="1"/>
  <c r="I172" i="39" s="1"/>
  <c r="J172" i="39" s="1"/>
  <c r="I173" i="25" s="1"/>
  <c r="G273" i="25"/>
  <c r="E272" i="39"/>
  <c r="G272" i="39" s="1"/>
  <c r="H272" i="39" s="1"/>
  <c r="I272" i="39" s="1"/>
  <c r="J272" i="39" s="1"/>
  <c r="I273" i="25" s="1"/>
  <c r="G100" i="25"/>
  <c r="E99" i="39"/>
  <c r="G99" i="39" s="1"/>
  <c r="H99" i="39" s="1"/>
  <c r="I99" i="39" s="1"/>
  <c r="J99" i="39" s="1"/>
  <c r="I100" i="25" s="1"/>
  <c r="G101" i="25"/>
  <c r="E100" i="39"/>
  <c r="G100" i="39" s="1"/>
  <c r="H100" i="39" s="1"/>
  <c r="I100" i="39" s="1"/>
  <c r="J100" i="39" s="1"/>
  <c r="I101" i="25" s="1"/>
  <c r="G104" i="25"/>
  <c r="E103" i="39"/>
  <c r="G103" i="39" s="1"/>
  <c r="H103" i="39" s="1"/>
  <c r="I103" i="39" s="1"/>
  <c r="J103" i="39" s="1"/>
  <c r="I104" i="25" s="1"/>
  <c r="G62" i="25"/>
  <c r="E61" i="39"/>
  <c r="G61" i="39" s="1"/>
  <c r="H61" i="39" s="1"/>
  <c r="I61" i="39" s="1"/>
  <c r="J61" i="39" s="1"/>
  <c r="I62" i="25" s="1"/>
  <c r="E176" i="39"/>
  <c r="G176" i="39" s="1"/>
  <c r="H176" i="39" s="1"/>
  <c r="I176" i="39" s="1"/>
  <c r="J176" i="39" s="1"/>
  <c r="I177" i="25" s="1"/>
  <c r="G177" i="25"/>
  <c r="E299" i="39"/>
  <c r="G299" i="39" s="1"/>
  <c r="H299" i="39" s="1"/>
  <c r="I299" i="39" s="1"/>
  <c r="J299" i="39" s="1"/>
  <c r="I300" i="25" s="1"/>
  <c r="G300" i="25"/>
  <c r="G185" i="25"/>
  <c r="E184" i="39"/>
  <c r="G184" i="39" s="1"/>
  <c r="H184" i="39" s="1"/>
  <c r="I184" i="39" s="1"/>
  <c r="J184" i="39" s="1"/>
  <c r="I185" i="25" s="1"/>
  <c r="G56" i="25"/>
  <c r="E55" i="39"/>
  <c r="G55" i="39" s="1"/>
  <c r="H55" i="39" s="1"/>
  <c r="I55" i="39" s="1"/>
  <c r="J55" i="39" s="1"/>
  <c r="I56" i="25" s="1"/>
  <c r="G65" i="25"/>
  <c r="E64" i="39"/>
  <c r="G64" i="39" s="1"/>
  <c r="H64" i="39" s="1"/>
  <c r="I64" i="39" s="1"/>
  <c r="J64" i="39" s="1"/>
  <c r="I65" i="25" s="1"/>
  <c r="G72" i="25"/>
  <c r="E71" i="39"/>
  <c r="G71" i="39" s="1"/>
  <c r="H71" i="39" s="1"/>
  <c r="I71" i="39" s="1"/>
  <c r="J71" i="39" s="1"/>
  <c r="I72" i="25" s="1"/>
  <c r="G73" i="25"/>
  <c r="E72" i="39"/>
  <c r="G72" i="39" s="1"/>
  <c r="H72" i="39" s="1"/>
  <c r="I72" i="39" s="1"/>
  <c r="J72" i="39" s="1"/>
  <c r="I73" i="25" s="1"/>
  <c r="G77" i="25"/>
  <c r="E76" i="39"/>
  <c r="G76" i="39" s="1"/>
  <c r="H76" i="39" s="1"/>
  <c r="I76" i="39" s="1"/>
  <c r="J76" i="39" s="1"/>
  <c r="I77" i="25" s="1"/>
  <c r="G108" i="25"/>
  <c r="E107" i="39"/>
  <c r="G107" i="39" s="1"/>
  <c r="H107" i="39" s="1"/>
  <c r="I107" i="39" s="1"/>
  <c r="J107" i="39" s="1"/>
  <c r="I108" i="25" s="1"/>
  <c r="G182" i="25"/>
  <c r="E181" i="39"/>
  <c r="G181" i="39" s="1"/>
  <c r="H181" i="39" s="1"/>
  <c r="I181" i="39" s="1"/>
  <c r="J181" i="39" s="1"/>
  <c r="I182" i="25" s="1"/>
  <c r="G142" i="25"/>
  <c r="E141" i="39"/>
  <c r="G141" i="39" s="1"/>
  <c r="H141" i="39" s="1"/>
  <c r="I141" i="39" s="1"/>
  <c r="J141" i="39" s="1"/>
  <c r="I142" i="25" s="1"/>
  <c r="G292" i="25"/>
  <c r="E291" i="39"/>
  <c r="G291" i="39" s="1"/>
  <c r="H291" i="39" s="1"/>
  <c r="I291" i="39" s="1"/>
  <c r="J291" i="39" s="1"/>
  <c r="I292" i="25" s="1"/>
  <c r="G189" i="25"/>
  <c r="E188" i="39"/>
  <c r="G188" i="39" s="1"/>
  <c r="H188" i="39" s="1"/>
  <c r="I188" i="39" s="1"/>
  <c r="J188" i="39" s="1"/>
  <c r="I189" i="25" s="1"/>
  <c r="G238" i="25"/>
  <c r="E237" i="39"/>
  <c r="G237" i="39" s="1"/>
  <c r="H237" i="39" s="1"/>
  <c r="I237" i="39" s="1"/>
  <c r="J237" i="39" s="1"/>
  <c r="I238" i="25" s="1"/>
  <c r="G224" i="25"/>
  <c r="E223" i="39"/>
  <c r="G223" i="39" s="1"/>
  <c r="H223" i="39" s="1"/>
  <c r="I223" i="39" s="1"/>
  <c r="J223" i="39" s="1"/>
  <c r="I224" i="25" s="1"/>
  <c r="G279" i="25"/>
  <c r="E278" i="39"/>
  <c r="G278" i="39" s="1"/>
  <c r="H278" i="39" s="1"/>
  <c r="I278" i="39" s="1"/>
  <c r="J278" i="39" s="1"/>
  <c r="I279" i="25" s="1"/>
  <c r="G303" i="25"/>
  <c r="E302" i="39"/>
  <c r="G302" i="39" s="1"/>
  <c r="H302" i="39" s="1"/>
  <c r="I302" i="39" s="1"/>
  <c r="J302" i="39" s="1"/>
  <c r="I303" i="25" s="1"/>
  <c r="G127" i="25"/>
  <c r="E126" i="39"/>
  <c r="G126" i="39" s="1"/>
  <c r="H126" i="39" s="1"/>
  <c r="I126" i="39" s="1"/>
  <c r="J126" i="39" s="1"/>
  <c r="I127" i="25" s="1"/>
  <c r="G79" i="25"/>
  <c r="E78" i="39"/>
  <c r="G78" i="39" s="1"/>
  <c r="H78" i="39" s="1"/>
  <c r="I78" i="39" s="1"/>
  <c r="J78" i="39" s="1"/>
  <c r="I79" i="25" s="1"/>
  <c r="G167" i="25"/>
  <c r="E166" i="39"/>
  <c r="G166" i="39" s="1"/>
  <c r="H166" i="39" s="1"/>
  <c r="I166" i="39" s="1"/>
  <c r="J166" i="39" s="1"/>
  <c r="I167" i="25" s="1"/>
  <c r="G306" i="25"/>
  <c r="E305" i="39"/>
  <c r="G305" i="39" s="1"/>
  <c r="H305" i="39" s="1"/>
  <c r="I305" i="39" s="1"/>
  <c r="J305" i="39" s="1"/>
  <c r="I306" i="25" s="1"/>
  <c r="G242" i="25"/>
  <c r="E241" i="39"/>
  <c r="G241" i="39" s="1"/>
  <c r="H241" i="39" s="1"/>
  <c r="I241" i="39" s="1"/>
  <c r="J241" i="39" s="1"/>
  <c r="I242" i="25" s="1"/>
  <c r="G178" i="25"/>
  <c r="E177" i="39"/>
  <c r="G177" i="39" s="1"/>
  <c r="H177" i="39" s="1"/>
  <c r="I177" i="39" s="1"/>
  <c r="J177" i="39" s="1"/>
  <c r="I178" i="25" s="1"/>
  <c r="G114" i="25"/>
  <c r="E113" i="39"/>
  <c r="G113" i="39" s="1"/>
  <c r="H113" i="39" s="1"/>
  <c r="I113" i="39" s="1"/>
  <c r="J113" i="39" s="1"/>
  <c r="I114" i="25" s="1"/>
  <c r="G41" i="25"/>
  <c r="E40" i="39"/>
  <c r="G40" i="39" s="1"/>
  <c r="H40" i="39" s="1"/>
  <c r="I40" i="39" s="1"/>
  <c r="J40" i="39" s="1"/>
  <c r="I41" i="25" s="1"/>
  <c r="G267" i="25"/>
  <c r="E266" i="39"/>
  <c r="G266" i="39" s="1"/>
  <c r="H266" i="39" s="1"/>
  <c r="I266" i="39" s="1"/>
  <c r="J266" i="39" s="1"/>
  <c r="I267" i="25" s="1"/>
  <c r="G203" i="25"/>
  <c r="E202" i="39"/>
  <c r="G202" i="39" s="1"/>
  <c r="H202" i="39" s="1"/>
  <c r="I202" i="39" s="1"/>
  <c r="J202" i="39" s="1"/>
  <c r="I203" i="25" s="1"/>
  <c r="G139" i="25"/>
  <c r="E138" i="39"/>
  <c r="G138" i="39" s="1"/>
  <c r="H138" i="39" s="1"/>
  <c r="I138" i="39" s="1"/>
  <c r="J138" i="39" s="1"/>
  <c r="I139" i="25" s="1"/>
  <c r="G75" i="25"/>
  <c r="E74" i="39"/>
  <c r="G74" i="39" s="1"/>
  <c r="H74" i="39" s="1"/>
  <c r="I74" i="39" s="1"/>
  <c r="J74" i="39" s="1"/>
  <c r="I75" i="25" s="1"/>
  <c r="G13" i="25"/>
  <c r="E12" i="39"/>
  <c r="G12" i="39" s="1"/>
  <c r="H12" i="39" s="1"/>
  <c r="I12" i="39" s="1"/>
  <c r="J12" i="39" s="1"/>
  <c r="I13" i="25" s="1"/>
  <c r="E9" i="39"/>
  <c r="G9" i="39" s="1"/>
  <c r="H9" i="39" s="1"/>
  <c r="I9" i="39" s="1"/>
  <c r="J9" i="39" s="1"/>
  <c r="I10" i="25" s="1"/>
  <c r="G10" i="25"/>
  <c r="G55" i="25"/>
  <c r="E54" i="39"/>
  <c r="G54" i="39" s="1"/>
  <c r="H54" i="39" s="1"/>
  <c r="I54" i="39" s="1"/>
  <c r="J54" i="39" s="1"/>
  <c r="I55" i="25" s="1"/>
  <c r="E284" i="39"/>
  <c r="G284" i="39" s="1"/>
  <c r="H284" i="39" s="1"/>
  <c r="I284" i="39" s="1"/>
  <c r="J284" i="39" s="1"/>
  <c r="I285" i="25" s="1"/>
  <c r="G285" i="25"/>
  <c r="G227" i="25"/>
  <c r="E226" i="39"/>
  <c r="G226" i="39" s="1"/>
  <c r="H226" i="39" s="1"/>
  <c r="I226" i="39" s="1"/>
  <c r="J226" i="39" s="1"/>
  <c r="I227" i="25" s="1"/>
  <c r="G258" i="25"/>
  <c r="E257" i="39"/>
  <c r="G257" i="39" s="1"/>
  <c r="H257" i="39" s="1"/>
  <c r="I257" i="39" s="1"/>
  <c r="J257" i="39" s="1"/>
  <c r="I258" i="25" s="1"/>
  <c r="G149" i="25"/>
  <c r="E148" i="39"/>
  <c r="G148" i="39" s="1"/>
  <c r="H148" i="39" s="1"/>
  <c r="I148" i="39" s="1"/>
  <c r="J148" i="39" s="1"/>
  <c r="I149" i="25" s="1"/>
  <c r="G152" i="25"/>
  <c r="E151" i="39"/>
  <c r="G151" i="39" s="1"/>
  <c r="H151" i="39" s="1"/>
  <c r="I151" i="39" s="1"/>
  <c r="J151" i="39" s="1"/>
  <c r="I152" i="25" s="1"/>
  <c r="G42" i="25"/>
  <c r="E41" i="39"/>
  <c r="G41" i="39" s="1"/>
  <c r="H41" i="39" s="1"/>
  <c r="I41" i="39" s="1"/>
  <c r="J41" i="39" s="1"/>
  <c r="I42" i="25" s="1"/>
  <c r="G21" i="25"/>
  <c r="E20" i="39"/>
  <c r="G20" i="39" s="1"/>
  <c r="H20" i="39" s="1"/>
  <c r="I20" i="39" s="1"/>
  <c r="J20" i="39" s="1"/>
  <c r="I21" i="25" s="1"/>
  <c r="G209" i="25"/>
  <c r="E208" i="39"/>
  <c r="G208" i="39" s="1"/>
  <c r="H208" i="39" s="1"/>
  <c r="I208" i="39" s="1"/>
  <c r="J208" i="39" s="1"/>
  <c r="I209" i="25" s="1"/>
  <c r="G228" i="25"/>
  <c r="E227" i="39"/>
  <c r="G227" i="39" s="1"/>
  <c r="H227" i="39" s="1"/>
  <c r="I227" i="39" s="1"/>
  <c r="J227" i="39" s="1"/>
  <c r="I228" i="25" s="1"/>
  <c r="G172" i="25"/>
  <c r="E171" i="39"/>
  <c r="G171" i="39" s="1"/>
  <c r="H171" i="39" s="1"/>
  <c r="I171" i="39" s="1"/>
  <c r="J171" i="39" s="1"/>
  <c r="I172" i="25" s="1"/>
  <c r="G249" i="25"/>
  <c r="E248" i="39"/>
  <c r="G248" i="39" s="1"/>
  <c r="H248" i="39" s="1"/>
  <c r="I248" i="39" s="1"/>
  <c r="J248" i="39" s="1"/>
  <c r="I249" i="25" s="1"/>
  <c r="G168" i="25"/>
  <c r="E167" i="39"/>
  <c r="G167" i="39" s="1"/>
  <c r="H167" i="39" s="1"/>
  <c r="I167" i="39" s="1"/>
  <c r="J167" i="39" s="1"/>
  <c r="I168" i="25" s="1"/>
  <c r="G126" i="25"/>
  <c r="E125" i="39"/>
  <c r="G125" i="39" s="1"/>
  <c r="H125" i="39" s="1"/>
  <c r="I125" i="39" s="1"/>
  <c r="J125" i="39" s="1"/>
  <c r="I126" i="25" s="1"/>
  <c r="G254" i="25"/>
  <c r="E253" i="39"/>
  <c r="G253" i="39" s="1"/>
  <c r="H253" i="39" s="1"/>
  <c r="I253" i="39" s="1"/>
  <c r="J253" i="39" s="1"/>
  <c r="I254" i="25" s="1"/>
  <c r="G193" i="25"/>
  <c r="E192" i="39"/>
  <c r="G192" i="39" s="1"/>
  <c r="H192" i="39" s="1"/>
  <c r="I192" i="39" s="1"/>
  <c r="J192" i="39" s="1"/>
  <c r="I193" i="25" s="1"/>
  <c r="G197" i="25"/>
  <c r="E196" i="39"/>
  <c r="G196" i="39" s="1"/>
  <c r="H196" i="39" s="1"/>
  <c r="I196" i="39" s="1"/>
  <c r="J196" i="39" s="1"/>
  <c r="I197" i="25" s="1"/>
  <c r="G28" i="25"/>
  <c r="E27" i="39"/>
  <c r="G27" i="39" s="1"/>
  <c r="H27" i="39" s="1"/>
  <c r="I27" i="39" s="1"/>
  <c r="J27" i="39" s="1"/>
  <c r="I28" i="25" s="1"/>
  <c r="G165" i="25"/>
  <c r="E164" i="39"/>
  <c r="G164" i="39" s="1"/>
  <c r="H164" i="39" s="1"/>
  <c r="I164" i="39" s="1"/>
  <c r="J164" i="39" s="1"/>
  <c r="I165" i="25" s="1"/>
  <c r="G136" i="25"/>
  <c r="E135" i="39"/>
  <c r="G135" i="39" s="1"/>
  <c r="H135" i="39" s="1"/>
  <c r="I135" i="39" s="1"/>
  <c r="J135" i="39" s="1"/>
  <c r="I136" i="25" s="1"/>
  <c r="G244" i="25"/>
  <c r="E243" i="39"/>
  <c r="G243" i="39" s="1"/>
  <c r="H243" i="39" s="1"/>
  <c r="I243" i="39" s="1"/>
  <c r="J243" i="39" s="1"/>
  <c r="I244" i="25" s="1"/>
  <c r="G246" i="25"/>
  <c r="E245" i="39"/>
  <c r="G245" i="39" s="1"/>
  <c r="H245" i="39" s="1"/>
  <c r="I245" i="39" s="1"/>
  <c r="J245" i="39" s="1"/>
  <c r="I246" i="25" s="1"/>
  <c r="G76" i="25"/>
  <c r="E75" i="39"/>
  <c r="G75" i="39" s="1"/>
  <c r="H75" i="39" s="1"/>
  <c r="I75" i="39" s="1"/>
  <c r="J75" i="39" s="1"/>
  <c r="I76" i="25" s="1"/>
  <c r="G81" i="25"/>
  <c r="E80" i="39"/>
  <c r="G80" i="39" s="1"/>
  <c r="H80" i="39" s="1"/>
  <c r="I80" i="39" s="1"/>
  <c r="J80" i="39" s="1"/>
  <c r="I81" i="25" s="1"/>
  <c r="G206" i="25"/>
  <c r="E205" i="39"/>
  <c r="G205" i="39" s="1"/>
  <c r="H205" i="39" s="1"/>
  <c r="I205" i="39" s="1"/>
  <c r="J205" i="39" s="1"/>
  <c r="I206" i="25" s="1"/>
  <c r="G121" i="25"/>
  <c r="E120" i="39"/>
  <c r="G120" i="39" s="1"/>
  <c r="H120" i="39" s="1"/>
  <c r="I120" i="39" s="1"/>
  <c r="J120" i="39" s="1"/>
  <c r="I121" i="25" s="1"/>
  <c r="G222" i="25"/>
  <c r="E221" i="39"/>
  <c r="G221" i="39" s="1"/>
  <c r="H221" i="39" s="1"/>
  <c r="I221" i="39" s="1"/>
  <c r="J221" i="39" s="1"/>
  <c r="I222" i="25" s="1"/>
  <c r="G280" i="25"/>
  <c r="E279" i="39"/>
  <c r="G279" i="39" s="1"/>
  <c r="H279" i="39" s="1"/>
  <c r="I279" i="39" s="1"/>
  <c r="J279" i="39" s="1"/>
  <c r="I280" i="25" s="1"/>
  <c r="E292" i="39"/>
  <c r="G292" i="39" s="1"/>
  <c r="H292" i="39" s="1"/>
  <c r="I292" i="39" s="1"/>
  <c r="J292" i="39" s="1"/>
  <c r="I293" i="25" s="1"/>
  <c r="G293" i="25"/>
  <c r="G294" i="25"/>
  <c r="E293" i="39"/>
  <c r="G293" i="39" s="1"/>
  <c r="H293" i="39" s="1"/>
  <c r="I293" i="39" s="1"/>
  <c r="J293" i="39" s="1"/>
  <c r="I294" i="25" s="1"/>
  <c r="G271" i="25"/>
  <c r="E270" i="39"/>
  <c r="G270" i="39" s="1"/>
  <c r="H270" i="39" s="1"/>
  <c r="I270" i="39" s="1"/>
  <c r="J270" i="39" s="1"/>
  <c r="I271" i="25" s="1"/>
  <c r="G95" i="25"/>
  <c r="E94" i="39"/>
  <c r="G94" i="39" s="1"/>
  <c r="H94" i="39" s="1"/>
  <c r="I94" i="39" s="1"/>
  <c r="J94" i="39" s="1"/>
  <c r="I95" i="25" s="1"/>
  <c r="G295" i="25"/>
  <c r="E294" i="39"/>
  <c r="G294" i="39" s="1"/>
  <c r="H294" i="39" s="1"/>
  <c r="I294" i="39" s="1"/>
  <c r="J294" i="39" s="1"/>
  <c r="I295" i="25" s="1"/>
  <c r="G135" i="25"/>
  <c r="E134" i="39"/>
  <c r="G134" i="39" s="1"/>
  <c r="H134" i="39" s="1"/>
  <c r="I134" i="39" s="1"/>
  <c r="J134" i="39" s="1"/>
  <c r="I135" i="25" s="1"/>
  <c r="G298" i="25"/>
  <c r="E297" i="39"/>
  <c r="G297" i="39" s="1"/>
  <c r="H297" i="39" s="1"/>
  <c r="I297" i="39" s="1"/>
  <c r="J297" i="39" s="1"/>
  <c r="I298" i="25" s="1"/>
  <c r="G234" i="25"/>
  <c r="E233" i="39"/>
  <c r="G233" i="39" s="1"/>
  <c r="H233" i="39" s="1"/>
  <c r="I233" i="39" s="1"/>
  <c r="J233" i="39" s="1"/>
  <c r="I234" i="25" s="1"/>
  <c r="G170" i="25"/>
  <c r="E169" i="39"/>
  <c r="G169" i="39" s="1"/>
  <c r="H169" i="39" s="1"/>
  <c r="I169" i="39" s="1"/>
  <c r="J169" i="39" s="1"/>
  <c r="I170" i="25" s="1"/>
  <c r="G106" i="25"/>
  <c r="E105" i="39"/>
  <c r="G105" i="39" s="1"/>
  <c r="H105" i="39" s="1"/>
  <c r="I105" i="39" s="1"/>
  <c r="J105" i="39" s="1"/>
  <c r="I106" i="25" s="1"/>
  <c r="G58" i="25"/>
  <c r="E57" i="39"/>
  <c r="G57" i="39" s="1"/>
  <c r="H57" i="39" s="1"/>
  <c r="I57" i="39" s="1"/>
  <c r="J57" i="39" s="1"/>
  <c r="I58" i="25" s="1"/>
  <c r="G259" i="25"/>
  <c r="E258" i="39"/>
  <c r="G258" i="39" s="1"/>
  <c r="H258" i="39" s="1"/>
  <c r="I258" i="39" s="1"/>
  <c r="J258" i="39" s="1"/>
  <c r="I259" i="25" s="1"/>
  <c r="G195" i="25"/>
  <c r="E194" i="39"/>
  <c r="G194" i="39" s="1"/>
  <c r="H194" i="39" s="1"/>
  <c r="I194" i="39" s="1"/>
  <c r="J194" i="39" s="1"/>
  <c r="I195" i="25" s="1"/>
  <c r="G131" i="25"/>
  <c r="E130" i="39"/>
  <c r="G130" i="39" s="1"/>
  <c r="H130" i="39" s="1"/>
  <c r="I130" i="39" s="1"/>
  <c r="J130" i="39" s="1"/>
  <c r="I131" i="25" s="1"/>
  <c r="G67" i="25"/>
  <c r="E66" i="39"/>
  <c r="G66" i="39" s="1"/>
  <c r="H66" i="39" s="1"/>
  <c r="I66" i="39" s="1"/>
  <c r="J66" i="39" s="1"/>
  <c r="I67" i="25" s="1"/>
  <c r="G38" i="25"/>
  <c r="E37" i="39"/>
  <c r="G37" i="39" s="1"/>
  <c r="H37" i="39" s="1"/>
  <c r="I37" i="39" s="1"/>
  <c r="J37" i="39" s="1"/>
  <c r="I38" i="25" s="1"/>
  <c r="G59" i="25"/>
  <c r="E58" i="39"/>
  <c r="G58" i="39" s="1"/>
  <c r="H58" i="39" s="1"/>
  <c r="I58" i="39" s="1"/>
  <c r="J58" i="39" s="1"/>
  <c r="I59" i="25" s="1"/>
  <c r="G47" i="25"/>
  <c r="E46" i="39"/>
  <c r="G46" i="39" s="1"/>
  <c r="H46" i="39" s="1"/>
  <c r="I46" i="39" s="1"/>
  <c r="J46" i="39" s="1"/>
  <c r="I47" i="25" s="1"/>
  <c r="G305" i="25"/>
  <c r="E304" i="39"/>
  <c r="G304" i="39" s="1"/>
  <c r="H304" i="39" s="1"/>
  <c r="I304" i="39" s="1"/>
  <c r="J304" i="39" s="1"/>
  <c r="I305" i="25" s="1"/>
  <c r="G97" i="25"/>
  <c r="E96" i="39"/>
  <c r="G96" i="39" s="1"/>
  <c r="H96" i="39" s="1"/>
  <c r="I96" i="39" s="1"/>
  <c r="J96" i="39" s="1"/>
  <c r="I97" i="25" s="1"/>
  <c r="G109" i="25"/>
  <c r="E108" i="39"/>
  <c r="G108" i="39" s="1"/>
  <c r="H108" i="39" s="1"/>
  <c r="I108" i="39" s="1"/>
  <c r="J108" i="39" s="1"/>
  <c r="I109" i="25" s="1"/>
  <c r="G308" i="25"/>
  <c r="E307" i="39"/>
  <c r="G307" i="39" s="1"/>
  <c r="H307" i="39" s="1"/>
  <c r="I307" i="39" s="1"/>
  <c r="J307" i="39" s="1"/>
  <c r="I308" i="25" s="1"/>
  <c r="G261" i="25"/>
  <c r="E260" i="39"/>
  <c r="G260" i="39" s="1"/>
  <c r="H260" i="39" s="1"/>
  <c r="I260" i="39" s="1"/>
  <c r="J260" i="39" s="1"/>
  <c r="I261" i="25" s="1"/>
  <c r="G32" i="25"/>
  <c r="E31" i="39"/>
  <c r="G31" i="39" s="1"/>
  <c r="H31" i="39" s="1"/>
  <c r="I31" i="39" s="1"/>
  <c r="J31" i="39" s="1"/>
  <c r="I32" i="25" s="1"/>
  <c r="G78" i="25"/>
  <c r="E77" i="39"/>
  <c r="G77" i="39" s="1"/>
  <c r="H77" i="39" s="1"/>
  <c r="I77" i="39" s="1"/>
  <c r="J77" i="39" s="1"/>
  <c r="I78" i="25" s="1"/>
  <c r="G310" i="25"/>
  <c r="E309" i="39"/>
  <c r="G309" i="39" s="1"/>
  <c r="H309" i="39" s="1"/>
  <c r="I309" i="39" s="1"/>
  <c r="J309" i="39" s="1"/>
  <c r="I310" i="25" s="1"/>
  <c r="G211" i="25"/>
  <c r="E210" i="39"/>
  <c r="G210" i="39" s="1"/>
  <c r="H210" i="39" s="1"/>
  <c r="I210" i="39" s="1"/>
  <c r="J210" i="39" s="1"/>
  <c r="I211" i="25" s="1"/>
  <c r="G225" i="25"/>
  <c r="E224" i="39"/>
  <c r="G224" i="39" s="1"/>
  <c r="H224" i="39" s="1"/>
  <c r="I224" i="39" s="1"/>
  <c r="J224" i="39" s="1"/>
  <c r="I225" i="25" s="1"/>
  <c r="E142" i="39"/>
  <c r="G142" i="39" s="1"/>
  <c r="H142" i="39" s="1"/>
  <c r="I142" i="39" s="1"/>
  <c r="J142" i="39" s="1"/>
  <c r="I143" i="25" s="1"/>
  <c r="G143" i="25"/>
  <c r="G26" i="25"/>
  <c r="E25" i="39"/>
  <c r="G25" i="39" s="1"/>
  <c r="H25" i="39" s="1"/>
  <c r="I25" i="39" s="1"/>
  <c r="J25" i="39" s="1"/>
  <c r="I26" i="25" s="1"/>
  <c r="G124" i="25"/>
  <c r="E123" i="39"/>
  <c r="G123" i="39" s="1"/>
  <c r="H123" i="39" s="1"/>
  <c r="I123" i="39" s="1"/>
  <c r="J123" i="39" s="1"/>
  <c r="I124" i="25" s="1"/>
  <c r="G190" i="25"/>
  <c r="E189" i="39"/>
  <c r="G189" i="39" s="1"/>
  <c r="H189" i="39" s="1"/>
  <c r="I189" i="39" s="1"/>
  <c r="J189" i="39" s="1"/>
  <c r="I190" i="25" s="1"/>
  <c r="G70" i="25"/>
  <c r="E69" i="39"/>
  <c r="G69" i="39" s="1"/>
  <c r="H69" i="39" s="1"/>
  <c r="I69" i="39" s="1"/>
  <c r="J69" i="39" s="1"/>
  <c r="I70" i="25" s="1"/>
  <c r="G12" i="25"/>
  <c r="E11" i="39"/>
  <c r="G11" i="39" s="1"/>
  <c r="H11" i="39" s="1"/>
  <c r="I11" i="39" s="1"/>
  <c r="J11" i="39" s="1"/>
  <c r="I12" i="25" s="1"/>
  <c r="G241" i="25"/>
  <c r="E240" i="39"/>
  <c r="G240" i="39" s="1"/>
  <c r="H240" i="39" s="1"/>
  <c r="I240" i="39" s="1"/>
  <c r="J240" i="39" s="1"/>
  <c r="I241" i="25" s="1"/>
  <c r="G80" i="25"/>
  <c r="E79" i="39"/>
  <c r="G79" i="39" s="1"/>
  <c r="H79" i="39" s="1"/>
  <c r="I79" i="39" s="1"/>
  <c r="J79" i="39" s="1"/>
  <c r="I80" i="25" s="1"/>
  <c r="G223" i="25"/>
  <c r="E222" i="39"/>
  <c r="G222" i="39" s="1"/>
  <c r="H222" i="39" s="1"/>
  <c r="I222" i="39" s="1"/>
  <c r="J222" i="39" s="1"/>
  <c r="I223" i="25" s="1"/>
  <c r="G103" i="25"/>
  <c r="E102" i="39"/>
  <c r="G102" i="39" s="1"/>
  <c r="H102" i="39" s="1"/>
  <c r="I102" i="39" s="1"/>
  <c r="J102" i="39" s="1"/>
  <c r="I103" i="25" s="1"/>
  <c r="G98" i="25"/>
  <c r="E97" i="39"/>
  <c r="G97" i="39" s="1"/>
  <c r="H97" i="39" s="1"/>
  <c r="I97" i="39" s="1"/>
  <c r="J97" i="39" s="1"/>
  <c r="I98" i="25" s="1"/>
  <c r="G187" i="25"/>
  <c r="E186" i="39"/>
  <c r="G186" i="39" s="1"/>
  <c r="H186" i="39" s="1"/>
  <c r="I186" i="39" s="1"/>
  <c r="J186" i="39" s="1"/>
  <c r="I187" i="25" s="1"/>
  <c r="G54" i="25"/>
  <c r="E53" i="39"/>
  <c r="G53" i="39" s="1"/>
  <c r="H53" i="39" s="1"/>
  <c r="I53" i="39" s="1"/>
  <c r="J53" i="39" s="1"/>
  <c r="I54" i="25" s="1"/>
  <c r="E50" i="39"/>
  <c r="G50" i="39" s="1"/>
  <c r="H50" i="39" s="1"/>
  <c r="I50" i="39" s="1"/>
  <c r="J50" i="39" s="1"/>
  <c r="I51" i="25" s="1"/>
  <c r="G51" i="25"/>
  <c r="G221" i="25"/>
  <c r="E220" i="39"/>
  <c r="G220" i="39" s="1"/>
  <c r="H220" i="39" s="1"/>
  <c r="I220" i="39" s="1"/>
  <c r="J220" i="39" s="1"/>
  <c r="I221" i="25" s="1"/>
  <c r="G132" i="25"/>
  <c r="E131" i="39"/>
  <c r="G131" i="39" s="1"/>
  <c r="H131" i="39" s="1"/>
  <c r="I131" i="39" s="1"/>
  <c r="J131" i="39" s="1"/>
  <c r="I132" i="25" s="1"/>
  <c r="G86" i="25"/>
  <c r="E85" i="39"/>
  <c r="G85" i="39" s="1"/>
  <c r="H85" i="39" s="1"/>
  <c r="I85" i="39" s="1"/>
  <c r="J85" i="39" s="1"/>
  <c r="I86" i="25" s="1"/>
  <c r="G166" i="25"/>
  <c r="E165" i="39"/>
  <c r="G165" i="39" s="1"/>
  <c r="H165" i="39" s="1"/>
  <c r="I165" i="39" s="1"/>
  <c r="J165" i="39" s="1"/>
  <c r="I166" i="25" s="1"/>
  <c r="G257" i="25"/>
  <c r="E256" i="39"/>
  <c r="G256" i="39" s="1"/>
  <c r="H256" i="39" s="1"/>
  <c r="I256" i="39" s="1"/>
  <c r="J256" i="39" s="1"/>
  <c r="I257" i="25" s="1"/>
  <c r="G196" i="25"/>
  <c r="E195" i="39"/>
  <c r="G195" i="39" s="1"/>
  <c r="H195" i="39" s="1"/>
  <c r="I195" i="39" s="1"/>
  <c r="J195" i="39" s="1"/>
  <c r="I196" i="25" s="1"/>
  <c r="G181" i="25"/>
  <c r="E180" i="39"/>
  <c r="G180" i="39" s="1"/>
  <c r="H180" i="39" s="1"/>
  <c r="I180" i="39" s="1"/>
  <c r="J180" i="39" s="1"/>
  <c r="I181" i="25" s="1"/>
  <c r="G94" i="25"/>
  <c r="E93" i="39"/>
  <c r="G93" i="39" s="1"/>
  <c r="H93" i="39" s="1"/>
  <c r="I93" i="39" s="1"/>
  <c r="J93" i="39" s="1"/>
  <c r="I94" i="25" s="1"/>
  <c r="G141" i="25"/>
  <c r="E140" i="39"/>
  <c r="G140" i="39" s="1"/>
  <c r="H140" i="39" s="1"/>
  <c r="I140" i="39" s="1"/>
  <c r="J140" i="39" s="1"/>
  <c r="I141" i="25" s="1"/>
  <c r="G153" i="25"/>
  <c r="E152" i="39"/>
  <c r="G152" i="39" s="1"/>
  <c r="H152" i="39" s="1"/>
  <c r="I152" i="39" s="1"/>
  <c r="J152" i="39" s="1"/>
  <c r="I153" i="25" s="1"/>
  <c r="G286" i="25"/>
  <c r="E285" i="39"/>
  <c r="G285" i="39" s="1"/>
  <c r="H285" i="39" s="1"/>
  <c r="I285" i="39" s="1"/>
  <c r="J285" i="39" s="1"/>
  <c r="I286" i="25" s="1"/>
  <c r="E281" i="39"/>
  <c r="G281" i="39" s="1"/>
  <c r="H281" i="39" s="1"/>
  <c r="I281" i="39" s="1"/>
  <c r="J281" i="39" s="1"/>
  <c r="I282" i="25" s="1"/>
  <c r="G282" i="25"/>
  <c r="G90" i="25"/>
  <c r="E89" i="39"/>
  <c r="G89" i="39" s="1"/>
  <c r="H89" i="39" s="1"/>
  <c r="I89" i="39" s="1"/>
  <c r="J89" i="39" s="1"/>
  <c r="I90" i="25" s="1"/>
  <c r="G179" i="25"/>
  <c r="E178" i="39"/>
  <c r="G178" i="39" s="1"/>
  <c r="H178" i="39" s="1"/>
  <c r="I178" i="39" s="1"/>
  <c r="J178" i="39" s="1"/>
  <c r="I179" i="25" s="1"/>
  <c r="G35" i="25"/>
  <c r="E34" i="39"/>
  <c r="G34" i="39" s="1"/>
  <c r="H34" i="39" s="1"/>
  <c r="I34" i="39" s="1"/>
  <c r="J34" i="39" s="1"/>
  <c r="I35" i="25" s="1"/>
  <c r="G269" i="25"/>
  <c r="E268" i="39"/>
  <c r="G268" i="39" s="1"/>
  <c r="H268" i="39" s="1"/>
  <c r="I268" i="39" s="1"/>
  <c r="J268" i="39" s="1"/>
  <c r="I269" i="25" s="1"/>
  <c r="G219" i="25"/>
  <c r="E218" i="39"/>
  <c r="G218" i="39" s="1"/>
  <c r="H218" i="39" s="1"/>
  <c r="I218" i="39" s="1"/>
  <c r="J218" i="39" s="1"/>
  <c r="I219" i="25" s="1"/>
  <c r="E209" i="39"/>
  <c r="G209" i="39" s="1"/>
  <c r="H209" i="39" s="1"/>
  <c r="I209" i="39" s="1"/>
  <c r="J209" i="39" s="1"/>
  <c r="I210" i="25" s="1"/>
  <c r="G210" i="25"/>
  <c r="G119" i="25"/>
  <c r="E118" i="39"/>
  <c r="G118" i="39" s="1"/>
  <c r="H118" i="39" s="1"/>
  <c r="I118" i="39" s="1"/>
  <c r="J118" i="39" s="1"/>
  <c r="I119" i="25" s="1"/>
  <c r="G130" i="25"/>
  <c r="E129" i="39"/>
  <c r="G129" i="39" s="1"/>
  <c r="H129" i="39" s="1"/>
  <c r="I129" i="39" s="1"/>
  <c r="J129" i="39" s="1"/>
  <c r="I130" i="25" s="1"/>
  <c r="G18" i="25"/>
  <c r="E17" i="39"/>
  <c r="G17" i="39" s="1"/>
  <c r="H17" i="39" s="1"/>
  <c r="I17" i="39" s="1"/>
  <c r="J17" i="39" s="1"/>
  <c r="I18" i="25" s="1"/>
  <c r="G148" i="25"/>
  <c r="E147" i="39"/>
  <c r="G147" i="39" s="1"/>
  <c r="H147" i="39" s="1"/>
  <c r="I147" i="39" s="1"/>
  <c r="J147" i="39" s="1"/>
  <c r="I148" i="25" s="1"/>
  <c r="G220" i="25"/>
  <c r="E219" i="39"/>
  <c r="G219" i="39" s="1"/>
  <c r="H219" i="39" s="1"/>
  <c r="I219" i="39" s="1"/>
  <c r="J219" i="39" s="1"/>
  <c r="I220" i="25" s="1"/>
  <c r="G157" i="25"/>
  <c r="E156" i="39"/>
  <c r="G156" i="39" s="1"/>
  <c r="H156" i="39" s="1"/>
  <c r="I156" i="39" s="1"/>
  <c r="J156" i="39" s="1"/>
  <c r="I157" i="25" s="1"/>
  <c r="G120" i="25"/>
  <c r="E119" i="39"/>
  <c r="G119" i="39" s="1"/>
  <c r="H119" i="39" s="1"/>
  <c r="I119" i="39" s="1"/>
  <c r="J119" i="39" s="1"/>
  <c r="I120" i="25" s="1"/>
  <c r="G252" i="25"/>
  <c r="E251" i="39"/>
  <c r="G251" i="39" s="1"/>
  <c r="H251" i="39" s="1"/>
  <c r="I251" i="39" s="1"/>
  <c r="J251" i="39" s="1"/>
  <c r="I252" i="25" s="1"/>
  <c r="G176" i="25"/>
  <c r="E175" i="39"/>
  <c r="G175" i="39" s="1"/>
  <c r="H175" i="39" s="1"/>
  <c r="I175" i="39" s="1"/>
  <c r="J175" i="39" s="1"/>
  <c r="I176" i="25" s="1"/>
  <c r="G301" i="25"/>
  <c r="E300" i="39"/>
  <c r="G300" i="39" s="1"/>
  <c r="H300" i="39" s="1"/>
  <c r="I300" i="39" s="1"/>
  <c r="J300" i="39" s="1"/>
  <c r="I301" i="25" s="1"/>
  <c r="G8" i="25"/>
  <c r="E7" i="39"/>
  <c r="G7" i="39" s="1"/>
  <c r="H7" i="39" s="1"/>
  <c r="I7" i="39" s="1"/>
  <c r="J7" i="39" s="1"/>
  <c r="I8" i="25" s="1"/>
  <c r="E200" i="39"/>
  <c r="G200" i="39" s="1"/>
  <c r="H200" i="39" s="1"/>
  <c r="I200" i="39" s="1"/>
  <c r="J200" i="39" s="1"/>
  <c r="I201" i="25" s="1"/>
  <c r="G201" i="25"/>
  <c r="G205" i="25"/>
  <c r="E204" i="39"/>
  <c r="G204" i="39" s="1"/>
  <c r="H204" i="39" s="1"/>
  <c r="I204" i="39" s="1"/>
  <c r="J204" i="39" s="1"/>
  <c r="I205" i="25" s="1"/>
  <c r="G88" i="25"/>
  <c r="E87" i="39"/>
  <c r="G87" i="39" s="1"/>
  <c r="H87" i="39" s="1"/>
  <c r="I87" i="39" s="1"/>
  <c r="J87" i="39" s="1"/>
  <c r="I88" i="25" s="1"/>
  <c r="G198" i="25"/>
  <c r="E197" i="39"/>
  <c r="G197" i="39" s="1"/>
  <c r="H197" i="39" s="1"/>
  <c r="I197" i="39" s="1"/>
  <c r="J197" i="39" s="1"/>
  <c r="I198" i="25" s="1"/>
  <c r="G112" i="25"/>
  <c r="E111" i="39"/>
  <c r="G111" i="39" s="1"/>
  <c r="H111" i="39" s="1"/>
  <c r="I111" i="39" s="1"/>
  <c r="J111" i="39" s="1"/>
  <c r="I112" i="25" s="1"/>
  <c r="G40" i="25"/>
  <c r="E39" i="39"/>
  <c r="G39" i="39" s="1"/>
  <c r="H39" i="39" s="1"/>
  <c r="I39" i="39" s="1"/>
  <c r="J39" i="39" s="1"/>
  <c r="I40" i="25" s="1"/>
  <c r="E271" i="39"/>
  <c r="G271" i="39" s="1"/>
  <c r="H271" i="39" s="1"/>
  <c r="I271" i="39" s="1"/>
  <c r="J271" i="39" s="1"/>
  <c r="I272" i="25" s="1"/>
  <c r="G272" i="25"/>
  <c r="G158" i="25"/>
  <c r="E157" i="39"/>
  <c r="G157" i="39" s="1"/>
  <c r="H157" i="39" s="1"/>
  <c r="I157" i="39" s="1"/>
  <c r="J157" i="39" s="1"/>
  <c r="I158" i="25" s="1"/>
  <c r="G256" i="25"/>
  <c r="E255" i="39"/>
  <c r="G255" i="39" s="1"/>
  <c r="H255" i="39" s="1"/>
  <c r="I255" i="39" s="1"/>
  <c r="J255" i="39" s="1"/>
  <c r="I256" i="25" s="1"/>
  <c r="E277" i="39"/>
  <c r="G277" i="39" s="1"/>
  <c r="H277" i="39" s="1"/>
  <c r="I277" i="39" s="1"/>
  <c r="J277" i="39" s="1"/>
  <c r="I278" i="25" s="1"/>
  <c r="G278" i="25"/>
  <c r="G44" i="25"/>
  <c r="E43" i="39"/>
  <c r="G43" i="39" s="1"/>
  <c r="H43" i="39" s="1"/>
  <c r="I43" i="39" s="1"/>
  <c r="J43" i="39" s="1"/>
  <c r="I44" i="25" s="1"/>
  <c r="G92" i="25"/>
  <c r="E91" i="39"/>
  <c r="G91" i="39" s="1"/>
  <c r="H91" i="39" s="1"/>
  <c r="I91" i="39" s="1"/>
  <c r="J91" i="39" s="1"/>
  <c r="I92" i="25" s="1"/>
  <c r="G85" i="25"/>
  <c r="E84" i="39"/>
  <c r="G84" i="39" s="1"/>
  <c r="H84" i="39" s="1"/>
  <c r="I84" i="39" s="1"/>
  <c r="J84" i="39" s="1"/>
  <c r="I85" i="25" s="1"/>
  <c r="G233" i="25"/>
  <c r="E232" i="39"/>
  <c r="G232" i="39" s="1"/>
  <c r="H232" i="39" s="1"/>
  <c r="I232" i="39" s="1"/>
  <c r="J232" i="39" s="1"/>
  <c r="I233" i="25" s="1"/>
  <c r="G183" i="25"/>
  <c r="E182" i="39"/>
  <c r="G182" i="39" s="1"/>
  <c r="H182" i="39" s="1"/>
  <c r="I182" i="39" s="1"/>
  <c r="J182" i="39" s="1"/>
  <c r="I183" i="25" s="1"/>
  <c r="G270" i="25"/>
  <c r="E269" i="39"/>
  <c r="G269" i="39" s="1"/>
  <c r="H269" i="39" s="1"/>
  <c r="I269" i="39" s="1"/>
  <c r="J269" i="39" s="1"/>
  <c r="I270" i="25" s="1"/>
  <c r="G215" i="25"/>
  <c r="E214" i="39"/>
  <c r="G214" i="39" s="1"/>
  <c r="H214" i="39" s="1"/>
  <c r="I214" i="39" s="1"/>
  <c r="J214" i="39" s="1"/>
  <c r="I215" i="25" s="1"/>
  <c r="G311" i="25"/>
  <c r="E310" i="39"/>
  <c r="G310" i="39" s="1"/>
  <c r="H310" i="39" s="1"/>
  <c r="I310" i="39" s="1"/>
  <c r="J310" i="39" s="1"/>
  <c r="I311" i="25" s="1"/>
  <c r="G287" i="25"/>
  <c r="E286" i="39"/>
  <c r="G286" i="39" s="1"/>
  <c r="H286" i="39" s="1"/>
  <c r="I286" i="39" s="1"/>
  <c r="J286" i="39" s="1"/>
  <c r="I287" i="25" s="1"/>
  <c r="G146" i="25"/>
  <c r="E145" i="39"/>
  <c r="G145" i="39" s="1"/>
  <c r="H145" i="39" s="1"/>
  <c r="I145" i="39" s="1"/>
  <c r="J145" i="39" s="1"/>
  <c r="I146" i="25" s="1"/>
  <c r="G82" i="25"/>
  <c r="E81" i="39"/>
  <c r="G81" i="39" s="1"/>
  <c r="H81" i="39" s="1"/>
  <c r="I81" i="39" s="1"/>
  <c r="J81" i="39" s="1"/>
  <c r="I82" i="25" s="1"/>
  <c r="G299" i="25"/>
  <c r="E298" i="39"/>
  <c r="G298" i="39" s="1"/>
  <c r="H298" i="39" s="1"/>
  <c r="I298" i="39" s="1"/>
  <c r="J298" i="39" s="1"/>
  <c r="I299" i="25" s="1"/>
  <c r="G235" i="25"/>
  <c r="E234" i="39"/>
  <c r="G234" i="39" s="1"/>
  <c r="H234" i="39" s="1"/>
  <c r="I234" i="39" s="1"/>
  <c r="J234" i="39" s="1"/>
  <c r="I235" i="25" s="1"/>
  <c r="G171" i="25"/>
  <c r="E170" i="39"/>
  <c r="G170" i="39" s="1"/>
  <c r="H170" i="39" s="1"/>
  <c r="I170" i="39" s="1"/>
  <c r="J170" i="39" s="1"/>
  <c r="I171" i="25" s="1"/>
  <c r="G107" i="25"/>
  <c r="E106" i="39"/>
  <c r="G106" i="39" s="1"/>
  <c r="H106" i="39" s="1"/>
  <c r="I106" i="39" s="1"/>
  <c r="J106" i="39" s="1"/>
  <c r="I107" i="25" s="1"/>
  <c r="G33" i="25"/>
  <c r="E32" i="39"/>
  <c r="G32" i="39" s="1"/>
  <c r="H32" i="39" s="1"/>
  <c r="I32" i="39" s="1"/>
  <c r="J32" i="39" s="1"/>
  <c r="I33" i="25" s="1"/>
  <c r="G31" i="25"/>
  <c r="E30" i="39"/>
  <c r="G30" i="39" s="1"/>
  <c r="H30" i="39" s="1"/>
  <c r="I30" i="39" s="1"/>
  <c r="J30" i="39" s="1"/>
  <c r="I31" i="25" s="1"/>
  <c r="G19" i="25"/>
  <c r="E18" i="39"/>
  <c r="G18" i="39" s="1"/>
  <c r="H18" i="39" s="1"/>
  <c r="I18" i="39" s="1"/>
  <c r="J18" i="39" s="1"/>
  <c r="I19" i="25" s="1"/>
  <c r="G175" i="25"/>
  <c r="E174" i="39"/>
  <c r="G174" i="39" s="1"/>
  <c r="H174" i="39" s="1"/>
  <c r="I174" i="39" s="1"/>
  <c r="J174" i="39" s="1"/>
  <c r="I175" i="25" s="1"/>
  <c r="G29" i="25"/>
  <c r="E28" i="39"/>
  <c r="G28" i="39" s="1"/>
  <c r="H28" i="39" s="1"/>
  <c r="I28" i="39" s="1"/>
  <c r="J28" i="39" s="1"/>
  <c r="I29" i="25" s="1"/>
  <c r="G297" i="25"/>
  <c r="E296" i="39"/>
  <c r="G296" i="39" s="1"/>
  <c r="H296" i="39" s="1"/>
  <c r="I296" i="39" s="1"/>
  <c r="J296" i="39" s="1"/>
  <c r="I297" i="25" s="1"/>
  <c r="G214" i="25"/>
  <c r="E213" i="39"/>
  <c r="G213" i="39" s="1"/>
  <c r="H213" i="39" s="1"/>
  <c r="I213" i="39" s="1"/>
  <c r="J213" i="39" s="1"/>
  <c r="I214" i="25" s="1"/>
  <c r="G276" i="25"/>
  <c r="E275" i="39"/>
  <c r="G275" i="39" s="1"/>
  <c r="H275" i="39" s="1"/>
  <c r="I275" i="39" s="1"/>
  <c r="J275" i="39" s="1"/>
  <c r="I276" i="25" s="1"/>
  <c r="G69" i="25"/>
  <c r="E68" i="39"/>
  <c r="G68" i="39" s="1"/>
  <c r="H68" i="39" s="1"/>
  <c r="I68" i="39" s="1"/>
  <c r="J68" i="39" s="1"/>
  <c r="I69" i="25" s="1"/>
  <c r="G169" i="25"/>
  <c r="E168" i="39"/>
  <c r="G168" i="39" s="1"/>
  <c r="H168" i="39" s="1"/>
  <c r="I168" i="39" s="1"/>
  <c r="J168" i="39" s="1"/>
  <c r="I169" i="25" s="1"/>
  <c r="G111" i="25"/>
  <c r="E110" i="39"/>
  <c r="G110" i="39" s="1"/>
  <c r="H110" i="39" s="1"/>
  <c r="I110" i="39" s="1"/>
  <c r="J110" i="39" s="1"/>
  <c r="I111" i="25" s="1"/>
  <c r="G46" i="25"/>
  <c r="E45" i="39"/>
  <c r="G45" i="39" s="1"/>
  <c r="H45" i="39" s="1"/>
  <c r="I45" i="39" s="1"/>
  <c r="J45" i="39" s="1"/>
  <c r="I46" i="25" s="1"/>
  <c r="G283" i="25"/>
  <c r="E282" i="39"/>
  <c r="G282" i="39" s="1"/>
  <c r="H282" i="39" s="1"/>
  <c r="I282" i="39" s="1"/>
  <c r="J282" i="39" s="1"/>
  <c r="I283" i="25" s="1"/>
  <c r="G144" i="25"/>
  <c r="E143" i="39"/>
  <c r="G143" i="39" s="1"/>
  <c r="H143" i="39" s="1"/>
  <c r="I143" i="39" s="1"/>
  <c r="J143" i="39" s="1"/>
  <c r="I144" i="25" s="1"/>
  <c r="G284" i="25"/>
  <c r="E283" i="39"/>
  <c r="G283" i="39" s="1"/>
  <c r="H283" i="39" s="1"/>
  <c r="I283" i="39" s="1"/>
  <c r="J283" i="39" s="1"/>
  <c r="I284" i="25" s="1"/>
  <c r="G208" i="25"/>
  <c r="E207" i="39"/>
  <c r="G207" i="39" s="1"/>
  <c r="H207" i="39" s="1"/>
  <c r="I207" i="39" s="1"/>
  <c r="J207" i="39" s="1"/>
  <c r="I208" i="25" s="1"/>
  <c r="G188" i="25"/>
  <c r="E187" i="39"/>
  <c r="G187" i="39" s="1"/>
  <c r="H187" i="39" s="1"/>
  <c r="I187" i="39" s="1"/>
  <c r="J187" i="39" s="1"/>
  <c r="I188" i="25" s="1"/>
  <c r="G36" i="25"/>
  <c r="E35" i="39"/>
  <c r="G35" i="39" s="1"/>
  <c r="H35" i="39" s="1"/>
  <c r="I35" i="39" s="1"/>
  <c r="J35" i="39" s="1"/>
  <c r="I36" i="25" s="1"/>
  <c r="G64" i="25"/>
  <c r="E63" i="39"/>
  <c r="G63" i="39" s="1"/>
  <c r="H63" i="39" s="1"/>
  <c r="I63" i="39" s="1"/>
  <c r="J63" i="39" s="1"/>
  <c r="I64" i="25" s="1"/>
  <c r="E267" i="39"/>
  <c r="G267" i="39" s="1"/>
  <c r="H267" i="39" s="1"/>
  <c r="I267" i="39" s="1"/>
  <c r="J267" i="39" s="1"/>
  <c r="I268" i="25" s="1"/>
  <c r="G268" i="25"/>
  <c r="G89" i="25"/>
  <c r="E88" i="39"/>
  <c r="G88" i="39" s="1"/>
  <c r="H88" i="39" s="1"/>
  <c r="I88" i="39" s="1"/>
  <c r="J88" i="39" s="1"/>
  <c r="I89" i="25" s="1"/>
  <c r="G63" i="25"/>
  <c r="E62" i="39"/>
  <c r="G62" i="39" s="1"/>
  <c r="H62" i="39" s="1"/>
  <c r="I62" i="39" s="1"/>
  <c r="J62" i="39" s="1"/>
  <c r="I63" i="25" s="1"/>
  <c r="G226" i="25"/>
  <c r="E225" i="39"/>
  <c r="G225" i="39" s="1"/>
  <c r="H225" i="39" s="1"/>
  <c r="I225" i="39" s="1"/>
  <c r="J225" i="39" s="1"/>
  <c r="I226" i="25" s="1"/>
  <c r="G251" i="25"/>
  <c r="E250" i="39"/>
  <c r="G250" i="39" s="1"/>
  <c r="H250" i="39" s="1"/>
  <c r="I250" i="39" s="1"/>
  <c r="J250" i="39" s="1"/>
  <c r="I251" i="25" s="1"/>
  <c r="G43" i="25"/>
  <c r="E42" i="39"/>
  <c r="G42" i="39" s="1"/>
  <c r="H42" i="39" s="1"/>
  <c r="I42" i="39" s="1"/>
  <c r="J42" i="39" s="1"/>
  <c r="I43" i="25" s="1"/>
  <c r="E276" i="39"/>
  <c r="G276" i="39" s="1"/>
  <c r="H276" i="39" s="1"/>
  <c r="I276" i="39" s="1"/>
  <c r="J276" i="39" s="1"/>
  <c r="I277" i="25" s="1"/>
  <c r="G277" i="25"/>
  <c r="G125" i="25"/>
  <c r="E124" i="39"/>
  <c r="G124" i="39" s="1"/>
  <c r="H124" i="39" s="1"/>
  <c r="I124" i="39" s="1"/>
  <c r="J124" i="39" s="1"/>
  <c r="I125" i="25" s="1"/>
  <c r="G24" i="25"/>
  <c r="E23" i="39"/>
  <c r="G23" i="39" s="1"/>
  <c r="H23" i="39" s="1"/>
  <c r="I23" i="39" s="1"/>
  <c r="J23" i="39" s="1"/>
  <c r="I24" i="25" s="1"/>
  <c r="G93" i="25"/>
  <c r="E92" i="39"/>
  <c r="G92" i="39" s="1"/>
  <c r="H92" i="39" s="1"/>
  <c r="I92" i="39" s="1"/>
  <c r="J92" i="39" s="1"/>
  <c r="I93" i="25" s="1"/>
  <c r="G240" i="25"/>
  <c r="E239" i="39"/>
  <c r="G239" i="39" s="1"/>
  <c r="H239" i="39" s="1"/>
  <c r="I239" i="39" s="1"/>
  <c r="J239" i="39" s="1"/>
  <c r="I240" i="25" s="1"/>
  <c r="G180" i="25"/>
  <c r="E179" i="39"/>
  <c r="G179" i="39" s="1"/>
  <c r="H179" i="39" s="1"/>
  <c r="I179" i="39" s="1"/>
  <c r="J179" i="39" s="1"/>
  <c r="I180" i="25" s="1"/>
  <c r="G264" i="25"/>
  <c r="E263" i="39"/>
  <c r="G263" i="39" s="1"/>
  <c r="H263" i="39" s="1"/>
  <c r="I263" i="39" s="1"/>
  <c r="J263" i="39" s="1"/>
  <c r="I264" i="25" s="1"/>
  <c r="G217" i="25"/>
  <c r="E216" i="39"/>
  <c r="G216" i="39" s="1"/>
  <c r="H216" i="39" s="1"/>
  <c r="I216" i="39" s="1"/>
  <c r="J216" i="39" s="1"/>
  <c r="I217" i="25" s="1"/>
  <c r="G216" i="25"/>
  <c r="E215" i="39"/>
  <c r="G215" i="39" s="1"/>
  <c r="H215" i="39" s="1"/>
  <c r="I215" i="39" s="1"/>
  <c r="J215" i="39" s="1"/>
  <c r="I216" i="25" s="1"/>
  <c r="G231" i="25"/>
  <c r="E230" i="39"/>
  <c r="G230" i="39" s="1"/>
  <c r="H230" i="39" s="1"/>
  <c r="I230" i="39" s="1"/>
  <c r="J230" i="39" s="1"/>
  <c r="I231" i="25" s="1"/>
  <c r="G207" i="25"/>
  <c r="E206" i="39"/>
  <c r="G206" i="39" s="1"/>
  <c r="H206" i="39" s="1"/>
  <c r="I206" i="39" s="1"/>
  <c r="J206" i="39" s="1"/>
  <c r="I207" i="25" s="1"/>
  <c r="G154" i="25"/>
  <c r="E153" i="39"/>
  <c r="G153" i="39" s="1"/>
  <c r="H153" i="39" s="1"/>
  <c r="I153" i="39" s="1"/>
  <c r="J153" i="39" s="1"/>
  <c r="I154" i="25" s="1"/>
  <c r="G243" i="25"/>
  <c r="E242" i="39"/>
  <c r="G242" i="39" s="1"/>
  <c r="H242" i="39" s="1"/>
  <c r="I242" i="39" s="1"/>
  <c r="J242" i="39" s="1"/>
  <c r="I243" i="25" s="1"/>
  <c r="G37" i="25"/>
  <c r="E36" i="39"/>
  <c r="G36" i="39" s="1"/>
  <c r="H36" i="39" s="1"/>
  <c r="I36" i="39" s="1"/>
  <c r="J36" i="39" s="1"/>
  <c r="I37" i="25" s="1"/>
  <c r="G30" i="25"/>
  <c r="E29" i="39"/>
  <c r="G29" i="39" s="1"/>
  <c r="H29" i="39" s="1"/>
  <c r="I29" i="39" s="1"/>
  <c r="J29" i="39" s="1"/>
  <c r="I30" i="25" s="1"/>
  <c r="G312" i="25"/>
  <c r="E311" i="39"/>
  <c r="G311" i="39" s="1"/>
  <c r="H311" i="39" s="1"/>
  <c r="I311" i="39" s="1"/>
  <c r="J311" i="39" s="1"/>
  <c r="I312" i="25" s="1"/>
  <c r="G213" i="25"/>
  <c r="E212" i="39"/>
  <c r="G212" i="39" s="1"/>
  <c r="H212" i="39" s="1"/>
  <c r="I212" i="39" s="1"/>
  <c r="J212" i="39" s="1"/>
  <c r="I213" i="25" s="1"/>
  <c r="G204" i="25"/>
  <c r="E203" i="39"/>
  <c r="G203" i="39" s="1"/>
  <c r="H203" i="39" s="1"/>
  <c r="I203" i="39" s="1"/>
  <c r="J203" i="39" s="1"/>
  <c r="I204" i="25" s="1"/>
  <c r="G105" i="25"/>
  <c r="E104" i="39"/>
  <c r="G104" i="39" s="1"/>
  <c r="H104" i="39" s="1"/>
  <c r="I104" i="39" s="1"/>
  <c r="J104" i="39" s="1"/>
  <c r="I105" i="25" s="1"/>
  <c r="G110" i="25"/>
  <c r="E109" i="39"/>
  <c r="G109" i="39" s="1"/>
  <c r="H109" i="39" s="1"/>
  <c r="I109" i="39" s="1"/>
  <c r="J109" i="39" s="1"/>
  <c r="I110" i="25" s="1"/>
  <c r="G57" i="25"/>
  <c r="E56" i="39"/>
  <c r="G56" i="39" s="1"/>
  <c r="H56" i="39" s="1"/>
  <c r="I56" i="39" s="1"/>
  <c r="J56" i="39" s="1"/>
  <c r="I57" i="25" s="1"/>
  <c r="G116" i="25"/>
  <c r="E115" i="39"/>
  <c r="G115" i="39" s="1"/>
  <c r="H115" i="39" s="1"/>
  <c r="I115" i="39" s="1"/>
  <c r="J115" i="39" s="1"/>
  <c r="I116" i="25" s="1"/>
  <c r="G96" i="25"/>
  <c r="E95" i="39"/>
  <c r="G95" i="39" s="1"/>
  <c r="H95" i="39" s="1"/>
  <c r="I95" i="39" s="1"/>
  <c r="J95" i="39" s="1"/>
  <c r="I96" i="25" s="1"/>
  <c r="E236" i="39"/>
  <c r="G236" i="39" s="1"/>
  <c r="H236" i="39" s="1"/>
  <c r="I236" i="39" s="1"/>
  <c r="J236" i="39" s="1"/>
  <c r="I237" i="25" s="1"/>
  <c r="G237" i="25"/>
  <c r="G184" i="25"/>
  <c r="E183" i="39"/>
  <c r="G183" i="39" s="1"/>
  <c r="H183" i="39" s="1"/>
  <c r="I183" i="39" s="1"/>
  <c r="J183" i="39" s="1"/>
  <c r="I184" i="25" s="1"/>
  <c r="G129" i="25"/>
  <c r="E128" i="39"/>
  <c r="G128" i="39" s="1"/>
  <c r="H128" i="39" s="1"/>
  <c r="I128" i="39" s="1"/>
  <c r="J128" i="39" s="1"/>
  <c r="I129" i="25" s="1"/>
  <c r="G49" i="25"/>
  <c r="E48" i="39"/>
  <c r="G48" i="39" s="1"/>
  <c r="H48" i="39" s="1"/>
  <c r="I48" i="39" s="1"/>
  <c r="J48" i="39" s="1"/>
  <c r="I49" i="25" s="1"/>
  <c r="G161" i="25"/>
  <c r="E160" i="39"/>
  <c r="G160" i="39" s="1"/>
  <c r="H160" i="39" s="1"/>
  <c r="I160" i="39" s="1"/>
  <c r="J160" i="39" s="1"/>
  <c r="I161" i="25" s="1"/>
  <c r="G229" i="25"/>
  <c r="E228" i="39"/>
  <c r="G228" i="39" s="1"/>
  <c r="H228" i="39" s="1"/>
  <c r="I228" i="39" s="1"/>
  <c r="J228" i="39" s="1"/>
  <c r="I229" i="25" s="1"/>
  <c r="G313" i="25"/>
  <c r="E312" i="39"/>
  <c r="G312" i="39" s="1"/>
  <c r="H312" i="39" s="1"/>
  <c r="I312" i="39" s="1"/>
  <c r="J312" i="39" s="1"/>
  <c r="I313" i="25" s="1"/>
  <c r="G236" i="25"/>
  <c r="E235" i="39"/>
  <c r="G235" i="39" s="1"/>
  <c r="H235" i="39" s="1"/>
  <c r="I235" i="39" s="1"/>
  <c r="J235" i="39" s="1"/>
  <c r="I236" i="25" s="1"/>
  <c r="G20" i="25"/>
  <c r="E19" i="39"/>
  <c r="G19" i="39" s="1"/>
  <c r="H19" i="39" s="1"/>
  <c r="I19" i="39" s="1"/>
  <c r="J19" i="39" s="1"/>
  <c r="I20" i="25" s="1"/>
  <c r="G137" i="25"/>
  <c r="E136" i="39"/>
  <c r="G136" i="39" s="1"/>
  <c r="H136" i="39" s="1"/>
  <c r="I136" i="39" s="1"/>
  <c r="J136" i="39" s="1"/>
  <c r="I137" i="25" s="1"/>
  <c r="G128" i="25"/>
  <c r="E127" i="39"/>
  <c r="G127" i="39" s="1"/>
  <c r="H127" i="39" s="1"/>
  <c r="I127" i="39" s="1"/>
  <c r="J127" i="39" s="1"/>
  <c r="I128" i="25" s="1"/>
  <c r="G281" i="25"/>
  <c r="E280" i="39"/>
  <c r="G280" i="39" s="1"/>
  <c r="H280" i="39" s="1"/>
  <c r="I280" i="39" s="1"/>
  <c r="J280" i="39" s="1"/>
  <c r="I281" i="25" s="1"/>
  <c r="G151" i="25"/>
  <c r="E150" i="39"/>
  <c r="G150" i="39" s="1"/>
  <c r="H150" i="39" s="1"/>
  <c r="I150" i="39" s="1"/>
  <c r="J150" i="39" s="1"/>
  <c r="I151" i="25" s="1"/>
  <c r="G239" i="25"/>
  <c r="E238" i="39"/>
  <c r="G238" i="39" s="1"/>
  <c r="H238" i="39" s="1"/>
  <c r="I238" i="39" s="1"/>
  <c r="J238" i="39" s="1"/>
  <c r="I239" i="25" s="1"/>
  <c r="G255" i="25"/>
  <c r="E254" i="39"/>
  <c r="G254" i="39" s="1"/>
  <c r="H254" i="39" s="1"/>
  <c r="I254" i="39" s="1"/>
  <c r="J254" i="39" s="1"/>
  <c r="I255" i="25" s="1"/>
  <c r="G266" i="25"/>
  <c r="E265" i="39"/>
  <c r="G265" i="39" s="1"/>
  <c r="H265" i="39" s="1"/>
  <c r="I265" i="39" s="1"/>
  <c r="J265" i="39" s="1"/>
  <c r="I266" i="25" s="1"/>
  <c r="G202" i="25"/>
  <c r="E201" i="39"/>
  <c r="G201" i="39" s="1"/>
  <c r="H201" i="39" s="1"/>
  <c r="I201" i="39" s="1"/>
  <c r="J201" i="39" s="1"/>
  <c r="I202" i="25" s="1"/>
  <c r="G138" i="25"/>
  <c r="E137" i="39"/>
  <c r="G137" i="39" s="1"/>
  <c r="H137" i="39" s="1"/>
  <c r="I137" i="39" s="1"/>
  <c r="J137" i="39" s="1"/>
  <c r="I138" i="25" s="1"/>
  <c r="E73" i="39"/>
  <c r="G73" i="39" s="1"/>
  <c r="H73" i="39" s="1"/>
  <c r="I73" i="39" s="1"/>
  <c r="J73" i="39" s="1"/>
  <c r="I74" i="25" s="1"/>
  <c r="G74" i="25"/>
  <c r="G291" i="25"/>
  <c r="E290" i="39"/>
  <c r="G290" i="39" s="1"/>
  <c r="H290" i="39" s="1"/>
  <c r="I290" i="39" s="1"/>
  <c r="J290" i="39" s="1"/>
  <c r="I291" i="25" s="1"/>
  <c r="G163" i="25"/>
  <c r="E162" i="39"/>
  <c r="G162" i="39" s="1"/>
  <c r="H162" i="39" s="1"/>
  <c r="I162" i="39" s="1"/>
  <c r="J162" i="39" s="1"/>
  <c r="I163" i="25" s="1"/>
  <c r="G25" i="25"/>
  <c r="E24" i="39"/>
  <c r="G24" i="39" s="1"/>
  <c r="H24" i="39" s="1"/>
  <c r="I24" i="39" s="1"/>
  <c r="J24" i="39" s="1"/>
  <c r="I25" i="25" s="1"/>
  <c r="G22" i="25"/>
  <c r="E21" i="39"/>
  <c r="G21" i="39" s="1"/>
  <c r="H21" i="39" s="1"/>
  <c r="I21" i="39" s="1"/>
  <c r="J21" i="39" s="1"/>
  <c r="I22" i="25" s="1"/>
  <c r="G27" i="25"/>
  <c r="E26" i="39"/>
  <c r="G26" i="39" s="1"/>
  <c r="H26" i="39" s="1"/>
  <c r="I26" i="39" s="1"/>
  <c r="J26" i="39" s="1"/>
  <c r="I27" i="25" s="1"/>
  <c r="G15" i="25"/>
  <c r="E14" i="39"/>
  <c r="G14" i="39" s="1"/>
  <c r="H14" i="39" s="1"/>
  <c r="I14" i="39" s="1"/>
  <c r="J14" i="39" s="1"/>
  <c r="I15" i="25" s="1"/>
  <c r="G174" i="25"/>
  <c r="E173" i="39"/>
  <c r="G173" i="39" s="1"/>
  <c r="H173" i="39" s="1"/>
  <c r="I173" i="39" s="1"/>
  <c r="J173" i="39" s="1"/>
  <c r="I174" i="25" s="1"/>
  <c r="G248" i="25"/>
  <c r="E247" i="39"/>
  <c r="G247" i="39" s="1"/>
  <c r="H247" i="39" s="1"/>
  <c r="I247" i="39" s="1"/>
  <c r="J247" i="39" s="1"/>
  <c r="I248" i="25" s="1"/>
  <c r="G113" i="25"/>
  <c r="E112" i="39"/>
  <c r="G112" i="39" s="1"/>
  <c r="H112" i="39" s="1"/>
  <c r="I112" i="39" s="1"/>
  <c r="J112" i="39" s="1"/>
  <c r="I113" i="25" s="1"/>
  <c r="G265" i="25"/>
  <c r="E264" i="39"/>
  <c r="G264" i="39" s="1"/>
  <c r="H264" i="39" s="1"/>
  <c r="I264" i="39" s="1"/>
  <c r="J264" i="39" s="1"/>
  <c r="I265" i="25" s="1"/>
  <c r="G60" i="25"/>
  <c r="E59" i="39"/>
  <c r="G59" i="39" s="1"/>
  <c r="H59" i="39" s="1"/>
  <c r="I59" i="39" s="1"/>
  <c r="J59" i="39" s="1"/>
  <c r="I60" i="25" s="1"/>
  <c r="G61" i="25"/>
  <c r="E60" i="39"/>
  <c r="G60" i="39" s="1"/>
  <c r="H60" i="39" s="1"/>
  <c r="I60" i="39" s="1"/>
  <c r="J60" i="39" s="1"/>
  <c r="I61" i="25" s="1"/>
  <c r="G87" i="25"/>
  <c r="E86" i="39"/>
  <c r="G86" i="39" s="1"/>
  <c r="H86" i="39" s="1"/>
  <c r="I86" i="39" s="1"/>
  <c r="J86" i="39" s="1"/>
  <c r="I87" i="25" s="1"/>
  <c r="G147" i="25"/>
  <c r="E146" i="39"/>
  <c r="G146" i="39" s="1"/>
  <c r="H146" i="39" s="1"/>
  <c r="I146" i="39" s="1"/>
  <c r="J146" i="39" s="1"/>
  <c r="I147" i="25" s="1"/>
  <c r="G232" i="25"/>
  <c r="E231" i="39"/>
  <c r="G231" i="39" s="1"/>
  <c r="H231" i="39" s="1"/>
  <c r="I231" i="39" s="1"/>
  <c r="J231" i="39" s="1"/>
  <c r="I232" i="25" s="1"/>
  <c r="E10" i="39"/>
  <c r="G10" i="39" s="1"/>
  <c r="H10" i="39" s="1"/>
  <c r="I10" i="39" s="1"/>
  <c r="J10" i="39" s="1"/>
  <c r="I11" i="25" s="1"/>
  <c r="G11" i="25"/>
  <c r="G304" i="25"/>
  <c r="E303" i="39"/>
  <c r="G303" i="39" s="1"/>
  <c r="H303" i="39" s="1"/>
  <c r="I303" i="39" s="1"/>
  <c r="J303" i="39" s="1"/>
  <c r="I304" i="25" s="1"/>
  <c r="G102" i="25"/>
  <c r="E101" i="39"/>
  <c r="G101" i="39" s="1"/>
  <c r="H101" i="39" s="1"/>
  <c r="I101" i="39" s="1"/>
  <c r="J101" i="39" s="1"/>
  <c r="I102" i="25" s="1"/>
  <c r="E287" i="39"/>
  <c r="G287" i="39" s="1"/>
  <c r="H287" i="39" s="1"/>
  <c r="I287" i="39" s="1"/>
  <c r="J287" i="39" s="1"/>
  <c r="I288" i="25" s="1"/>
  <c r="G288" i="25"/>
  <c r="G212" i="25"/>
  <c r="E211" i="39"/>
  <c r="G211" i="39" s="1"/>
  <c r="H211" i="39" s="1"/>
  <c r="I211" i="39" s="1"/>
  <c r="J211" i="39" s="1"/>
  <c r="I212" i="25" s="1"/>
  <c r="G200" i="25"/>
  <c r="E199" i="39"/>
  <c r="G199" i="39" s="1"/>
  <c r="H199" i="39" s="1"/>
  <c r="I199" i="39" s="1"/>
  <c r="J199" i="39" s="1"/>
  <c r="I200" i="25" s="1"/>
  <c r="G133" i="25"/>
  <c r="E132" i="39"/>
  <c r="G132" i="39" s="1"/>
  <c r="H132" i="39" s="1"/>
  <c r="I132" i="39" s="1"/>
  <c r="J132" i="39" s="1"/>
  <c r="I133" i="25" s="1"/>
  <c r="G145" i="25"/>
  <c r="E144" i="39"/>
  <c r="G144" i="39" s="1"/>
  <c r="H144" i="39" s="1"/>
  <c r="I144" i="39" s="1"/>
  <c r="J144" i="39" s="1"/>
  <c r="I145" i="25" s="1"/>
  <c r="G68" i="25"/>
  <c r="E67" i="39"/>
  <c r="G67" i="39" s="1"/>
  <c r="H67" i="39" s="1"/>
  <c r="I67" i="39" s="1"/>
  <c r="J67" i="39" s="1"/>
  <c r="I68" i="25" s="1"/>
  <c r="E261" i="39"/>
  <c r="G261" i="39" s="1"/>
  <c r="H261" i="39" s="1"/>
  <c r="I261" i="39" s="1"/>
  <c r="J261" i="39" s="1"/>
  <c r="I262" i="25" s="1"/>
  <c r="G262" i="25"/>
  <c r="G263" i="25"/>
  <c r="E262" i="39"/>
  <c r="G262" i="39" s="1"/>
  <c r="H262" i="39" s="1"/>
  <c r="I262" i="39" s="1"/>
  <c r="J262" i="39" s="1"/>
  <c r="I263" i="25" s="1"/>
  <c r="E289" i="39"/>
  <c r="G289" i="39" s="1"/>
  <c r="H289" i="39" s="1"/>
  <c r="I289" i="39" s="1"/>
  <c r="J289" i="39" s="1"/>
  <c r="I290" i="25" s="1"/>
  <c r="G290" i="25"/>
  <c r="G162" i="25"/>
  <c r="E161" i="39"/>
  <c r="G161" i="39" s="1"/>
  <c r="H161" i="39" s="1"/>
  <c r="I161" i="39" s="1"/>
  <c r="J161" i="39" s="1"/>
  <c r="I162" i="25" s="1"/>
  <c r="G53" i="25"/>
  <c r="E52" i="39"/>
  <c r="G52" i="39" s="1"/>
  <c r="H52" i="39" s="1"/>
  <c r="I52" i="39" s="1"/>
  <c r="J52" i="39" s="1"/>
  <c r="I53" i="25" s="1"/>
  <c r="G123" i="25"/>
  <c r="E122" i="39"/>
  <c r="G122" i="39" s="1"/>
  <c r="H122" i="39" s="1"/>
  <c r="I122" i="39" s="1"/>
  <c r="J122" i="39" s="1"/>
  <c r="I123" i="25" s="1"/>
  <c r="G34" i="25"/>
  <c r="E33" i="39"/>
  <c r="G33" i="39" s="1"/>
  <c r="H33" i="39" s="1"/>
  <c r="I33" i="39" s="1"/>
  <c r="J33" i="39" s="1"/>
  <c r="I34" i="25" s="1"/>
  <c r="G230" i="25"/>
  <c r="E229" i="39"/>
  <c r="G229" i="39" s="1"/>
  <c r="H229" i="39" s="1"/>
  <c r="I229" i="39" s="1"/>
  <c r="J229" i="39" s="1"/>
  <c r="I230" i="25" s="1"/>
  <c r="G84" i="25"/>
  <c r="E83" i="39"/>
  <c r="G83" i="39" s="1"/>
  <c r="H83" i="39" s="1"/>
  <c r="I83" i="39" s="1"/>
  <c r="J83" i="39" s="1"/>
  <c r="I84" i="25" s="1"/>
  <c r="G16" i="25"/>
  <c r="E15" i="39"/>
  <c r="G15" i="39" s="1"/>
  <c r="H15" i="39" s="1"/>
  <c r="I15" i="39" s="1"/>
  <c r="J15" i="39" s="1"/>
  <c r="I16" i="25" s="1"/>
  <c r="G296" i="25"/>
  <c r="E295" i="39"/>
  <c r="G295" i="39" s="1"/>
  <c r="H295" i="39" s="1"/>
  <c r="I295" i="39" s="1"/>
  <c r="J295" i="39" s="1"/>
  <c r="I296" i="25" s="1"/>
  <c r="G164" i="25"/>
  <c r="E163" i="39"/>
  <c r="G163" i="39" s="1"/>
  <c r="H163" i="39" s="1"/>
  <c r="I163" i="39" s="1"/>
  <c r="J163" i="39" s="1"/>
  <c r="I164" i="25" s="1"/>
  <c r="G134" i="25"/>
  <c r="E133" i="39"/>
  <c r="G133" i="39" s="1"/>
  <c r="H133" i="39" s="1"/>
  <c r="I133" i="39" s="1"/>
  <c r="J133" i="39" s="1"/>
  <c r="I134" i="25" s="1"/>
  <c r="G192" i="25"/>
  <c r="E191" i="39"/>
  <c r="G191" i="39" s="1"/>
  <c r="H191" i="39" s="1"/>
  <c r="I191" i="39" s="1"/>
  <c r="J191" i="39" s="1"/>
  <c r="I192" i="25" s="1"/>
  <c r="G118" i="25"/>
  <c r="E117" i="39"/>
  <c r="G117" i="39" s="1"/>
  <c r="H117" i="39" s="1"/>
  <c r="I117" i="39" s="1"/>
  <c r="J117" i="39" s="1"/>
  <c r="I118" i="25" s="1"/>
  <c r="G140" i="25"/>
  <c r="E139" i="39"/>
  <c r="G139" i="39" s="1"/>
  <c r="H139" i="39" s="1"/>
  <c r="I139" i="39" s="1"/>
  <c r="J139" i="39" s="1"/>
  <c r="I140" i="25" s="1"/>
  <c r="G302" i="25"/>
  <c r="E301" i="39"/>
  <c r="G301" i="39" s="1"/>
  <c r="H301" i="39" s="1"/>
  <c r="I301" i="39" s="1"/>
  <c r="J301" i="39" s="1"/>
  <c r="I302" i="25" s="1"/>
  <c r="G71" i="25"/>
  <c r="E70" i="39"/>
  <c r="G70" i="39" s="1"/>
  <c r="H70" i="39" s="1"/>
  <c r="I70" i="39" s="1"/>
  <c r="J70" i="39" s="1"/>
  <c r="I71" i="25" s="1"/>
  <c r="G218" i="25"/>
  <c r="E217" i="39"/>
  <c r="G217" i="39" s="1"/>
  <c r="H217" i="39" s="1"/>
  <c r="I217" i="39" s="1"/>
  <c r="J217" i="39" s="1"/>
  <c r="I218" i="25" s="1"/>
  <c r="G307" i="25"/>
  <c r="E306" i="39"/>
  <c r="G306" i="39" s="1"/>
  <c r="H306" i="39" s="1"/>
  <c r="I306" i="39" s="1"/>
  <c r="J306" i="39" s="1"/>
  <c r="I307" i="25" s="1"/>
  <c r="G115" i="25"/>
  <c r="E114" i="39"/>
  <c r="G114" i="39" s="1"/>
  <c r="H114" i="39" s="1"/>
  <c r="I114" i="39" s="1"/>
  <c r="J114" i="39" s="1"/>
  <c r="I115" i="25" s="1"/>
  <c r="G39" i="25"/>
  <c r="E38" i="39"/>
  <c r="G38" i="39" s="1"/>
  <c r="H38" i="39" s="1"/>
  <c r="I38" i="39" s="1"/>
  <c r="J38" i="39" s="1"/>
  <c r="I39" i="25" s="1"/>
  <c r="G309" i="25"/>
  <c r="E308" i="39"/>
  <c r="G308" i="39" s="1"/>
  <c r="H308" i="39" s="1"/>
  <c r="I308" i="39" s="1"/>
  <c r="J308" i="39" s="1"/>
  <c r="I309" i="25" s="1"/>
  <c r="G274" i="25"/>
  <c r="E273" i="39"/>
  <c r="G273" i="39" s="1"/>
  <c r="H273" i="39" s="1"/>
  <c r="I273" i="39" s="1"/>
  <c r="J273" i="39" s="1"/>
  <c r="I274" i="25" s="1"/>
  <c r="G191" i="25"/>
  <c r="E190" i="39"/>
  <c r="G190" i="39" s="1"/>
  <c r="H190" i="39" s="1"/>
  <c r="I190" i="39" s="1"/>
  <c r="J190" i="39" s="1"/>
  <c r="I191" i="25" s="1"/>
  <c r="G194" i="25"/>
  <c r="E193" i="39"/>
  <c r="G193" i="39" s="1"/>
  <c r="H193" i="39" s="1"/>
  <c r="I193" i="39" s="1"/>
  <c r="J193" i="39" s="1"/>
  <c r="I194" i="25" s="1"/>
  <c r="G99" i="25"/>
  <c r="E98" i="39"/>
  <c r="G98" i="39" s="1"/>
  <c r="H98" i="39" s="1"/>
  <c r="I98" i="39" s="1"/>
  <c r="J98" i="39" s="1"/>
  <c r="I99" i="25" s="1"/>
  <c r="G66" i="25"/>
  <c r="E65" i="39"/>
  <c r="G65" i="39" s="1"/>
  <c r="H65" i="39" s="1"/>
  <c r="I65" i="39" s="1"/>
  <c r="J65" i="39" s="1"/>
  <c r="I66" i="25" s="1"/>
  <c r="G45" i="25"/>
  <c r="E44" i="39"/>
  <c r="G44" i="39" s="1"/>
  <c r="H44" i="39" s="1"/>
  <c r="I44" i="39" s="1"/>
  <c r="J44" i="39" s="1"/>
  <c r="I45" i="25" s="1"/>
  <c r="G9" i="25"/>
  <c r="E8" i="39"/>
  <c r="G8" i="39" s="1"/>
  <c r="H8" i="39" s="1"/>
  <c r="I8" i="39" s="1"/>
  <c r="J8" i="39" s="1"/>
  <c r="I9" i="25" s="1"/>
  <c r="F41" i="48"/>
  <c r="E325" i="34"/>
  <c r="I325" i="34" s="1"/>
  <c r="E314" i="39" s="1"/>
  <c r="G314" i="39" s="1"/>
  <c r="H314" i="39" s="1"/>
  <c r="I314" i="39" s="1"/>
  <c r="I16" i="34"/>
  <c r="I44" i="12" l="1"/>
  <c r="J45" i="25" s="1"/>
  <c r="I86" i="12"/>
  <c r="J87" i="25" s="1"/>
  <c r="J86" i="12"/>
  <c r="I150" i="12"/>
  <c r="J151" i="25" s="1"/>
  <c r="I160" i="12"/>
  <c r="J161" i="25" s="1"/>
  <c r="I275" i="12"/>
  <c r="J276" i="25" s="1"/>
  <c r="I214" i="12"/>
  <c r="J215" i="25" s="1"/>
  <c r="I31" i="12"/>
  <c r="J32" i="25" s="1"/>
  <c r="I37" i="12"/>
  <c r="J38" i="25" s="1"/>
  <c r="I208" i="12"/>
  <c r="J209" i="25" s="1"/>
  <c r="I54" i="12"/>
  <c r="J55" i="25" s="1"/>
  <c r="I202" i="12"/>
  <c r="J203" i="25" s="1"/>
  <c r="I113" i="12"/>
  <c r="J114" i="25" s="1"/>
  <c r="I278" i="12"/>
  <c r="J279" i="25" s="1"/>
  <c r="I76" i="12"/>
  <c r="J77" i="25" s="1"/>
  <c r="I172" i="12"/>
  <c r="J173" i="25" s="1"/>
  <c r="I90" i="12"/>
  <c r="J91" i="25" s="1"/>
  <c r="J90" i="12"/>
  <c r="I82" i="12"/>
  <c r="J83" i="25" s="1"/>
  <c r="I313" i="12"/>
  <c r="J314" i="25" s="1"/>
  <c r="I149" i="12"/>
  <c r="J150" i="25" s="1"/>
  <c r="I193" i="12"/>
  <c r="J194" i="25" s="1"/>
  <c r="I15" i="12"/>
  <c r="J16" i="25" s="1"/>
  <c r="I33" i="12"/>
  <c r="J34" i="25" s="1"/>
  <c r="I52" i="12"/>
  <c r="J53" i="25" s="1"/>
  <c r="I144" i="12"/>
  <c r="J145" i="25" s="1"/>
  <c r="I101" i="12"/>
  <c r="J102" i="25" s="1"/>
  <c r="I231" i="12"/>
  <c r="J232" i="25" s="1"/>
  <c r="I173" i="12"/>
  <c r="J174" i="25" s="1"/>
  <c r="I162" i="12"/>
  <c r="J163" i="25" s="1"/>
  <c r="I136" i="12"/>
  <c r="J137" i="25" s="1"/>
  <c r="I183" i="12"/>
  <c r="J184" i="25" s="1"/>
  <c r="I109" i="12"/>
  <c r="J110" i="25" s="1"/>
  <c r="I212" i="12"/>
  <c r="J213" i="25" s="1"/>
  <c r="I153" i="12"/>
  <c r="J154" i="25" s="1"/>
  <c r="I215" i="12"/>
  <c r="J216" i="25" s="1"/>
  <c r="I276" i="12"/>
  <c r="J277" i="25" s="1"/>
  <c r="I88" i="12"/>
  <c r="J89" i="25" s="1"/>
  <c r="I35" i="12"/>
  <c r="J36" i="25" s="1"/>
  <c r="I168" i="12"/>
  <c r="J169" i="25" s="1"/>
  <c r="I28" i="12"/>
  <c r="J29" i="25" s="1"/>
  <c r="I30" i="12"/>
  <c r="J31" i="25" s="1"/>
  <c r="I298" i="12"/>
  <c r="J299" i="25" s="1"/>
  <c r="I39" i="12"/>
  <c r="J40" i="25" s="1"/>
  <c r="J39" i="12"/>
  <c r="I87" i="12"/>
  <c r="J88" i="25" s="1"/>
  <c r="I175" i="12"/>
  <c r="J176" i="25" s="1"/>
  <c r="I156" i="12"/>
  <c r="J157" i="25" s="1"/>
  <c r="I118" i="12"/>
  <c r="J119" i="25" s="1"/>
  <c r="I268" i="12"/>
  <c r="J269" i="25" s="1"/>
  <c r="I285" i="12"/>
  <c r="J286" i="25" s="1"/>
  <c r="I85" i="12"/>
  <c r="J86" i="25" s="1"/>
  <c r="I50" i="12"/>
  <c r="J51" i="25" s="1"/>
  <c r="I11" i="12"/>
  <c r="J12" i="25" s="1"/>
  <c r="I46" i="12"/>
  <c r="J47" i="25" s="1"/>
  <c r="J46" i="12"/>
  <c r="I294" i="12"/>
  <c r="J295" i="25" s="1"/>
  <c r="I205" i="12"/>
  <c r="J206" i="25" s="1"/>
  <c r="I245" i="12"/>
  <c r="J246" i="25" s="1"/>
  <c r="I125" i="12"/>
  <c r="J126" i="25" s="1"/>
  <c r="I151" i="12"/>
  <c r="J152" i="25" s="1"/>
  <c r="I74" i="12"/>
  <c r="J75" i="25" s="1"/>
  <c r="I188" i="12"/>
  <c r="J189" i="25" s="1"/>
  <c r="I61" i="12"/>
  <c r="J62" i="25" s="1"/>
  <c r="I99" i="12"/>
  <c r="J100" i="25" s="1"/>
  <c r="I246" i="12"/>
  <c r="J247" i="25" s="1"/>
  <c r="I244" i="12"/>
  <c r="J245" i="25" s="1"/>
  <c r="I65" i="12"/>
  <c r="J66" i="25" s="1"/>
  <c r="J65" i="12"/>
  <c r="I308" i="12"/>
  <c r="J309" i="25" s="1"/>
  <c r="I306" i="12"/>
  <c r="J307" i="25" s="1"/>
  <c r="J306" i="12"/>
  <c r="I117" i="12"/>
  <c r="J118" i="25" s="1"/>
  <c r="I163" i="12"/>
  <c r="J164" i="25" s="1"/>
  <c r="I137" i="12"/>
  <c r="J138" i="25" s="1"/>
  <c r="I254" i="12"/>
  <c r="J255" i="25" s="1"/>
  <c r="I312" i="12"/>
  <c r="J313" i="25" s="1"/>
  <c r="I115" i="12"/>
  <c r="J116" i="25" s="1"/>
  <c r="I36" i="12"/>
  <c r="J37" i="25" s="1"/>
  <c r="I179" i="12"/>
  <c r="J180" i="25" s="1"/>
  <c r="I225" i="12"/>
  <c r="J226" i="25" s="1"/>
  <c r="I213" i="12"/>
  <c r="J214" i="25" s="1"/>
  <c r="I170" i="12"/>
  <c r="J171" i="25" s="1"/>
  <c r="I286" i="12"/>
  <c r="J287" i="25" s="1"/>
  <c r="I43" i="12"/>
  <c r="J44" i="25" s="1"/>
  <c r="I157" i="12"/>
  <c r="J158" i="25" s="1"/>
  <c r="I7" i="12"/>
  <c r="J8" i="25" s="1"/>
  <c r="I17" i="12"/>
  <c r="J18" i="25" s="1"/>
  <c r="I89" i="12"/>
  <c r="J90" i="25" s="1"/>
  <c r="I93" i="12"/>
  <c r="J94" i="25" s="1"/>
  <c r="J93" i="12"/>
  <c r="I256" i="12"/>
  <c r="J257" i="25" s="1"/>
  <c r="I97" i="12"/>
  <c r="J98" i="25" s="1"/>
  <c r="I123" i="12"/>
  <c r="J124" i="25" s="1"/>
  <c r="I309" i="12"/>
  <c r="J310" i="25" s="1"/>
  <c r="I260" i="12"/>
  <c r="J261" i="25" s="1"/>
  <c r="I66" i="12"/>
  <c r="J67" i="25" s="1"/>
  <c r="J66" i="12"/>
  <c r="I105" i="12"/>
  <c r="J106" i="25" s="1"/>
  <c r="I297" i="12"/>
  <c r="J298" i="25" s="1"/>
  <c r="I293" i="12"/>
  <c r="J294" i="25" s="1"/>
  <c r="I164" i="12"/>
  <c r="J165" i="25" s="1"/>
  <c r="I171" i="12"/>
  <c r="J172" i="25" s="1"/>
  <c r="I226" i="12"/>
  <c r="J227" i="25" s="1"/>
  <c r="I266" i="12"/>
  <c r="J267" i="25" s="1"/>
  <c r="I305" i="12"/>
  <c r="J306" i="25" s="1"/>
  <c r="I64" i="12"/>
  <c r="J65" i="25" s="1"/>
  <c r="I299" i="12"/>
  <c r="J300" i="25" s="1"/>
  <c r="I22" i="12"/>
  <c r="J23" i="25" s="1"/>
  <c r="I185" i="12"/>
  <c r="J186" i="25" s="1"/>
  <c r="I262" i="12"/>
  <c r="J263" i="25" s="1"/>
  <c r="I29" i="12"/>
  <c r="J30" i="25" s="1"/>
  <c r="I263" i="12"/>
  <c r="J264" i="25" s="1"/>
  <c r="I232" i="12"/>
  <c r="J233" i="25" s="1"/>
  <c r="J232" i="12"/>
  <c r="I147" i="12"/>
  <c r="J148" i="25" s="1"/>
  <c r="I195" i="12"/>
  <c r="J196" i="25" s="1"/>
  <c r="I196" i="12"/>
  <c r="J197" i="25" s="1"/>
  <c r="I259" i="12"/>
  <c r="J260" i="25" s="1"/>
  <c r="I261" i="12"/>
  <c r="J262" i="25" s="1"/>
  <c r="I60" i="12"/>
  <c r="J61" i="25" s="1"/>
  <c r="J60" i="12"/>
  <c r="I267" i="12"/>
  <c r="J268" i="25" s="1"/>
  <c r="I283" i="12"/>
  <c r="J284" i="25" s="1"/>
  <c r="I269" i="12"/>
  <c r="J270" i="25" s="1"/>
  <c r="I131" i="12"/>
  <c r="J132" i="25" s="1"/>
  <c r="I224" i="12"/>
  <c r="J225" i="25" s="1"/>
  <c r="I96" i="12"/>
  <c r="J97" i="25" s="1"/>
  <c r="I94" i="12"/>
  <c r="J95" i="25" s="1"/>
  <c r="I221" i="12"/>
  <c r="J222" i="25" s="1"/>
  <c r="J221" i="12"/>
  <c r="I126" i="12"/>
  <c r="J127" i="25" s="1"/>
  <c r="I181" i="12"/>
  <c r="J182" i="25" s="1"/>
  <c r="I103" i="12"/>
  <c r="J104" i="25" s="1"/>
  <c r="I13" i="12"/>
  <c r="J14" i="25" s="1"/>
  <c r="I198" i="12"/>
  <c r="J199" i="25" s="1"/>
  <c r="I190" i="12"/>
  <c r="J191" i="25" s="1"/>
  <c r="I122" i="12"/>
  <c r="J123" i="25" s="1"/>
  <c r="I132" i="12"/>
  <c r="J133" i="25" s="1"/>
  <c r="I48" i="12"/>
  <c r="J49" i="25" s="1"/>
  <c r="I42" i="12"/>
  <c r="J43" i="25" s="1"/>
  <c r="I152" i="12"/>
  <c r="J153" i="25" s="1"/>
  <c r="I258" i="12"/>
  <c r="J259" i="25" s="1"/>
  <c r="I20" i="12"/>
  <c r="J21" i="25" s="1"/>
  <c r="I223" i="12"/>
  <c r="J224" i="25" s="1"/>
  <c r="J223" i="12"/>
  <c r="I272" i="12"/>
  <c r="J273" i="25" s="1"/>
  <c r="I8" i="12"/>
  <c r="J9" i="25" s="1"/>
  <c r="I98" i="12"/>
  <c r="J99" i="25" s="1"/>
  <c r="I217" i="12"/>
  <c r="J218" i="25" s="1"/>
  <c r="I191" i="12"/>
  <c r="J192" i="25" s="1"/>
  <c r="I289" i="12"/>
  <c r="J290" i="25" s="1"/>
  <c r="I146" i="12"/>
  <c r="J147" i="25" s="1"/>
  <c r="I59" i="12"/>
  <c r="J60" i="25" s="1"/>
  <c r="I290" i="12"/>
  <c r="J291" i="25" s="1"/>
  <c r="I228" i="12"/>
  <c r="J229" i="25" s="1"/>
  <c r="I311" i="12"/>
  <c r="J312" i="25" s="1"/>
  <c r="I242" i="12"/>
  <c r="J243" i="25" s="1"/>
  <c r="I216" i="12"/>
  <c r="J217" i="25" s="1"/>
  <c r="I62" i="12"/>
  <c r="J63" i="25" s="1"/>
  <c r="I187" i="12"/>
  <c r="J188" i="25" s="1"/>
  <c r="I143" i="12"/>
  <c r="J144" i="25" s="1"/>
  <c r="I68" i="12"/>
  <c r="J69" i="25" s="1"/>
  <c r="I296" i="12"/>
  <c r="J297" i="25" s="1"/>
  <c r="J296" i="12"/>
  <c r="I32" i="12"/>
  <c r="J33" i="25" s="1"/>
  <c r="I310" i="12"/>
  <c r="J311" i="25" s="1"/>
  <c r="I271" i="12"/>
  <c r="J272" i="25" s="1"/>
  <c r="I300" i="12"/>
  <c r="J301" i="25" s="1"/>
  <c r="I219" i="12"/>
  <c r="J220" i="25" s="1"/>
  <c r="I281" i="12"/>
  <c r="J282" i="25" s="1"/>
  <c r="I180" i="12"/>
  <c r="J181" i="25" s="1"/>
  <c r="I165" i="12"/>
  <c r="J166" i="25" s="1"/>
  <c r="I53" i="12"/>
  <c r="J54" i="25" s="1"/>
  <c r="I102" i="12"/>
  <c r="J103" i="25" s="1"/>
  <c r="I69" i="12"/>
  <c r="J70" i="25" s="1"/>
  <c r="I25" i="12"/>
  <c r="J26" i="25" s="1"/>
  <c r="I77" i="12"/>
  <c r="J78" i="25" s="1"/>
  <c r="I130" i="12"/>
  <c r="J131" i="25" s="1"/>
  <c r="I134" i="12"/>
  <c r="J135" i="25" s="1"/>
  <c r="I120" i="12"/>
  <c r="J121" i="25" s="1"/>
  <c r="I243" i="12"/>
  <c r="J244" i="25" s="1"/>
  <c r="I27" i="12"/>
  <c r="J28" i="25" s="1"/>
  <c r="J27" i="12"/>
  <c r="I167" i="12"/>
  <c r="J168" i="25" s="1"/>
  <c r="I227" i="12"/>
  <c r="J228" i="25" s="1"/>
  <c r="I284" i="12"/>
  <c r="J285" i="25" s="1"/>
  <c r="I138" i="12"/>
  <c r="J139" i="25" s="1"/>
  <c r="I107" i="12"/>
  <c r="J108" i="25" s="1"/>
  <c r="I55" i="12"/>
  <c r="J56" i="25" s="1"/>
  <c r="I176" i="12"/>
  <c r="J177" i="25" s="1"/>
  <c r="I49" i="12"/>
  <c r="J50" i="25" s="1"/>
  <c r="I288" i="12"/>
  <c r="J289" i="25" s="1"/>
  <c r="I249" i="12"/>
  <c r="J250" i="25" s="1"/>
  <c r="I155" i="12"/>
  <c r="J156" i="25" s="1"/>
  <c r="I252" i="12"/>
  <c r="J253" i="25" s="1"/>
  <c r="I83" i="12"/>
  <c r="J84" i="25" s="1"/>
  <c r="I21" i="12"/>
  <c r="J22" i="25" s="1"/>
  <c r="I280" i="12"/>
  <c r="J281" i="25" s="1"/>
  <c r="I81" i="12"/>
  <c r="J82" i="25" s="1"/>
  <c r="I9" i="12"/>
  <c r="J10" i="25" s="1"/>
  <c r="I116" i="12"/>
  <c r="J117" i="25" s="1"/>
  <c r="I303" i="12"/>
  <c r="J304" i="25" s="1"/>
  <c r="I112" i="12"/>
  <c r="J113" i="25" s="1"/>
  <c r="I206" i="12"/>
  <c r="J207" i="25" s="1"/>
  <c r="I23" i="12"/>
  <c r="J24" i="25" s="1"/>
  <c r="I45" i="12"/>
  <c r="J46" i="25" s="1"/>
  <c r="I277" i="12"/>
  <c r="J278" i="25" s="1"/>
  <c r="I34" i="12"/>
  <c r="J35" i="25" s="1"/>
  <c r="I79" i="12"/>
  <c r="J80" i="25" s="1"/>
  <c r="I169" i="12"/>
  <c r="J170" i="25" s="1"/>
  <c r="I148" i="12"/>
  <c r="J149" i="25" s="1"/>
  <c r="I177" i="12"/>
  <c r="J178" i="25" s="1"/>
  <c r="I159" i="12"/>
  <c r="J160" i="25" s="1"/>
  <c r="I273" i="12"/>
  <c r="J274" i="25" s="1"/>
  <c r="I139" i="12"/>
  <c r="J140" i="25" s="1"/>
  <c r="I295" i="12"/>
  <c r="J296" i="25" s="1"/>
  <c r="I229" i="12"/>
  <c r="J230" i="25" s="1"/>
  <c r="I67" i="12"/>
  <c r="J68" i="25" s="1"/>
  <c r="I287" i="12"/>
  <c r="J288" i="25" s="1"/>
  <c r="J287" i="12"/>
  <c r="I10" i="12"/>
  <c r="J11" i="25" s="1"/>
  <c r="I247" i="12"/>
  <c r="J248" i="25" s="1"/>
  <c r="I24" i="12"/>
  <c r="J25" i="25" s="1"/>
  <c r="I73" i="12"/>
  <c r="J74" i="25" s="1"/>
  <c r="I238" i="12"/>
  <c r="J239" i="25" s="1"/>
  <c r="I127" i="12"/>
  <c r="J128" i="25" s="1"/>
  <c r="I128" i="12"/>
  <c r="J129" i="25" s="1"/>
  <c r="I56" i="12"/>
  <c r="J57" i="25" s="1"/>
  <c r="I239" i="12"/>
  <c r="J240" i="25" s="1"/>
  <c r="I124" i="12"/>
  <c r="J125" i="25" s="1"/>
  <c r="I110" i="12"/>
  <c r="J111" i="25" s="1"/>
  <c r="I18" i="12"/>
  <c r="J19" i="25" s="1"/>
  <c r="I234" i="12"/>
  <c r="J235" i="25" s="1"/>
  <c r="I145" i="12"/>
  <c r="J146" i="25" s="1"/>
  <c r="I182" i="12"/>
  <c r="J183" i="25" s="1"/>
  <c r="I91" i="12"/>
  <c r="J92" i="25" s="1"/>
  <c r="I119" i="12"/>
  <c r="J120" i="25" s="1"/>
  <c r="I129" i="12"/>
  <c r="J130" i="25" s="1"/>
  <c r="I218" i="12"/>
  <c r="J219" i="25" s="1"/>
  <c r="I140" i="12"/>
  <c r="J141" i="25" s="1"/>
  <c r="I220" i="12"/>
  <c r="J221" i="25" s="1"/>
  <c r="I240" i="12"/>
  <c r="J241" i="25" s="1"/>
  <c r="I210" i="12"/>
  <c r="J211" i="25" s="1"/>
  <c r="I307" i="12"/>
  <c r="J308" i="25" s="1"/>
  <c r="I304" i="12"/>
  <c r="J305" i="25" s="1"/>
  <c r="I57" i="12"/>
  <c r="J58" i="25" s="1"/>
  <c r="I270" i="12"/>
  <c r="J271" i="25" s="1"/>
  <c r="I75" i="12"/>
  <c r="J76" i="25" s="1"/>
  <c r="I253" i="12"/>
  <c r="J254" i="25" s="1"/>
  <c r="I40" i="12"/>
  <c r="J41" i="25" s="1"/>
  <c r="I241" i="12"/>
  <c r="J242" i="25" s="1"/>
  <c r="I302" i="12"/>
  <c r="J303" i="25" s="1"/>
  <c r="I237" i="12"/>
  <c r="J238" i="25" s="1"/>
  <c r="I100" i="12"/>
  <c r="J101" i="25" s="1"/>
  <c r="I154" i="12"/>
  <c r="J155" i="25" s="1"/>
  <c r="I16" i="12"/>
  <c r="J17" i="25" s="1"/>
  <c r="I121" i="12"/>
  <c r="J122" i="25" s="1"/>
  <c r="I158" i="12"/>
  <c r="J159" i="25" s="1"/>
  <c r="I70" i="12"/>
  <c r="J71" i="25" s="1"/>
  <c r="I133" i="12"/>
  <c r="J134" i="25" s="1"/>
  <c r="I264" i="12"/>
  <c r="J265" i="25" s="1"/>
  <c r="I92" i="12"/>
  <c r="J93" i="25" s="1"/>
  <c r="I250" i="12"/>
  <c r="J251" i="25" s="1"/>
  <c r="I282" i="12"/>
  <c r="J283" i="25" s="1"/>
  <c r="I200" i="12"/>
  <c r="J201" i="25" s="1"/>
  <c r="I222" i="12"/>
  <c r="J223" i="25" s="1"/>
  <c r="I142" i="12"/>
  <c r="J143" i="25" s="1"/>
  <c r="I108" i="12"/>
  <c r="J109" i="25" s="1"/>
  <c r="I194" i="12"/>
  <c r="J195" i="25" s="1"/>
  <c r="I161" i="12"/>
  <c r="J162" i="25" s="1"/>
  <c r="I211" i="12"/>
  <c r="J212" i="25" s="1"/>
  <c r="I104" i="12"/>
  <c r="J105" i="25" s="1"/>
  <c r="I111" i="12"/>
  <c r="J112" i="25" s="1"/>
  <c r="I251" i="12"/>
  <c r="J252" i="25" s="1"/>
  <c r="J251" i="12"/>
  <c r="I209" i="12"/>
  <c r="J210" i="25" s="1"/>
  <c r="I274" i="12"/>
  <c r="J275" i="25" s="1"/>
  <c r="J274" i="12"/>
  <c r="I51" i="12"/>
  <c r="J52" i="25" s="1"/>
  <c r="I38" i="12"/>
  <c r="J39" i="25" s="1"/>
  <c r="I301" i="12"/>
  <c r="J302" i="25" s="1"/>
  <c r="I14" i="12"/>
  <c r="J15" i="25" s="1"/>
  <c r="J14" i="12"/>
  <c r="I201" i="12"/>
  <c r="J202" i="25" s="1"/>
  <c r="I19" i="12"/>
  <c r="J20" i="25" s="1"/>
  <c r="J19" i="12"/>
  <c r="I236" i="12"/>
  <c r="J237" i="25" s="1"/>
  <c r="I174" i="12"/>
  <c r="J175" i="25" s="1"/>
  <c r="I84" i="12"/>
  <c r="J85" i="25" s="1"/>
  <c r="I204" i="12"/>
  <c r="J205" i="25" s="1"/>
  <c r="I58" i="12"/>
  <c r="J59" i="25" s="1"/>
  <c r="I292" i="12"/>
  <c r="J293" i="25" s="1"/>
  <c r="I80" i="12"/>
  <c r="J81" i="25" s="1"/>
  <c r="I192" i="12"/>
  <c r="J193" i="25" s="1"/>
  <c r="I166" i="12"/>
  <c r="J167" i="25" s="1"/>
  <c r="I291" i="12"/>
  <c r="J292" i="25" s="1"/>
  <c r="I72" i="12"/>
  <c r="J73" i="25" s="1"/>
  <c r="I114" i="12"/>
  <c r="J115" i="25" s="1"/>
  <c r="I199" i="12"/>
  <c r="J200" i="25" s="1"/>
  <c r="I26" i="12"/>
  <c r="J27" i="25" s="1"/>
  <c r="I265" i="12"/>
  <c r="J266" i="25" s="1"/>
  <c r="I235" i="12"/>
  <c r="J236" i="25" s="1"/>
  <c r="I95" i="12"/>
  <c r="J96" i="25" s="1"/>
  <c r="I203" i="12"/>
  <c r="J204" i="25" s="1"/>
  <c r="I230" i="12"/>
  <c r="J231" i="25" s="1"/>
  <c r="I63" i="12"/>
  <c r="J64" i="25" s="1"/>
  <c r="I207" i="12"/>
  <c r="J208" i="25" s="1"/>
  <c r="I106" i="12"/>
  <c r="J107" i="25" s="1"/>
  <c r="I255" i="12"/>
  <c r="J256" i="25" s="1"/>
  <c r="I197" i="12"/>
  <c r="J198" i="25" s="1"/>
  <c r="I178" i="12"/>
  <c r="J179" i="25" s="1"/>
  <c r="I186" i="12"/>
  <c r="J187" i="25" s="1"/>
  <c r="I189" i="12"/>
  <c r="J190" i="25" s="1"/>
  <c r="I233" i="12"/>
  <c r="J234" i="25" s="1"/>
  <c r="I279" i="12"/>
  <c r="J280" i="25" s="1"/>
  <c r="I135" i="12"/>
  <c r="J136" i="25" s="1"/>
  <c r="I248" i="12"/>
  <c r="J249" i="25" s="1"/>
  <c r="I41" i="12"/>
  <c r="J42" i="25" s="1"/>
  <c r="I257" i="12"/>
  <c r="J258" i="25" s="1"/>
  <c r="I12" i="12"/>
  <c r="J13" i="25" s="1"/>
  <c r="I78" i="12"/>
  <c r="J79" i="25" s="1"/>
  <c r="I141" i="12"/>
  <c r="J142" i="25" s="1"/>
  <c r="I71" i="12"/>
  <c r="J72" i="25" s="1"/>
  <c r="I184" i="12"/>
  <c r="J185" i="25" s="1"/>
  <c r="I6" i="12"/>
  <c r="J7" i="25" s="1"/>
  <c r="I47" i="12"/>
  <c r="J48" i="25" s="1"/>
  <c r="E5" i="12"/>
  <c r="G5" i="12" s="1"/>
  <c r="H5" i="12" s="1"/>
  <c r="I5" i="12" s="1"/>
  <c r="E5" i="39"/>
  <c r="G5" i="39" s="1"/>
  <c r="H5" i="39" s="1"/>
  <c r="I5" i="39" s="1"/>
  <c r="J5" i="39" s="1"/>
  <c r="E314" i="12"/>
  <c r="G314" i="12" s="1"/>
  <c r="J314" i="12" s="1"/>
  <c r="C4" i="34"/>
  <c r="C10" i="34" s="1"/>
  <c r="C11" i="34" s="1"/>
  <c r="G315" i="25"/>
  <c r="G6" i="25"/>
  <c r="N306" i="13"/>
  <c r="O306" i="13" s="1"/>
  <c r="P306" i="13" s="1"/>
  <c r="Q306" i="13" s="1"/>
  <c r="N95" i="13"/>
  <c r="O95" i="13" s="1"/>
  <c r="P95" i="13" s="1"/>
  <c r="Q95" i="13" s="1"/>
  <c r="N127" i="13"/>
  <c r="O127" i="13" s="1"/>
  <c r="P127" i="13" s="1"/>
  <c r="Q127" i="13" s="1"/>
  <c r="N209" i="13"/>
  <c r="O209" i="13" s="1"/>
  <c r="P209" i="13" s="1"/>
  <c r="Q209" i="13" s="1"/>
  <c r="N267" i="13"/>
  <c r="O267" i="13" s="1"/>
  <c r="P267" i="13" s="1"/>
  <c r="Q267" i="13" s="1"/>
  <c r="N144" i="13"/>
  <c r="O144" i="13" s="1"/>
  <c r="P144" i="13" s="1"/>
  <c r="Q144" i="13" s="1"/>
  <c r="N284" i="13"/>
  <c r="O284" i="13" s="1"/>
  <c r="P284" i="13" s="1"/>
  <c r="Q284" i="13" s="1"/>
  <c r="N68" i="13"/>
  <c r="O68" i="13" s="1"/>
  <c r="P68" i="13" s="1"/>
  <c r="Q68" i="13" s="1"/>
  <c r="N45" i="13"/>
  <c r="O45" i="13" s="1"/>
  <c r="P45" i="13" s="1"/>
  <c r="Q45" i="13" s="1"/>
  <c r="N232" i="13"/>
  <c r="O232" i="13" s="1"/>
  <c r="P232" i="13" s="1"/>
  <c r="Q232" i="13" s="1"/>
  <c r="N220" i="13"/>
  <c r="O220" i="13" s="1"/>
  <c r="P220" i="13" s="1"/>
  <c r="Q220" i="13" s="1"/>
  <c r="N268" i="13"/>
  <c r="O268" i="13" s="1"/>
  <c r="P268" i="13" s="1"/>
  <c r="Q268" i="13" s="1"/>
  <c r="N83" i="13"/>
  <c r="O83" i="13" s="1"/>
  <c r="P83" i="13" s="1"/>
  <c r="Q83" i="13" s="1"/>
  <c r="N243" i="13"/>
  <c r="O243" i="13" s="1"/>
  <c r="N147" i="13"/>
  <c r="O147" i="13" s="1"/>
  <c r="P147" i="13" s="1"/>
  <c r="Q147" i="13" s="1"/>
  <c r="N87" i="13"/>
  <c r="O87" i="13" s="1"/>
  <c r="P87" i="13" s="1"/>
  <c r="Q87" i="13" s="1"/>
  <c r="N102" i="13"/>
  <c r="O102" i="13" s="1"/>
  <c r="N53" i="13"/>
  <c r="O53" i="13" s="1"/>
  <c r="N241" i="13"/>
  <c r="O241" i="13" s="1"/>
  <c r="E38" i="48"/>
  <c r="N314" i="13" l="1"/>
  <c r="O314" i="13" s="1"/>
  <c r="P314" i="13" s="1"/>
  <c r="Q314" i="13" s="1"/>
  <c r="N8" i="13"/>
  <c r="O8" i="13" s="1"/>
  <c r="P8" i="13" s="1"/>
  <c r="Q8" i="13" s="1"/>
  <c r="K8" i="25" s="1"/>
  <c r="L8" i="25" s="1"/>
  <c r="N8" i="25" s="1"/>
  <c r="J292" i="12"/>
  <c r="N199" i="13"/>
  <c r="O199" i="13" s="1"/>
  <c r="P199" i="13" s="1"/>
  <c r="Q199" i="13" s="1"/>
  <c r="N260" i="13"/>
  <c r="O260" i="13" s="1"/>
  <c r="P260" i="13" s="1"/>
  <c r="Q260" i="13" s="1"/>
  <c r="K260" i="25" s="1"/>
  <c r="L260" i="25" s="1"/>
  <c r="N260" i="25" s="1"/>
  <c r="N81" i="13"/>
  <c r="O81" i="13" s="1"/>
  <c r="P81" i="13" s="1"/>
  <c r="Q81" i="13" s="1"/>
  <c r="N93" i="13"/>
  <c r="O93" i="13" s="1"/>
  <c r="P93" i="13" s="1"/>
  <c r="Q93" i="13" s="1"/>
  <c r="K93" i="25" s="1"/>
  <c r="L93" i="25" s="1"/>
  <c r="N93" i="25" s="1"/>
  <c r="N140" i="13"/>
  <c r="O140" i="13" s="1"/>
  <c r="P140" i="13" s="1"/>
  <c r="Q140" i="13" s="1"/>
  <c r="K140" i="25" s="1"/>
  <c r="L140" i="25" s="1"/>
  <c r="N140" i="25" s="1"/>
  <c r="N196" i="13"/>
  <c r="O196" i="13" s="1"/>
  <c r="P196" i="13" s="1"/>
  <c r="Q196" i="13" s="1"/>
  <c r="J291" i="12"/>
  <c r="J40" i="12"/>
  <c r="J120" i="12"/>
  <c r="J242" i="12"/>
  <c r="N297" i="13"/>
  <c r="O297" i="13" s="1"/>
  <c r="P297" i="13" s="1"/>
  <c r="Q297" i="13" s="1"/>
  <c r="K297" i="25" s="1"/>
  <c r="L297" i="25" s="1"/>
  <c r="N297" i="25" s="1"/>
  <c r="N181" i="13"/>
  <c r="O181" i="13" s="1"/>
  <c r="P181" i="13" s="1"/>
  <c r="Q181" i="13" s="1"/>
  <c r="N128" i="13"/>
  <c r="O128" i="13" s="1"/>
  <c r="P128" i="13" s="1"/>
  <c r="Q128" i="13" s="1"/>
  <c r="N43" i="13"/>
  <c r="O43" i="13" s="1"/>
  <c r="P43" i="13" s="1"/>
  <c r="Q43" i="13" s="1"/>
  <c r="J21" i="12"/>
  <c r="N167" i="13"/>
  <c r="O167" i="13" s="1"/>
  <c r="P167" i="13" s="1"/>
  <c r="Q167" i="13" s="1"/>
  <c r="K167" i="25" s="1"/>
  <c r="L167" i="25" s="1"/>
  <c r="N167" i="25" s="1"/>
  <c r="N165" i="13"/>
  <c r="O165" i="13" s="1"/>
  <c r="P165" i="13" s="1"/>
  <c r="Q165" i="13" s="1"/>
  <c r="K165" i="25" s="1"/>
  <c r="L165" i="25" s="1"/>
  <c r="N165" i="25" s="1"/>
  <c r="N183" i="13"/>
  <c r="O183" i="13" s="1"/>
  <c r="P183" i="13" s="1"/>
  <c r="Q183" i="13" s="1"/>
  <c r="N157" i="13"/>
  <c r="O157" i="13" s="1"/>
  <c r="P157" i="13" s="1"/>
  <c r="Q157" i="13" s="1"/>
  <c r="N18" i="13"/>
  <c r="O18" i="13" s="1"/>
  <c r="P18" i="13" s="1"/>
  <c r="Q18" i="13" s="1"/>
  <c r="K18" i="25" s="1"/>
  <c r="L18" i="25" s="1"/>
  <c r="N18" i="25" s="1"/>
  <c r="J59" i="12"/>
  <c r="N121" i="13"/>
  <c r="O121" i="13" s="1"/>
  <c r="P121" i="13" s="1"/>
  <c r="Q121" i="13" s="1"/>
  <c r="K121" i="25" s="1"/>
  <c r="L121" i="25" s="1"/>
  <c r="N121" i="25" s="1"/>
  <c r="N60" i="13"/>
  <c r="O60" i="13" s="1"/>
  <c r="P60" i="13" s="1"/>
  <c r="Q60" i="13" s="1"/>
  <c r="N197" i="13"/>
  <c r="O197" i="13" s="1"/>
  <c r="P197" i="13" s="1"/>
  <c r="Q197" i="13" s="1"/>
  <c r="K197" i="25" s="1"/>
  <c r="L197" i="25" s="1"/>
  <c r="N197" i="25" s="1"/>
  <c r="N117" i="13"/>
  <c r="O117" i="13" s="1"/>
  <c r="P117" i="13" s="1"/>
  <c r="Q117" i="13" s="1"/>
  <c r="J159" i="12"/>
  <c r="J49" i="12"/>
  <c r="J143" i="12"/>
  <c r="J228" i="12"/>
  <c r="J217" i="12"/>
  <c r="J309" i="12"/>
  <c r="J17" i="12"/>
  <c r="N75" i="13"/>
  <c r="O75" i="13" s="1"/>
  <c r="P75" i="13" s="1"/>
  <c r="Q75" i="13" s="1"/>
  <c r="N109" i="13"/>
  <c r="O109" i="13" s="1"/>
  <c r="P109" i="13" s="1"/>
  <c r="Q109" i="13" s="1"/>
  <c r="N15" i="13"/>
  <c r="O15" i="13" s="1"/>
  <c r="P15" i="13" s="1"/>
  <c r="Q15" i="13" s="1"/>
  <c r="J184" i="12"/>
  <c r="J192" i="12"/>
  <c r="J174" i="12"/>
  <c r="J285" i="12"/>
  <c r="N278" i="13"/>
  <c r="O278" i="13" s="1"/>
  <c r="P278" i="13" s="1"/>
  <c r="Q278" i="13" s="1"/>
  <c r="K278" i="25" s="1"/>
  <c r="L278" i="25" s="1"/>
  <c r="N278" i="25" s="1"/>
  <c r="N169" i="13"/>
  <c r="O169" i="13" s="1"/>
  <c r="P169" i="13" s="1"/>
  <c r="Q169" i="13" s="1"/>
  <c r="N129" i="13"/>
  <c r="O129" i="13" s="1"/>
  <c r="P129" i="13" s="1"/>
  <c r="Q129" i="13" s="1"/>
  <c r="N160" i="13"/>
  <c r="O160" i="13" s="1"/>
  <c r="P160" i="13" s="1"/>
  <c r="Q160" i="13" s="1"/>
  <c r="K160" i="25" s="1"/>
  <c r="L160" i="25" s="1"/>
  <c r="N160" i="25" s="1"/>
  <c r="N171" i="13"/>
  <c r="O171" i="13" s="1"/>
  <c r="P171" i="13" s="1"/>
  <c r="Q171" i="13" s="1"/>
  <c r="N228" i="13"/>
  <c r="O228" i="13" s="1"/>
  <c r="P228" i="13" s="1"/>
  <c r="Q228" i="13" s="1"/>
  <c r="K228" i="25" s="1"/>
  <c r="L228" i="25" s="1"/>
  <c r="N228" i="25" s="1"/>
  <c r="J283" i="12"/>
  <c r="J195" i="12"/>
  <c r="J30" i="12"/>
  <c r="N233" i="13"/>
  <c r="O233" i="13" s="1"/>
  <c r="P233" i="13" s="1"/>
  <c r="Q233" i="13" s="1"/>
  <c r="K233" i="25" s="1"/>
  <c r="L233" i="25" s="1"/>
  <c r="N233" i="25" s="1"/>
  <c r="N152" i="13"/>
  <c r="O152" i="13" s="1"/>
  <c r="P152" i="13" s="1"/>
  <c r="Q152" i="13" s="1"/>
  <c r="N175" i="13"/>
  <c r="O175" i="13" s="1"/>
  <c r="P175" i="13" s="1"/>
  <c r="Q175" i="13" s="1"/>
  <c r="K175" i="25" s="1"/>
  <c r="L175" i="25" s="1"/>
  <c r="N175" i="25" s="1"/>
  <c r="N184" i="13"/>
  <c r="O184" i="13" s="1"/>
  <c r="P184" i="13" s="1"/>
  <c r="Q184" i="13" s="1"/>
  <c r="N288" i="13"/>
  <c r="O288" i="13" s="1"/>
  <c r="P288" i="13" s="1"/>
  <c r="Q288" i="13" s="1"/>
  <c r="N211" i="13"/>
  <c r="O211" i="13" s="1"/>
  <c r="P211" i="13" s="1"/>
  <c r="Q211" i="13" s="1"/>
  <c r="N51" i="13"/>
  <c r="O51" i="13" s="1"/>
  <c r="P51" i="13" s="1"/>
  <c r="Q51" i="13" s="1"/>
  <c r="K51" i="25" s="1"/>
  <c r="L51" i="25" s="1"/>
  <c r="N51" i="25" s="1"/>
  <c r="N303" i="13"/>
  <c r="O303" i="13" s="1"/>
  <c r="P303" i="13" s="1"/>
  <c r="Q303" i="13" s="1"/>
  <c r="K303" i="25" s="1"/>
  <c r="L303" i="25" s="1"/>
  <c r="N303" i="25" s="1"/>
  <c r="N299" i="13"/>
  <c r="O299" i="13" s="1"/>
  <c r="P299" i="13" s="1"/>
  <c r="Q299" i="13" s="1"/>
  <c r="N134" i="13"/>
  <c r="O134" i="13" s="1"/>
  <c r="P134" i="13" s="1"/>
  <c r="Q134" i="13" s="1"/>
  <c r="N94" i="13"/>
  <c r="O94" i="13" s="1"/>
  <c r="P94" i="13" s="1"/>
  <c r="Q94" i="13" s="1"/>
  <c r="N17" i="13"/>
  <c r="O17" i="13" s="1"/>
  <c r="P17" i="13" s="1"/>
  <c r="Q17" i="13" s="1"/>
  <c r="K17" i="25" s="1"/>
  <c r="L17" i="25" s="1"/>
  <c r="N17" i="25" s="1"/>
  <c r="N229" i="13"/>
  <c r="O229" i="13" s="1"/>
  <c r="P229" i="13" s="1"/>
  <c r="Q229" i="13" s="1"/>
  <c r="N215" i="13"/>
  <c r="O215" i="13" s="1"/>
  <c r="P215" i="13" s="1"/>
  <c r="Q215" i="13" s="1"/>
  <c r="N287" i="13"/>
  <c r="O287" i="13" s="1"/>
  <c r="P287" i="13" s="1"/>
  <c r="Q287" i="13" s="1"/>
  <c r="K287" i="25" s="1"/>
  <c r="L287" i="25" s="1"/>
  <c r="N287" i="25" s="1"/>
  <c r="N264" i="13"/>
  <c r="O264" i="13" s="1"/>
  <c r="P264" i="13" s="1"/>
  <c r="Q264" i="13" s="1"/>
  <c r="K264" i="25" s="1"/>
  <c r="L264" i="25" s="1"/>
  <c r="N264" i="25" s="1"/>
  <c r="J277" i="12"/>
  <c r="J190" i="12"/>
  <c r="J115" i="12"/>
  <c r="N282" i="13"/>
  <c r="O282" i="13" s="1"/>
  <c r="P282" i="13" s="1"/>
  <c r="Q282" i="13" s="1"/>
  <c r="N164" i="13"/>
  <c r="O164" i="13" s="1"/>
  <c r="P164" i="13" s="1"/>
  <c r="Q164" i="13" s="1"/>
  <c r="K164" i="25" s="1"/>
  <c r="L164" i="25" s="1"/>
  <c r="N164" i="25" s="1"/>
  <c r="N31" i="13"/>
  <c r="O31" i="13" s="1"/>
  <c r="P31" i="13" s="1"/>
  <c r="Q31" i="13" s="1"/>
  <c r="N200" i="13"/>
  <c r="O200" i="13" s="1"/>
  <c r="P200" i="13" s="1"/>
  <c r="Q200" i="13" s="1"/>
  <c r="K200" i="25" s="1"/>
  <c r="L200" i="25" s="1"/>
  <c r="N200" i="25" s="1"/>
  <c r="N304" i="13"/>
  <c r="O304" i="13" s="1"/>
  <c r="P304" i="13" s="1"/>
  <c r="Q304" i="13" s="1"/>
  <c r="K304" i="25" s="1"/>
  <c r="L304" i="25" s="1"/>
  <c r="N304" i="25" s="1"/>
  <c r="N188" i="13"/>
  <c r="O188" i="13" s="1"/>
  <c r="P188" i="13" s="1"/>
  <c r="Q188" i="13" s="1"/>
  <c r="K188" i="25" s="1"/>
  <c r="L188" i="25" s="1"/>
  <c r="N188" i="25" s="1"/>
  <c r="J106" i="12"/>
  <c r="J235" i="12"/>
  <c r="J108" i="12"/>
  <c r="J145" i="12"/>
  <c r="J132" i="12"/>
  <c r="J181" i="12"/>
  <c r="J131" i="12"/>
  <c r="J74" i="12"/>
  <c r="J144" i="12"/>
  <c r="J313" i="12"/>
  <c r="J160" i="12"/>
  <c r="N291" i="13"/>
  <c r="O291" i="13" s="1"/>
  <c r="P291" i="13" s="1"/>
  <c r="Q291" i="13" s="1"/>
  <c r="N119" i="13"/>
  <c r="O119" i="13" s="1"/>
  <c r="P119" i="13" s="1"/>
  <c r="Q119" i="13" s="1"/>
  <c r="N245" i="13"/>
  <c r="O245" i="13" s="1"/>
  <c r="P245" i="13" s="1"/>
  <c r="Q245" i="13" s="1"/>
  <c r="N302" i="13"/>
  <c r="O302" i="13" s="1"/>
  <c r="P302" i="13" s="1"/>
  <c r="Q302" i="13" s="1"/>
  <c r="K302" i="25" s="1"/>
  <c r="L302" i="25" s="1"/>
  <c r="N302" i="25" s="1"/>
  <c r="N96" i="13"/>
  <c r="O96" i="13" s="1"/>
  <c r="P96" i="13" s="1"/>
  <c r="Q96" i="13" s="1"/>
  <c r="K96" i="25" s="1"/>
  <c r="L96" i="25" s="1"/>
  <c r="N96" i="25" s="1"/>
  <c r="N98" i="13"/>
  <c r="O98" i="13" s="1"/>
  <c r="P98" i="13" s="1"/>
  <c r="Q98" i="13" s="1"/>
  <c r="K98" i="25" s="1"/>
  <c r="L98" i="25" s="1"/>
  <c r="N98" i="25" s="1"/>
  <c r="N307" i="13"/>
  <c r="O307" i="13" s="1"/>
  <c r="P307" i="13" s="1"/>
  <c r="Q307" i="13" s="1"/>
  <c r="K307" i="25" s="1"/>
  <c r="L307" i="25" s="1"/>
  <c r="N307" i="25" s="1"/>
  <c r="N137" i="13"/>
  <c r="O137" i="13" s="1"/>
  <c r="P137" i="13" s="1"/>
  <c r="Q137" i="13" s="1"/>
  <c r="N138" i="13"/>
  <c r="O138" i="13" s="1"/>
  <c r="P138" i="13" s="1"/>
  <c r="Q138" i="13" s="1"/>
  <c r="N187" i="13"/>
  <c r="O187" i="13" s="1"/>
  <c r="P187" i="13" s="1"/>
  <c r="Q187" i="13" s="1"/>
  <c r="K187" i="25" s="1"/>
  <c r="L187" i="25" s="1"/>
  <c r="N187" i="25" s="1"/>
  <c r="N42" i="13"/>
  <c r="O42" i="13" s="1"/>
  <c r="P42" i="13" s="1"/>
  <c r="Q42" i="13" s="1"/>
  <c r="K42" i="25" s="1"/>
  <c r="L42" i="25" s="1"/>
  <c r="N42" i="25" s="1"/>
  <c r="N86" i="13"/>
  <c r="O86" i="13" s="1"/>
  <c r="P86" i="13" s="1"/>
  <c r="Q86" i="13" s="1"/>
  <c r="N111" i="13"/>
  <c r="O111" i="13" s="1"/>
  <c r="P111" i="13" s="1"/>
  <c r="Q111" i="13" s="1"/>
  <c r="N154" i="13"/>
  <c r="O154" i="13" s="1"/>
  <c r="P154" i="13" s="1"/>
  <c r="Q154" i="13" s="1"/>
  <c r="N112" i="13"/>
  <c r="O112" i="13" s="1"/>
  <c r="P112" i="13" s="1"/>
  <c r="Q112" i="13" s="1"/>
  <c r="N279" i="13"/>
  <c r="O279" i="13" s="1"/>
  <c r="P279" i="13" s="1"/>
  <c r="Q279" i="13" s="1"/>
  <c r="N311" i="13"/>
  <c r="O311" i="13" s="1"/>
  <c r="P311" i="13" s="1"/>
  <c r="Q311" i="13" s="1"/>
  <c r="K311" i="25" s="1"/>
  <c r="L311" i="25" s="1"/>
  <c r="N311" i="25" s="1"/>
  <c r="N280" i="13"/>
  <c r="O280" i="13" s="1"/>
  <c r="P280" i="13" s="1"/>
  <c r="Q280" i="13" s="1"/>
  <c r="K280" i="25" s="1"/>
  <c r="L280" i="25" s="1"/>
  <c r="N280" i="25" s="1"/>
  <c r="J41" i="12"/>
  <c r="J186" i="12"/>
  <c r="J307" i="12"/>
  <c r="J129" i="12"/>
  <c r="J148" i="12"/>
  <c r="J23" i="12"/>
  <c r="J281" i="12"/>
  <c r="J226" i="12"/>
  <c r="N64" i="13"/>
  <c r="O64" i="13" s="1"/>
  <c r="P64" i="13" s="1"/>
  <c r="Q64" i="13" s="1"/>
  <c r="K64" i="25" s="1"/>
  <c r="L64" i="25" s="1"/>
  <c r="N64" i="25" s="1"/>
  <c r="N126" i="13"/>
  <c r="O126" i="13" s="1"/>
  <c r="P126" i="13" s="1"/>
  <c r="Q126" i="13" s="1"/>
  <c r="N294" i="13"/>
  <c r="O294" i="13" s="1"/>
  <c r="P294" i="13" s="1"/>
  <c r="Q294" i="13" s="1"/>
  <c r="N77" i="13"/>
  <c r="O77" i="13" s="1"/>
  <c r="P77" i="13" s="1"/>
  <c r="Q77" i="13" s="1"/>
  <c r="N281" i="13"/>
  <c r="O281" i="13" s="1"/>
  <c r="P281" i="13" s="1"/>
  <c r="Q281" i="13" s="1"/>
  <c r="N222" i="13"/>
  <c r="O222" i="13" s="1"/>
  <c r="P222" i="13" s="1"/>
  <c r="Q222" i="13" s="1"/>
  <c r="K222" i="25" s="1"/>
  <c r="L222" i="25" s="1"/>
  <c r="N222" i="25" s="1"/>
  <c r="N23" i="13"/>
  <c r="O23" i="13" s="1"/>
  <c r="P23" i="13" s="1"/>
  <c r="Q23" i="13" s="1"/>
  <c r="N247" i="13"/>
  <c r="O247" i="13" s="1"/>
  <c r="P247" i="13" s="1"/>
  <c r="Q247" i="13" s="1"/>
  <c r="K247" i="25" s="1"/>
  <c r="L247" i="25" s="1"/>
  <c r="N247" i="25" s="1"/>
  <c r="J135" i="12"/>
  <c r="J197" i="12"/>
  <c r="J203" i="12"/>
  <c r="J114" i="12"/>
  <c r="J240" i="12"/>
  <c r="J91" i="12"/>
  <c r="J124" i="12"/>
  <c r="J112" i="12"/>
  <c r="J299" i="12"/>
  <c r="J215" i="12"/>
  <c r="J193" i="12"/>
  <c r="N13" i="13"/>
  <c r="O13" i="13" s="1"/>
  <c r="P13" i="13" s="1"/>
  <c r="Q13" i="13" s="1"/>
  <c r="N255" i="13"/>
  <c r="O255" i="13" s="1"/>
  <c r="P255" i="13" s="1"/>
  <c r="Q255" i="13" s="1"/>
  <c r="N218" i="13"/>
  <c r="O218" i="13" s="1"/>
  <c r="P218" i="13" s="1"/>
  <c r="Q218" i="13" s="1"/>
  <c r="N261" i="13"/>
  <c r="O261" i="13" s="1"/>
  <c r="P261" i="13" s="1"/>
  <c r="Q261" i="13" s="1"/>
  <c r="N250" i="13"/>
  <c r="O250" i="13" s="1"/>
  <c r="P250" i="13" s="1"/>
  <c r="Q250" i="13" s="1"/>
  <c r="N22" i="13"/>
  <c r="O22" i="13" s="1"/>
  <c r="P22" i="13" s="1"/>
  <c r="Q22" i="13" s="1"/>
  <c r="K22" i="25" s="1"/>
  <c r="L22" i="25" s="1"/>
  <c r="N22" i="25" s="1"/>
  <c r="N40" i="13"/>
  <c r="O40" i="13" s="1"/>
  <c r="P40" i="13" s="1"/>
  <c r="Q40" i="13" s="1"/>
  <c r="K40" i="25" s="1"/>
  <c r="L40" i="25" s="1"/>
  <c r="N40" i="25" s="1"/>
  <c r="N309" i="13"/>
  <c r="O309" i="13" s="1"/>
  <c r="P309" i="13" s="1"/>
  <c r="Q309" i="13" s="1"/>
  <c r="K309" i="25" s="1"/>
  <c r="L309" i="25" s="1"/>
  <c r="N309" i="25" s="1"/>
  <c r="J12" i="12"/>
  <c r="J282" i="12"/>
  <c r="J158" i="12"/>
  <c r="J302" i="12"/>
  <c r="J57" i="12"/>
  <c r="J247" i="12"/>
  <c r="J139" i="12"/>
  <c r="J227" i="12"/>
  <c r="J165" i="12"/>
  <c r="J310" i="12"/>
  <c r="J42" i="12"/>
  <c r="J54" i="12"/>
  <c r="N33" i="13"/>
  <c r="O33" i="13" s="1"/>
  <c r="P33" i="13" s="1"/>
  <c r="Q33" i="13" s="1"/>
  <c r="N71" i="13"/>
  <c r="O71" i="13" s="1"/>
  <c r="P71" i="13" s="1"/>
  <c r="Q71" i="13" s="1"/>
  <c r="N251" i="13"/>
  <c r="O251" i="13" s="1"/>
  <c r="P251" i="13" s="1"/>
  <c r="Q251" i="13" s="1"/>
  <c r="N191" i="13"/>
  <c r="O191" i="13" s="1"/>
  <c r="P191" i="13" s="1"/>
  <c r="Q191" i="13" s="1"/>
  <c r="N11" i="13"/>
  <c r="O11" i="13" s="1"/>
  <c r="P11" i="13" s="1"/>
  <c r="Q11" i="13" s="1"/>
  <c r="N47" i="13"/>
  <c r="O47" i="13" s="1"/>
  <c r="P47" i="13" s="1"/>
  <c r="Q47" i="13" s="1"/>
  <c r="N82" i="13"/>
  <c r="O82" i="13" s="1"/>
  <c r="P82" i="13" s="1"/>
  <c r="Q82" i="13" s="1"/>
  <c r="N159" i="13"/>
  <c r="O159" i="13" s="1"/>
  <c r="P159" i="13" s="1"/>
  <c r="Q159" i="13" s="1"/>
  <c r="N92" i="13"/>
  <c r="O92" i="13" s="1"/>
  <c r="P92" i="13" s="1"/>
  <c r="Q92" i="13" s="1"/>
  <c r="K92" i="25" s="1"/>
  <c r="L92" i="25" s="1"/>
  <c r="N92" i="25" s="1"/>
  <c r="N113" i="13"/>
  <c r="O113" i="13" s="1"/>
  <c r="P113" i="13" s="1"/>
  <c r="Q113" i="13" s="1"/>
  <c r="K113" i="25" s="1"/>
  <c r="L113" i="25" s="1"/>
  <c r="N113" i="25" s="1"/>
  <c r="J231" i="12"/>
  <c r="N101" i="13"/>
  <c r="O101" i="13" s="1"/>
  <c r="P101" i="13" s="1"/>
  <c r="Q101" i="13" s="1"/>
  <c r="K101" i="25" s="1"/>
  <c r="L101" i="25" s="1"/>
  <c r="N101" i="25" s="1"/>
  <c r="N156" i="13"/>
  <c r="O156" i="13" s="1"/>
  <c r="P156" i="13" s="1"/>
  <c r="Q156" i="13" s="1"/>
  <c r="N10" i="13"/>
  <c r="O10" i="13" s="1"/>
  <c r="P10" i="13" s="1"/>
  <c r="Q10" i="13" s="1"/>
  <c r="N100" i="13"/>
  <c r="O100" i="13" s="1"/>
  <c r="P100" i="13" s="1"/>
  <c r="Q100" i="13" s="1"/>
  <c r="K100" i="25" s="1"/>
  <c r="L100" i="25" s="1"/>
  <c r="N100" i="25" s="1"/>
  <c r="N103" i="13"/>
  <c r="O103" i="13" s="1"/>
  <c r="P103" i="13" s="1"/>
  <c r="Q103" i="13" s="1"/>
  <c r="N37" i="13"/>
  <c r="O37" i="13" s="1"/>
  <c r="P37" i="13" s="1"/>
  <c r="Q37" i="13" s="1"/>
  <c r="N78" i="13"/>
  <c r="O78" i="13" s="1"/>
  <c r="P78" i="13" s="1"/>
  <c r="Q78" i="13" s="1"/>
  <c r="N36" i="13"/>
  <c r="O36" i="13" s="1"/>
  <c r="P36" i="13" s="1"/>
  <c r="Q36" i="13" s="1"/>
  <c r="N274" i="13"/>
  <c r="O274" i="13" s="1"/>
  <c r="P274" i="13" s="1"/>
  <c r="Q274" i="13" s="1"/>
  <c r="K274" i="25" s="1"/>
  <c r="L274" i="25" s="1"/>
  <c r="N274" i="25" s="1"/>
  <c r="N216" i="13"/>
  <c r="O216" i="13" s="1"/>
  <c r="P216" i="13" s="1"/>
  <c r="Q216" i="13" s="1"/>
  <c r="K216" i="25" s="1"/>
  <c r="L216" i="25" s="1"/>
  <c r="N216" i="25" s="1"/>
  <c r="N283" i="13"/>
  <c r="O283" i="13" s="1"/>
  <c r="P283" i="13" s="1"/>
  <c r="Q283" i="13" s="1"/>
  <c r="K283" i="25" s="1"/>
  <c r="L283" i="25" s="1"/>
  <c r="N283" i="25" s="1"/>
  <c r="J116" i="12"/>
  <c r="J252" i="12"/>
  <c r="J29" i="12"/>
  <c r="J305" i="12"/>
  <c r="J297" i="12"/>
  <c r="J179" i="12"/>
  <c r="J163" i="12"/>
  <c r="J125" i="12"/>
  <c r="J50" i="12"/>
  <c r="J168" i="12"/>
  <c r="J212" i="12"/>
  <c r="J44" i="12"/>
  <c r="N242" i="13"/>
  <c r="O242" i="13" s="1"/>
  <c r="P242" i="13" s="1"/>
  <c r="Q242" i="13" s="1"/>
  <c r="N198" i="13"/>
  <c r="O198" i="13" s="1"/>
  <c r="P198" i="13" s="1"/>
  <c r="Q198" i="13" s="1"/>
  <c r="N58" i="13"/>
  <c r="O58" i="13" s="1"/>
  <c r="P58" i="13" s="1"/>
  <c r="Q58" i="13" s="1"/>
  <c r="K58" i="25" s="1"/>
  <c r="L58" i="25" s="1"/>
  <c r="N58" i="25" s="1"/>
  <c r="N50" i="13"/>
  <c r="O50" i="13" s="1"/>
  <c r="P50" i="13" s="1"/>
  <c r="Q50" i="13" s="1"/>
  <c r="K50" i="25" s="1"/>
  <c r="L50" i="25" s="1"/>
  <c r="N50" i="25" s="1"/>
  <c r="N62" i="13"/>
  <c r="O62" i="13" s="1"/>
  <c r="P62" i="13" s="1"/>
  <c r="Q62" i="13" s="1"/>
  <c r="K62" i="25" s="1"/>
  <c r="L62" i="25" s="1"/>
  <c r="N62" i="25" s="1"/>
  <c r="N74" i="13"/>
  <c r="O74" i="13" s="1"/>
  <c r="P74" i="13" s="1"/>
  <c r="Q74" i="13" s="1"/>
  <c r="K74" i="25" s="1"/>
  <c r="L74" i="25" s="1"/>
  <c r="N74" i="25" s="1"/>
  <c r="J104" i="12"/>
  <c r="J222" i="12"/>
  <c r="J133" i="12"/>
  <c r="J100" i="12"/>
  <c r="J73" i="12"/>
  <c r="J102" i="12"/>
  <c r="J157" i="12"/>
  <c r="N25" i="13"/>
  <c r="O25" i="13" s="1"/>
  <c r="P25" i="13" s="1"/>
  <c r="Q25" i="13" s="1"/>
  <c r="K25" i="25" s="1"/>
  <c r="L25" i="25" s="1"/>
  <c r="N25" i="25" s="1"/>
  <c r="J77" i="12"/>
  <c r="N99" i="13"/>
  <c r="O99" i="13" s="1"/>
  <c r="P99" i="13" s="1"/>
  <c r="Q99" i="13" s="1"/>
  <c r="N182" i="13"/>
  <c r="O182" i="13" s="1"/>
  <c r="P182" i="13" s="1"/>
  <c r="Q182" i="13" s="1"/>
  <c r="N177" i="13"/>
  <c r="O177" i="13" s="1"/>
  <c r="P177" i="13" s="1"/>
  <c r="Q177" i="13" s="1"/>
  <c r="N55" i="13"/>
  <c r="O55" i="13" s="1"/>
  <c r="P55" i="13" s="1"/>
  <c r="Q55" i="13" s="1"/>
  <c r="N208" i="13"/>
  <c r="O208" i="13" s="1"/>
  <c r="P208" i="13" s="1"/>
  <c r="Q208" i="13" s="1"/>
  <c r="N225" i="13"/>
  <c r="O225" i="13" s="1"/>
  <c r="P225" i="13" s="1"/>
  <c r="Q225" i="13" s="1"/>
  <c r="N168" i="13"/>
  <c r="O168" i="13" s="1"/>
  <c r="P168" i="13" s="1"/>
  <c r="Q168" i="13" s="1"/>
  <c r="K168" i="25" s="1"/>
  <c r="L168" i="25" s="1"/>
  <c r="N168" i="25" s="1"/>
  <c r="N301" i="13"/>
  <c r="O301" i="13" s="1"/>
  <c r="P301" i="13" s="1"/>
  <c r="Q301" i="13" s="1"/>
  <c r="N88" i="13"/>
  <c r="O88" i="13" s="1"/>
  <c r="P88" i="13" s="1"/>
  <c r="Q88" i="13" s="1"/>
  <c r="K88" i="25" s="1"/>
  <c r="L88" i="25" s="1"/>
  <c r="N88" i="25" s="1"/>
  <c r="N54" i="13"/>
  <c r="O54" i="13" s="1"/>
  <c r="P54" i="13" s="1"/>
  <c r="Q54" i="13" s="1"/>
  <c r="K54" i="25" s="1"/>
  <c r="L54" i="25" s="1"/>
  <c r="N54" i="25" s="1"/>
  <c r="N46" i="13"/>
  <c r="O46" i="13" s="1"/>
  <c r="P46" i="13" s="1"/>
  <c r="Q46" i="13" s="1"/>
  <c r="K46" i="25" s="1"/>
  <c r="L46" i="25" s="1"/>
  <c r="N46" i="25" s="1"/>
  <c r="N237" i="13"/>
  <c r="O237" i="13" s="1"/>
  <c r="P237" i="13" s="1"/>
  <c r="Q237" i="13" s="1"/>
  <c r="K237" i="25" s="1"/>
  <c r="L237" i="25" s="1"/>
  <c r="N237" i="25" s="1"/>
  <c r="N148" i="13"/>
  <c r="O148" i="13" s="1"/>
  <c r="P148" i="13" s="1"/>
  <c r="Q148" i="13" s="1"/>
  <c r="K148" i="25" s="1"/>
  <c r="L148" i="25" s="1"/>
  <c r="N148" i="25" s="1"/>
  <c r="N179" i="13"/>
  <c r="O179" i="13" s="1"/>
  <c r="P179" i="13" s="1"/>
  <c r="Q179" i="13" s="1"/>
  <c r="K179" i="25" s="1"/>
  <c r="L179" i="25" s="1"/>
  <c r="N179" i="25" s="1"/>
  <c r="N253" i="13"/>
  <c r="O253" i="13" s="1"/>
  <c r="P253" i="13" s="1"/>
  <c r="Q253" i="13" s="1"/>
  <c r="K253" i="25" s="1"/>
  <c r="L253" i="25" s="1"/>
  <c r="N253" i="25" s="1"/>
  <c r="J141" i="12"/>
  <c r="J26" i="12"/>
  <c r="J204" i="12"/>
  <c r="J161" i="12"/>
  <c r="J75" i="12"/>
  <c r="J18" i="12"/>
  <c r="J127" i="12"/>
  <c r="J79" i="12"/>
  <c r="J81" i="12"/>
  <c r="J138" i="12"/>
  <c r="J25" i="12"/>
  <c r="J62" i="12"/>
  <c r="J258" i="12"/>
  <c r="J259" i="12"/>
  <c r="J164" i="12"/>
  <c r="J286" i="12"/>
  <c r="J246" i="12"/>
  <c r="J118" i="12"/>
  <c r="J183" i="12"/>
  <c r="J76" i="12"/>
  <c r="N49" i="13"/>
  <c r="O49" i="13" s="1"/>
  <c r="P49" i="13" s="1"/>
  <c r="Q49" i="13" s="1"/>
  <c r="J257" i="12"/>
  <c r="N158" i="13"/>
  <c r="O158" i="13" s="1"/>
  <c r="P158" i="13" s="1"/>
  <c r="Q158" i="13" s="1"/>
  <c r="K158" i="25" s="1"/>
  <c r="L158" i="25" s="1"/>
  <c r="N158" i="25" s="1"/>
  <c r="N272" i="13"/>
  <c r="O272" i="13" s="1"/>
  <c r="P272" i="13" s="1"/>
  <c r="Q272" i="13" s="1"/>
  <c r="K272" i="25" s="1"/>
  <c r="L272" i="25" s="1"/>
  <c r="N272" i="25" s="1"/>
  <c r="N227" i="13"/>
  <c r="O227" i="13" s="1"/>
  <c r="P227" i="13" s="1"/>
  <c r="Q227" i="13" s="1"/>
  <c r="K227" i="25" s="1"/>
  <c r="L227" i="25" s="1"/>
  <c r="N227" i="25" s="1"/>
  <c r="N295" i="13"/>
  <c r="O295" i="13" s="1"/>
  <c r="P295" i="13" s="1"/>
  <c r="Q295" i="13" s="1"/>
  <c r="N149" i="13"/>
  <c r="O149" i="13" s="1"/>
  <c r="P149" i="13" s="1"/>
  <c r="Q149" i="13" s="1"/>
  <c r="N186" i="13"/>
  <c r="O186" i="13" s="1"/>
  <c r="P186" i="13" s="1"/>
  <c r="Q186" i="13" s="1"/>
  <c r="N146" i="13"/>
  <c r="O146" i="13" s="1"/>
  <c r="P146" i="13" s="1"/>
  <c r="Q146" i="13" s="1"/>
  <c r="N180" i="13"/>
  <c r="O180" i="13" s="1"/>
  <c r="P180" i="13" s="1"/>
  <c r="Q180" i="13" s="1"/>
  <c r="N308" i="13"/>
  <c r="O308" i="13" s="1"/>
  <c r="P308" i="13" s="1"/>
  <c r="Q308" i="13" s="1"/>
  <c r="N213" i="13"/>
  <c r="O213" i="13" s="1"/>
  <c r="P213" i="13" s="1"/>
  <c r="Q213" i="13" s="1"/>
  <c r="N105" i="13"/>
  <c r="O105" i="13" s="1"/>
  <c r="P105" i="13" s="1"/>
  <c r="Q105" i="13" s="1"/>
  <c r="N206" i="13"/>
  <c r="O206" i="13" s="1"/>
  <c r="P206" i="13" s="1"/>
  <c r="Q206" i="13" s="1"/>
  <c r="N118" i="13"/>
  <c r="O118" i="13" s="1"/>
  <c r="P118" i="13" s="1"/>
  <c r="Q118" i="13" s="1"/>
  <c r="K118" i="25" s="1"/>
  <c r="L118" i="25" s="1"/>
  <c r="N118" i="25" s="1"/>
  <c r="N161" i="13"/>
  <c r="O161" i="13" s="1"/>
  <c r="P161" i="13" s="1"/>
  <c r="Q161" i="13" s="1"/>
  <c r="K161" i="25" s="1"/>
  <c r="L161" i="25" s="1"/>
  <c r="N161" i="25" s="1"/>
  <c r="N59" i="13"/>
  <c r="O59" i="13" s="1"/>
  <c r="P59" i="13" s="1"/>
  <c r="Q59" i="13" s="1"/>
  <c r="K59" i="25" s="1"/>
  <c r="L59" i="25" s="1"/>
  <c r="N59" i="25" s="1"/>
  <c r="N276" i="13"/>
  <c r="O276" i="13" s="1"/>
  <c r="P276" i="13" s="1"/>
  <c r="Q276" i="13" s="1"/>
  <c r="K276" i="25" s="1"/>
  <c r="L276" i="25" s="1"/>
  <c r="N276" i="25" s="1"/>
  <c r="N20" i="13"/>
  <c r="O20" i="13" s="1"/>
  <c r="P20" i="13" s="1"/>
  <c r="Q20" i="13" s="1"/>
  <c r="K20" i="25" s="1"/>
  <c r="L20" i="25" s="1"/>
  <c r="N20" i="25" s="1"/>
  <c r="N19" i="13"/>
  <c r="O19" i="13" s="1"/>
  <c r="P19" i="13" s="1"/>
  <c r="Q19" i="13" s="1"/>
  <c r="K19" i="25" s="1"/>
  <c r="L19" i="25" s="1"/>
  <c r="N19" i="25" s="1"/>
  <c r="J8" i="12"/>
  <c r="J45" i="12"/>
  <c r="N185" i="13"/>
  <c r="O185" i="13" s="1"/>
  <c r="P185" i="13" s="1"/>
  <c r="Q185" i="13" s="1"/>
  <c r="N258" i="13"/>
  <c r="O258" i="13" s="1"/>
  <c r="P258" i="13" s="1"/>
  <c r="Q258" i="13" s="1"/>
  <c r="K258" i="25" s="1"/>
  <c r="L258" i="25" s="1"/>
  <c r="N258" i="25" s="1"/>
  <c r="N224" i="13"/>
  <c r="O224" i="13" s="1"/>
  <c r="P224" i="13" s="1"/>
  <c r="Q224" i="13" s="1"/>
  <c r="N91" i="13"/>
  <c r="O91" i="13" s="1"/>
  <c r="P91" i="13" s="1"/>
  <c r="Q91" i="13" s="1"/>
  <c r="K91" i="25" s="1"/>
  <c r="L91" i="25" s="1"/>
  <c r="N91" i="25" s="1"/>
  <c r="N67" i="13"/>
  <c r="O67" i="13" s="1"/>
  <c r="P67" i="13" s="1"/>
  <c r="Q67" i="13" s="1"/>
  <c r="N173" i="13"/>
  <c r="O173" i="13" s="1"/>
  <c r="P173" i="13" s="1"/>
  <c r="Q173" i="13" s="1"/>
  <c r="N142" i="13"/>
  <c r="O142" i="13" s="1"/>
  <c r="P142" i="13" s="1"/>
  <c r="Q142" i="13" s="1"/>
  <c r="N141" i="13"/>
  <c r="O141" i="13" s="1"/>
  <c r="P141" i="13" s="1"/>
  <c r="Q141" i="13" s="1"/>
  <c r="N72" i="13"/>
  <c r="O72" i="13" s="1"/>
  <c r="P72" i="13" s="1"/>
  <c r="Q72" i="13" s="1"/>
  <c r="K72" i="25" s="1"/>
  <c r="L72" i="25" s="1"/>
  <c r="N72" i="25" s="1"/>
  <c r="N139" i="13"/>
  <c r="O139" i="13" s="1"/>
  <c r="P139" i="13" s="1"/>
  <c r="Q139" i="13" s="1"/>
  <c r="K139" i="25" s="1"/>
  <c r="L139" i="25" s="1"/>
  <c r="N139" i="25" s="1"/>
  <c r="N189" i="13"/>
  <c r="O189" i="13" s="1"/>
  <c r="P189" i="13" s="1"/>
  <c r="Q189" i="13" s="1"/>
  <c r="K189" i="25" s="1"/>
  <c r="L189" i="25" s="1"/>
  <c r="N189" i="25" s="1"/>
  <c r="N203" i="13"/>
  <c r="O203" i="13" s="1"/>
  <c r="P203" i="13" s="1"/>
  <c r="Q203" i="13" s="1"/>
  <c r="K203" i="25" s="1"/>
  <c r="L203" i="25" s="1"/>
  <c r="N203" i="25" s="1"/>
  <c r="N21" i="13"/>
  <c r="O21" i="13" s="1"/>
  <c r="P21" i="13" s="1"/>
  <c r="Q21" i="13" s="1"/>
  <c r="K21" i="25" s="1"/>
  <c r="L21" i="25" s="1"/>
  <c r="N21" i="25" s="1"/>
  <c r="N257" i="13"/>
  <c r="O257" i="13" s="1"/>
  <c r="P257" i="13" s="1"/>
  <c r="Q257" i="13" s="1"/>
  <c r="K257" i="25" s="1"/>
  <c r="L257" i="25" s="1"/>
  <c r="N257" i="25" s="1"/>
  <c r="N97" i="13"/>
  <c r="O97" i="13" s="1"/>
  <c r="P97" i="13" s="1"/>
  <c r="Q97" i="13" s="1"/>
  <c r="K97" i="25" s="1"/>
  <c r="L97" i="25" s="1"/>
  <c r="N97" i="25" s="1"/>
  <c r="J213" i="12"/>
  <c r="J61" i="12"/>
  <c r="J175" i="12"/>
  <c r="J162" i="12"/>
  <c r="J113" i="12"/>
  <c r="J214" i="12"/>
  <c r="J87" i="12"/>
  <c r="N34" i="13"/>
  <c r="O34" i="13" s="1"/>
  <c r="P34" i="13" s="1"/>
  <c r="Q34" i="13" s="1"/>
  <c r="N143" i="13"/>
  <c r="O143" i="13" s="1"/>
  <c r="P143" i="13" s="1"/>
  <c r="Q143" i="13" s="1"/>
  <c r="K143" i="25" s="1"/>
  <c r="L143" i="25" s="1"/>
  <c r="N143" i="25" s="1"/>
  <c r="N76" i="13"/>
  <c r="O76" i="13" s="1"/>
  <c r="P76" i="13" s="1"/>
  <c r="Q76" i="13" s="1"/>
  <c r="N108" i="13"/>
  <c r="O108" i="13" s="1"/>
  <c r="P108" i="13" s="1"/>
  <c r="Q108" i="13" s="1"/>
  <c r="N16" i="13"/>
  <c r="O16" i="13" s="1"/>
  <c r="P16" i="13" s="1"/>
  <c r="Q16" i="13" s="1"/>
  <c r="N312" i="13"/>
  <c r="O312" i="13" s="1"/>
  <c r="P312" i="13" s="1"/>
  <c r="Q312" i="13" s="1"/>
  <c r="N131" i="13"/>
  <c r="O131" i="13" s="1"/>
  <c r="P131" i="13" s="1"/>
  <c r="Q131" i="13" s="1"/>
  <c r="N212" i="13"/>
  <c r="O212" i="13" s="1"/>
  <c r="P212" i="13" s="1"/>
  <c r="Q212" i="13" s="1"/>
  <c r="N106" i="13"/>
  <c r="O106" i="13" s="1"/>
  <c r="P106" i="13" s="1"/>
  <c r="Q106" i="13" s="1"/>
  <c r="K106" i="25" s="1"/>
  <c r="L106" i="25" s="1"/>
  <c r="N106" i="25" s="1"/>
  <c r="N28" i="13"/>
  <c r="O28" i="13" s="1"/>
  <c r="P28" i="13" s="1"/>
  <c r="Q28" i="13" s="1"/>
  <c r="K28" i="25" s="1"/>
  <c r="L28" i="25" s="1"/>
  <c r="N28" i="25" s="1"/>
  <c r="N210" i="13"/>
  <c r="O210" i="13" s="1"/>
  <c r="P210" i="13" s="1"/>
  <c r="Q210" i="13" s="1"/>
  <c r="N155" i="13"/>
  <c r="O155" i="13" s="1"/>
  <c r="P155" i="13" s="1"/>
  <c r="Q155" i="13" s="1"/>
  <c r="K155" i="25" s="1"/>
  <c r="L155" i="25" s="1"/>
  <c r="N155" i="25" s="1"/>
  <c r="J80" i="12"/>
  <c r="J38" i="12"/>
  <c r="J92" i="12"/>
  <c r="J140" i="12"/>
  <c r="J229" i="12"/>
  <c r="J130" i="12"/>
  <c r="J300" i="12"/>
  <c r="J289" i="12"/>
  <c r="J96" i="12"/>
  <c r="J185" i="12"/>
  <c r="J97" i="12"/>
  <c r="J254" i="12"/>
  <c r="J205" i="12"/>
  <c r="J33" i="12"/>
  <c r="N207" i="13"/>
  <c r="O207" i="13" s="1"/>
  <c r="P207" i="13" s="1"/>
  <c r="Q207" i="13" s="1"/>
  <c r="N122" i="13"/>
  <c r="O122" i="13" s="1"/>
  <c r="P122" i="13" s="1"/>
  <c r="Q122" i="13" s="1"/>
  <c r="K87" i="25"/>
  <c r="L87" i="25" s="1"/>
  <c r="N87" i="25" s="1"/>
  <c r="N52" i="13"/>
  <c r="O52" i="13" s="1"/>
  <c r="P52" i="13" s="1"/>
  <c r="Q52" i="13" s="1"/>
  <c r="N12" i="13"/>
  <c r="O12" i="13" s="1"/>
  <c r="P12" i="13" s="1"/>
  <c r="Q12" i="13" s="1"/>
  <c r="N85" i="13"/>
  <c r="O85" i="13" s="1"/>
  <c r="P85" i="13" s="1"/>
  <c r="Q85" i="13" s="1"/>
  <c r="N135" i="13"/>
  <c r="O135" i="13" s="1"/>
  <c r="P135" i="13" s="1"/>
  <c r="Q135" i="13" s="1"/>
  <c r="K45" i="25"/>
  <c r="L45" i="25" s="1"/>
  <c r="N45" i="25" s="1"/>
  <c r="K144" i="25"/>
  <c r="L144" i="25" s="1"/>
  <c r="N144" i="25" s="1"/>
  <c r="N246" i="13"/>
  <c r="O246" i="13" s="1"/>
  <c r="P246" i="13" s="1"/>
  <c r="Q246" i="13" s="1"/>
  <c r="N150" i="13"/>
  <c r="O150" i="13" s="1"/>
  <c r="P150" i="13" s="1"/>
  <c r="Q150" i="13" s="1"/>
  <c r="K209" i="25"/>
  <c r="L209" i="25" s="1"/>
  <c r="N209" i="25" s="1"/>
  <c r="N256" i="13"/>
  <c r="O256" i="13" s="1"/>
  <c r="P256" i="13" s="1"/>
  <c r="Q256" i="13" s="1"/>
  <c r="N123" i="13"/>
  <c r="O123" i="13" s="1"/>
  <c r="P123" i="13" s="1"/>
  <c r="Q123" i="13" s="1"/>
  <c r="J47" i="12"/>
  <c r="J233" i="12"/>
  <c r="J63" i="12"/>
  <c r="J249" i="12"/>
  <c r="J55" i="12"/>
  <c r="J13" i="12"/>
  <c r="J88" i="12"/>
  <c r="J37" i="12"/>
  <c r="N201" i="13"/>
  <c r="O201" i="13" s="1"/>
  <c r="P201" i="13" s="1"/>
  <c r="Q201" i="13" s="1"/>
  <c r="N162" i="13"/>
  <c r="O162" i="13" s="1"/>
  <c r="P162" i="13" s="1"/>
  <c r="Q162" i="13" s="1"/>
  <c r="N292" i="13"/>
  <c r="O292" i="13" s="1"/>
  <c r="P292" i="13" s="1"/>
  <c r="Q292" i="13" s="1"/>
  <c r="N259" i="13"/>
  <c r="O259" i="13" s="1"/>
  <c r="P259" i="13" s="1"/>
  <c r="Q259" i="13" s="1"/>
  <c r="N205" i="13"/>
  <c r="O205" i="13" s="1"/>
  <c r="P205" i="13" s="1"/>
  <c r="Q205" i="13" s="1"/>
  <c r="N73" i="13"/>
  <c r="O73" i="13" s="1"/>
  <c r="P73" i="13" s="1"/>
  <c r="Q73" i="13" s="1"/>
  <c r="N57" i="13"/>
  <c r="O57" i="13" s="1"/>
  <c r="P57" i="13" s="1"/>
  <c r="Q57" i="13" s="1"/>
  <c r="N30" i="13"/>
  <c r="O30" i="13" s="1"/>
  <c r="P30" i="13" s="1"/>
  <c r="Q30" i="13" s="1"/>
  <c r="N176" i="13"/>
  <c r="O176" i="13" s="1"/>
  <c r="P176" i="13" s="1"/>
  <c r="Q176" i="13" s="1"/>
  <c r="N39" i="13"/>
  <c r="O39" i="13" s="1"/>
  <c r="P39" i="13" s="1"/>
  <c r="Q39" i="13" s="1"/>
  <c r="K268" i="25"/>
  <c r="L268" i="25" s="1"/>
  <c r="N268" i="25" s="1"/>
  <c r="N275" i="13"/>
  <c r="O275" i="13" s="1"/>
  <c r="P275" i="13" s="1"/>
  <c r="Q275" i="13" s="1"/>
  <c r="N277" i="13"/>
  <c r="O277" i="13" s="1"/>
  <c r="P277" i="13" s="1"/>
  <c r="Q277" i="13" s="1"/>
  <c r="K232" i="25"/>
  <c r="L232" i="25" s="1"/>
  <c r="N232" i="25" s="1"/>
  <c r="N266" i="13"/>
  <c r="O266" i="13" s="1"/>
  <c r="P266" i="13" s="1"/>
  <c r="Q266" i="13" s="1"/>
  <c r="N70" i="13"/>
  <c r="O70" i="13" s="1"/>
  <c r="P70" i="13" s="1"/>
  <c r="Q70" i="13" s="1"/>
  <c r="N194" i="13"/>
  <c r="O194" i="13" s="1"/>
  <c r="P194" i="13" s="1"/>
  <c r="Q194" i="13" s="1"/>
  <c r="N239" i="13"/>
  <c r="O239" i="13" s="1"/>
  <c r="P239" i="13" s="1"/>
  <c r="Q239" i="13" s="1"/>
  <c r="N293" i="13"/>
  <c r="O293" i="13" s="1"/>
  <c r="P293" i="13" s="1"/>
  <c r="Q293" i="13" s="1"/>
  <c r="N9" i="13"/>
  <c r="O9" i="13" s="1"/>
  <c r="P9" i="13" s="1"/>
  <c r="Q9" i="13" s="1"/>
  <c r="N238" i="13"/>
  <c r="O238" i="13" s="1"/>
  <c r="P238" i="13" s="1"/>
  <c r="Q238" i="13" s="1"/>
  <c r="N145" i="13"/>
  <c r="O145" i="13" s="1"/>
  <c r="P145" i="13" s="1"/>
  <c r="Q145" i="13" s="1"/>
  <c r="N262" i="13"/>
  <c r="O262" i="13" s="1"/>
  <c r="P262" i="13" s="1"/>
  <c r="Q262" i="13" s="1"/>
  <c r="N273" i="13"/>
  <c r="O273" i="13" s="1"/>
  <c r="P273" i="13" s="1"/>
  <c r="Q273" i="13" s="1"/>
  <c r="N271" i="13"/>
  <c r="O271" i="13" s="1"/>
  <c r="P271" i="13" s="1"/>
  <c r="Q271" i="13" s="1"/>
  <c r="N114" i="13"/>
  <c r="O114" i="13" s="1"/>
  <c r="P114" i="13" s="1"/>
  <c r="Q114" i="13" s="1"/>
  <c r="N285" i="13"/>
  <c r="O285" i="13" s="1"/>
  <c r="P285" i="13" s="1"/>
  <c r="Q285" i="13" s="1"/>
  <c r="J6" i="12"/>
  <c r="J78" i="12"/>
  <c r="J248" i="12"/>
  <c r="J189" i="12"/>
  <c r="J255" i="12"/>
  <c r="J230" i="12"/>
  <c r="J265" i="12"/>
  <c r="J72" i="12"/>
  <c r="J84" i="12"/>
  <c r="J201" i="12"/>
  <c r="J51" i="12"/>
  <c r="J111" i="12"/>
  <c r="J194" i="12"/>
  <c r="J200" i="12"/>
  <c r="J264" i="12"/>
  <c r="J121" i="12"/>
  <c r="J237" i="12"/>
  <c r="J253" i="12"/>
  <c r="J304" i="12"/>
  <c r="J220" i="12"/>
  <c r="J119" i="12"/>
  <c r="J234" i="12"/>
  <c r="J239" i="12"/>
  <c r="J238" i="12"/>
  <c r="J10" i="12"/>
  <c r="J295" i="12"/>
  <c r="J177" i="12"/>
  <c r="J34" i="12"/>
  <c r="J206" i="12"/>
  <c r="J9" i="12"/>
  <c r="J83" i="12"/>
  <c r="J288" i="12"/>
  <c r="J107" i="12"/>
  <c r="J167" i="12"/>
  <c r="J134" i="12"/>
  <c r="J69" i="12"/>
  <c r="J180" i="12"/>
  <c r="J271" i="12"/>
  <c r="J68" i="12"/>
  <c r="J216" i="12"/>
  <c r="J290" i="12"/>
  <c r="J191" i="12"/>
  <c r="J272" i="12"/>
  <c r="J152" i="12"/>
  <c r="J122" i="12"/>
  <c r="J103" i="12"/>
  <c r="J94" i="12"/>
  <c r="J269" i="12"/>
  <c r="J261" i="12"/>
  <c r="J147" i="12"/>
  <c r="J262" i="12"/>
  <c r="J64" i="12"/>
  <c r="J171" i="12"/>
  <c r="J105" i="12"/>
  <c r="J123" i="12"/>
  <c r="J89" i="12"/>
  <c r="J43" i="12"/>
  <c r="J225" i="12"/>
  <c r="J312" i="12"/>
  <c r="J117" i="12"/>
  <c r="J244" i="12"/>
  <c r="J188" i="12"/>
  <c r="J245" i="12"/>
  <c r="J11" i="12"/>
  <c r="J268" i="12"/>
  <c r="J28" i="12"/>
  <c r="J276" i="12"/>
  <c r="J109" i="12"/>
  <c r="J173" i="12"/>
  <c r="J52" i="12"/>
  <c r="J149" i="12"/>
  <c r="J172" i="12"/>
  <c r="J202" i="12"/>
  <c r="J31" i="12"/>
  <c r="J150" i="12"/>
  <c r="N48" i="13"/>
  <c r="O48" i="13" s="1"/>
  <c r="P48" i="13" s="1"/>
  <c r="Q48" i="13" s="1"/>
  <c r="N89" i="13"/>
  <c r="O89" i="13" s="1"/>
  <c r="P89" i="13" s="1"/>
  <c r="Q89" i="13" s="1"/>
  <c r="N38" i="13"/>
  <c r="O38" i="13" s="1"/>
  <c r="P38" i="13" s="1"/>
  <c r="Q38" i="13" s="1"/>
  <c r="N202" i="13"/>
  <c r="O202" i="13" s="1"/>
  <c r="P202" i="13" s="1"/>
  <c r="Q202" i="13" s="1"/>
  <c r="N269" i="13"/>
  <c r="O269" i="13" s="1"/>
  <c r="P269" i="13" s="1"/>
  <c r="Q269" i="13" s="1"/>
  <c r="N190" i="13"/>
  <c r="O190" i="13" s="1"/>
  <c r="P190" i="13" s="1"/>
  <c r="Q190" i="13" s="1"/>
  <c r="N110" i="13"/>
  <c r="O110" i="13" s="1"/>
  <c r="P110" i="13" s="1"/>
  <c r="Q110" i="13" s="1"/>
  <c r="N7" i="13"/>
  <c r="O7" i="13" s="1"/>
  <c r="P7" i="13" s="1"/>
  <c r="Q7" i="13" s="1"/>
  <c r="N234" i="13"/>
  <c r="O234" i="13" s="1"/>
  <c r="P234" i="13" s="1"/>
  <c r="Q234" i="13" s="1"/>
  <c r="N153" i="13"/>
  <c r="O153" i="13" s="1"/>
  <c r="P153" i="13" s="1"/>
  <c r="Q153" i="13" s="1"/>
  <c r="N236" i="13"/>
  <c r="O236" i="13" s="1"/>
  <c r="P236" i="13" s="1"/>
  <c r="Q236" i="13" s="1"/>
  <c r="N270" i="13"/>
  <c r="O270" i="13" s="1"/>
  <c r="P270" i="13" s="1"/>
  <c r="Q270" i="13" s="1"/>
  <c r="N214" i="13"/>
  <c r="O214" i="13" s="1"/>
  <c r="P214" i="13" s="1"/>
  <c r="Q214" i="13" s="1"/>
  <c r="N231" i="13"/>
  <c r="O231" i="13" s="1"/>
  <c r="P231" i="13" s="1"/>
  <c r="Q231" i="13" s="1"/>
  <c r="N166" i="13"/>
  <c r="O166" i="13" s="1"/>
  <c r="P166" i="13" s="1"/>
  <c r="Q166" i="13" s="1"/>
  <c r="N174" i="13"/>
  <c r="O174" i="13" s="1"/>
  <c r="P174" i="13" s="1"/>
  <c r="Q174" i="13" s="1"/>
  <c r="N290" i="13"/>
  <c r="O290" i="13" s="1"/>
  <c r="P290" i="13" s="1"/>
  <c r="Q290" i="13" s="1"/>
  <c r="N124" i="13"/>
  <c r="O124" i="13" s="1"/>
  <c r="P124" i="13" s="1"/>
  <c r="Q124" i="13" s="1"/>
  <c r="N178" i="13"/>
  <c r="O178" i="13" s="1"/>
  <c r="P178" i="13" s="1"/>
  <c r="Q178" i="13" s="1"/>
  <c r="K267" i="25"/>
  <c r="L267" i="25" s="1"/>
  <c r="N267" i="25" s="1"/>
  <c r="N115" i="13"/>
  <c r="O115" i="13" s="1"/>
  <c r="P115" i="13" s="1"/>
  <c r="Q115" i="13" s="1"/>
  <c r="N26" i="13"/>
  <c r="O26" i="13" s="1"/>
  <c r="P26" i="13" s="1"/>
  <c r="Q26" i="13" s="1"/>
  <c r="N249" i="13"/>
  <c r="O249" i="13" s="1"/>
  <c r="P249" i="13" s="1"/>
  <c r="Q249" i="13" s="1"/>
  <c r="J16" i="12"/>
  <c r="J56" i="12"/>
  <c r="K95" i="25"/>
  <c r="L95" i="25" s="1"/>
  <c r="N95" i="25" s="1"/>
  <c r="N69" i="13"/>
  <c r="O69" i="13" s="1"/>
  <c r="P69" i="13" s="1"/>
  <c r="Q69" i="13" s="1"/>
  <c r="K147" i="25"/>
  <c r="L147" i="25" s="1"/>
  <c r="N147" i="25" s="1"/>
  <c r="N56" i="13"/>
  <c r="O56" i="13" s="1"/>
  <c r="P56" i="13" s="1"/>
  <c r="Q56" i="13" s="1"/>
  <c r="N90" i="13"/>
  <c r="O90" i="13" s="1"/>
  <c r="P90" i="13" s="1"/>
  <c r="Q90" i="13" s="1"/>
  <c r="K90" i="25" s="1"/>
  <c r="L90" i="25" s="1"/>
  <c r="N90" i="25" s="1"/>
  <c r="N310" i="13"/>
  <c r="O310" i="13" s="1"/>
  <c r="P310" i="13" s="1"/>
  <c r="Q310" i="13" s="1"/>
  <c r="N44" i="13"/>
  <c r="O44" i="13" s="1"/>
  <c r="P44" i="13" s="1"/>
  <c r="Q44" i="13" s="1"/>
  <c r="N172" i="13"/>
  <c r="O172" i="13" s="1"/>
  <c r="P172" i="13" s="1"/>
  <c r="Q172" i="13" s="1"/>
  <c r="N289" i="13"/>
  <c r="O289" i="13" s="1"/>
  <c r="P289" i="13" s="1"/>
  <c r="Q289" i="13" s="1"/>
  <c r="N65" i="13"/>
  <c r="O65" i="13" s="1"/>
  <c r="P65" i="13" s="1"/>
  <c r="Q65" i="13" s="1"/>
  <c r="N192" i="13"/>
  <c r="O192" i="13" s="1"/>
  <c r="P192" i="13" s="1"/>
  <c r="Q192" i="13" s="1"/>
  <c r="N116" i="13"/>
  <c r="O116" i="13" s="1"/>
  <c r="P116" i="13" s="1"/>
  <c r="Q116" i="13" s="1"/>
  <c r="K220" i="25"/>
  <c r="L220" i="25" s="1"/>
  <c r="N220" i="25" s="1"/>
  <c r="N32" i="13"/>
  <c r="O32" i="13" s="1"/>
  <c r="P32" i="13" s="1"/>
  <c r="Q32" i="13" s="1"/>
  <c r="N84" i="13"/>
  <c r="O84" i="13" s="1"/>
  <c r="P84" i="13" s="1"/>
  <c r="Q84" i="13" s="1"/>
  <c r="N298" i="13"/>
  <c r="O298" i="13" s="1"/>
  <c r="P298" i="13" s="1"/>
  <c r="Q298" i="13" s="1"/>
  <c r="N125" i="13"/>
  <c r="O125" i="13" s="1"/>
  <c r="P125" i="13" s="1"/>
  <c r="Q125" i="13" s="1"/>
  <c r="N104" i="13"/>
  <c r="O104" i="13" s="1"/>
  <c r="P104" i="13" s="1"/>
  <c r="Q104" i="13" s="1"/>
  <c r="N263" i="13"/>
  <c r="O263" i="13" s="1"/>
  <c r="P263" i="13" s="1"/>
  <c r="Q263" i="13" s="1"/>
  <c r="N235" i="13"/>
  <c r="O235" i="13" s="1"/>
  <c r="P235" i="13" s="1"/>
  <c r="Q235" i="13" s="1"/>
  <c r="N226" i="13"/>
  <c r="O226" i="13" s="1"/>
  <c r="P226" i="13" s="1"/>
  <c r="Q226" i="13" s="1"/>
  <c r="N240" i="13"/>
  <c r="O240" i="13" s="1"/>
  <c r="P240" i="13" s="1"/>
  <c r="Q240" i="13" s="1"/>
  <c r="N136" i="13"/>
  <c r="O136" i="13" s="1"/>
  <c r="P136" i="13" s="1"/>
  <c r="Q136" i="13" s="1"/>
  <c r="N221" i="13"/>
  <c r="O221" i="13" s="1"/>
  <c r="P221" i="13" s="1"/>
  <c r="Q221" i="13" s="1"/>
  <c r="N79" i="13"/>
  <c r="O79" i="13" s="1"/>
  <c r="P79" i="13" s="1"/>
  <c r="Q79" i="13" s="1"/>
  <c r="N24" i="13"/>
  <c r="O24" i="13" s="1"/>
  <c r="P24" i="13" s="1"/>
  <c r="Q24" i="13" s="1"/>
  <c r="N63" i="13"/>
  <c r="O63" i="13" s="1"/>
  <c r="P63" i="13" s="1"/>
  <c r="Q63" i="13" s="1"/>
  <c r="N217" i="13"/>
  <c r="O217" i="13" s="1"/>
  <c r="P217" i="13" s="1"/>
  <c r="Q217" i="13" s="1"/>
  <c r="N305" i="13"/>
  <c r="O305" i="13" s="1"/>
  <c r="P305" i="13" s="1"/>
  <c r="Q305" i="13" s="1"/>
  <c r="N107" i="13"/>
  <c r="O107" i="13" s="1"/>
  <c r="P107" i="13" s="1"/>
  <c r="Q107" i="13" s="1"/>
  <c r="N61" i="13"/>
  <c r="O61" i="13" s="1"/>
  <c r="P61" i="13" s="1"/>
  <c r="Q61" i="13" s="1"/>
  <c r="N14" i="13"/>
  <c r="O14" i="13" s="1"/>
  <c r="P14" i="13" s="1"/>
  <c r="Q14" i="13" s="1"/>
  <c r="N223" i="13"/>
  <c r="O223" i="13" s="1"/>
  <c r="P223" i="13" s="1"/>
  <c r="Q223" i="13" s="1"/>
  <c r="N204" i="13"/>
  <c r="O204" i="13" s="1"/>
  <c r="P204" i="13" s="1"/>
  <c r="Q204" i="13" s="1"/>
  <c r="N286" i="13"/>
  <c r="O286" i="13" s="1"/>
  <c r="P286" i="13" s="1"/>
  <c r="Q286" i="13" s="1"/>
  <c r="N296" i="13"/>
  <c r="O296" i="13" s="1"/>
  <c r="P296" i="13" s="1"/>
  <c r="Q296" i="13" s="1"/>
  <c r="N133" i="13"/>
  <c r="O133" i="13" s="1"/>
  <c r="P133" i="13" s="1"/>
  <c r="Q133" i="13" s="1"/>
  <c r="N41" i="13"/>
  <c r="O41" i="13" s="1"/>
  <c r="P41" i="13" s="1"/>
  <c r="Q41" i="13" s="1"/>
  <c r="N130" i="13"/>
  <c r="O130" i="13" s="1"/>
  <c r="P130" i="13" s="1"/>
  <c r="Q130" i="13" s="1"/>
  <c r="N248" i="13"/>
  <c r="O248" i="13" s="1"/>
  <c r="P248" i="13" s="1"/>
  <c r="Q248" i="13" s="1"/>
  <c r="N265" i="13"/>
  <c r="O265" i="13" s="1"/>
  <c r="P265" i="13" s="1"/>
  <c r="Q265" i="13" s="1"/>
  <c r="N151" i="13"/>
  <c r="O151" i="13" s="1"/>
  <c r="P151" i="13" s="1"/>
  <c r="Q151" i="13" s="1"/>
  <c r="N66" i="13"/>
  <c r="O66" i="13" s="1"/>
  <c r="P66" i="13" s="1"/>
  <c r="Q66" i="13" s="1"/>
  <c r="K127" i="25"/>
  <c r="L127" i="25" s="1"/>
  <c r="N127" i="25" s="1"/>
  <c r="N27" i="13"/>
  <c r="O27" i="13" s="1"/>
  <c r="P27" i="13" s="1"/>
  <c r="Q27" i="13" s="1"/>
  <c r="N163" i="13"/>
  <c r="O163" i="13" s="1"/>
  <c r="P163" i="13" s="1"/>
  <c r="Q163" i="13" s="1"/>
  <c r="K163" i="25" s="1"/>
  <c r="L163" i="25" s="1"/>
  <c r="N163" i="25" s="1"/>
  <c r="J71" i="12"/>
  <c r="J279" i="12"/>
  <c r="J178" i="12"/>
  <c r="J207" i="12"/>
  <c r="J95" i="12"/>
  <c r="J199" i="12"/>
  <c r="J166" i="12"/>
  <c r="J58" i="12"/>
  <c r="J236" i="12"/>
  <c r="J301" i="12"/>
  <c r="J209" i="12"/>
  <c r="J211" i="12"/>
  <c r="J142" i="12"/>
  <c r="J250" i="12"/>
  <c r="J70" i="12"/>
  <c r="J154" i="12"/>
  <c r="J241" i="12"/>
  <c r="J270" i="12"/>
  <c r="J210" i="12"/>
  <c r="J218" i="12"/>
  <c r="J182" i="12"/>
  <c r="J110" i="12"/>
  <c r="J128" i="12"/>
  <c r="J24" i="12"/>
  <c r="J67" i="12"/>
  <c r="J273" i="12"/>
  <c r="J169" i="12"/>
  <c r="J303" i="12"/>
  <c r="J280" i="12"/>
  <c r="J155" i="12"/>
  <c r="J176" i="12"/>
  <c r="J284" i="12"/>
  <c r="J243" i="12"/>
  <c r="J53" i="12"/>
  <c r="J219" i="12"/>
  <c r="J32" i="12"/>
  <c r="J187" i="12"/>
  <c r="J311" i="12"/>
  <c r="J146" i="12"/>
  <c r="J98" i="12"/>
  <c r="J20" i="12"/>
  <c r="J48" i="12"/>
  <c r="J198" i="12"/>
  <c r="J126" i="12"/>
  <c r="J224" i="12"/>
  <c r="J267" i="12"/>
  <c r="J196" i="12"/>
  <c r="J263" i="12"/>
  <c r="J22" i="12"/>
  <c r="J266" i="12"/>
  <c r="J293" i="12"/>
  <c r="J260" i="12"/>
  <c r="J256" i="12"/>
  <c r="J7" i="12"/>
  <c r="J170" i="12"/>
  <c r="J36" i="12"/>
  <c r="J137" i="12"/>
  <c r="J308" i="12"/>
  <c r="J99" i="12"/>
  <c r="J151" i="12"/>
  <c r="J294" i="12"/>
  <c r="J85" i="12"/>
  <c r="J156" i="12"/>
  <c r="J298" i="12"/>
  <c r="J35" i="12"/>
  <c r="J153" i="12"/>
  <c r="J136" i="12"/>
  <c r="J101" i="12"/>
  <c r="J15" i="12"/>
  <c r="J82" i="12"/>
  <c r="J278" i="12"/>
  <c r="J208" i="12"/>
  <c r="J275" i="12"/>
  <c r="K284" i="25"/>
  <c r="L284" i="25" s="1"/>
  <c r="N284" i="25" s="1"/>
  <c r="K306" i="25"/>
  <c r="L306" i="25" s="1"/>
  <c r="N306" i="25" s="1"/>
  <c r="N35" i="13"/>
  <c r="O35" i="13" s="1"/>
  <c r="P35" i="13" s="1"/>
  <c r="Q35" i="13" s="1"/>
  <c r="N80" i="13"/>
  <c r="O80" i="13" s="1"/>
  <c r="P80" i="13" s="1"/>
  <c r="Q80" i="13" s="1"/>
  <c r="N230" i="13"/>
  <c r="O230" i="13" s="1"/>
  <c r="P230" i="13" s="1"/>
  <c r="Q230" i="13" s="1"/>
  <c r="N313" i="13"/>
  <c r="O313" i="13" s="1"/>
  <c r="P313" i="13" s="1"/>
  <c r="Q313" i="13" s="1"/>
  <c r="K83" i="25"/>
  <c r="L83" i="25" s="1"/>
  <c r="N83" i="25" s="1"/>
  <c r="N193" i="13"/>
  <c r="O193" i="13" s="1"/>
  <c r="P193" i="13" s="1"/>
  <c r="Q193" i="13" s="1"/>
  <c r="N132" i="13"/>
  <c r="O132" i="13" s="1"/>
  <c r="P132" i="13" s="1"/>
  <c r="Q132" i="13" s="1"/>
  <c r="K68" i="25"/>
  <c r="L68" i="25" s="1"/>
  <c r="N68" i="25" s="1"/>
  <c r="N300" i="13"/>
  <c r="O300" i="13" s="1"/>
  <c r="P300" i="13" s="1"/>
  <c r="Q300" i="13" s="1"/>
  <c r="N120" i="13"/>
  <c r="O120" i="13" s="1"/>
  <c r="P120" i="13" s="1"/>
  <c r="Q120" i="13" s="1"/>
  <c r="N252" i="13"/>
  <c r="O252" i="13" s="1"/>
  <c r="P252" i="13" s="1"/>
  <c r="Q252" i="13" s="1"/>
  <c r="N29" i="13"/>
  <c r="O29" i="13" s="1"/>
  <c r="P29" i="13" s="1"/>
  <c r="Q29" i="13" s="1"/>
  <c r="N195" i="13"/>
  <c r="O195" i="13" s="1"/>
  <c r="P195" i="13" s="1"/>
  <c r="Q195" i="13" s="1"/>
  <c r="N254" i="13"/>
  <c r="O254" i="13" s="1"/>
  <c r="P254" i="13" s="1"/>
  <c r="Q254" i="13" s="1"/>
  <c r="K254" i="25" s="1"/>
  <c r="L254" i="25" s="1"/>
  <c r="N254" i="25" s="1"/>
  <c r="J314" i="39"/>
  <c r="I315" i="25" s="1"/>
  <c r="I6" i="25"/>
  <c r="N170" i="13"/>
  <c r="O170" i="13" s="1"/>
  <c r="P170" i="13" s="1"/>
  <c r="Q170" i="13" s="1"/>
  <c r="N244" i="13"/>
  <c r="O244" i="13" s="1"/>
  <c r="P244" i="13" s="1"/>
  <c r="Q244" i="13" s="1"/>
  <c r="N219" i="13"/>
  <c r="O219" i="13" s="1"/>
  <c r="D10" i="34"/>
  <c r="D11" i="34" s="1"/>
  <c r="R306" i="13"/>
  <c r="S306" i="13" s="1"/>
  <c r="R87" i="13"/>
  <c r="S87" i="13" s="1"/>
  <c r="J5" i="12"/>
  <c r="R209" i="13"/>
  <c r="S209" i="13" s="1"/>
  <c r="N6" i="13"/>
  <c r="O6" i="13" s="1"/>
  <c r="P6" i="13" s="1"/>
  <c r="Q6" i="13" s="1"/>
  <c r="R220" i="13"/>
  <c r="S220" i="13" s="1"/>
  <c r="R267" i="13"/>
  <c r="S267" i="13" s="1"/>
  <c r="R68" i="13"/>
  <c r="S68" i="13" s="1"/>
  <c r="R284" i="13"/>
  <c r="S284" i="13" s="1"/>
  <c r="R45" i="13"/>
  <c r="S45" i="13" s="1"/>
  <c r="P243" i="13"/>
  <c r="Q243" i="13" s="1"/>
  <c r="R95" i="13"/>
  <c r="S95" i="13" s="1"/>
  <c r="R83" i="13"/>
  <c r="S83" i="13" s="1"/>
  <c r="R127" i="13"/>
  <c r="S127" i="13" s="1"/>
  <c r="P53" i="13"/>
  <c r="Q53" i="13" s="1"/>
  <c r="P102" i="13"/>
  <c r="Q102" i="13" s="1"/>
  <c r="R232" i="13"/>
  <c r="S232" i="13" s="1"/>
  <c r="R147" i="13"/>
  <c r="S147" i="13" s="1"/>
  <c r="P241" i="13"/>
  <c r="Q241" i="13" s="1"/>
  <c r="R268" i="13"/>
  <c r="S268" i="13" s="1"/>
  <c r="R144" i="13"/>
  <c r="S144" i="13" s="1"/>
  <c r="J6" i="25"/>
  <c r="I314" i="12"/>
  <c r="E37" i="48"/>
  <c r="R303" i="13" l="1"/>
  <c r="S303" i="13" s="1"/>
  <c r="R8" i="13"/>
  <c r="S8" i="13" s="1"/>
  <c r="R278" i="13"/>
  <c r="S278" i="13" s="1"/>
  <c r="R93" i="13"/>
  <c r="S93" i="13" s="1"/>
  <c r="R304" i="13"/>
  <c r="S304" i="13" s="1"/>
  <c r="R167" i="13"/>
  <c r="S167" i="13" s="1"/>
  <c r="R197" i="13"/>
  <c r="S197" i="13" s="1"/>
  <c r="R309" i="13"/>
  <c r="S309" i="13" s="1"/>
  <c r="R165" i="13"/>
  <c r="S165" i="13" s="1"/>
  <c r="R260" i="13"/>
  <c r="S260" i="13" s="1"/>
  <c r="R58" i="13"/>
  <c r="S58" i="13" s="1"/>
  <c r="R233" i="13"/>
  <c r="S233" i="13" s="1"/>
  <c r="R140" i="13"/>
  <c r="S140" i="13" s="1"/>
  <c r="R164" i="13"/>
  <c r="S164" i="13" s="1"/>
  <c r="R96" i="13"/>
  <c r="S96" i="13" s="1"/>
  <c r="R18" i="13"/>
  <c r="S18" i="13" s="1"/>
  <c r="R188" i="13"/>
  <c r="S188" i="13" s="1"/>
  <c r="R237" i="13"/>
  <c r="S237" i="13" s="1"/>
  <c r="R285" i="13"/>
  <c r="S285" i="13" s="1"/>
  <c r="R124" i="13"/>
  <c r="S124" i="13" s="1"/>
  <c r="R305" i="13"/>
  <c r="S305" i="13" s="1"/>
  <c r="R187" i="13"/>
  <c r="S187" i="13" s="1"/>
  <c r="R228" i="13"/>
  <c r="S228" i="13" s="1"/>
  <c r="R297" i="13"/>
  <c r="S297" i="13" s="1"/>
  <c r="R227" i="13"/>
  <c r="S227" i="13" s="1"/>
  <c r="R175" i="13"/>
  <c r="S175" i="13" s="1"/>
  <c r="R98" i="13"/>
  <c r="S98" i="13" s="1"/>
  <c r="R152" i="13"/>
  <c r="S152" i="13" s="1"/>
  <c r="R91" i="13"/>
  <c r="S91" i="13" s="1"/>
  <c r="R311" i="13"/>
  <c r="S311" i="13" s="1"/>
  <c r="R74" i="13"/>
  <c r="S74" i="13" s="1"/>
  <c r="R121" i="13"/>
  <c r="S121" i="13" s="1"/>
  <c r="R17" i="13"/>
  <c r="S17" i="13" s="1"/>
  <c r="R28" i="13"/>
  <c r="S28" i="13" s="1"/>
  <c r="R160" i="13"/>
  <c r="S160" i="13" s="1"/>
  <c r="R100" i="13"/>
  <c r="S100" i="13" s="1"/>
  <c r="R238" i="13"/>
  <c r="S238" i="13" s="1"/>
  <c r="R222" i="13"/>
  <c r="S222" i="13" s="1"/>
  <c r="R287" i="13"/>
  <c r="S287" i="13" s="1"/>
  <c r="R56" i="13"/>
  <c r="S56" i="13" s="1"/>
  <c r="R247" i="13"/>
  <c r="S247" i="13" s="1"/>
  <c r="R302" i="13"/>
  <c r="S302" i="13" s="1"/>
  <c r="R113" i="13"/>
  <c r="S113" i="13" s="1"/>
  <c r="R51" i="13"/>
  <c r="S51" i="13" s="1"/>
  <c r="R280" i="13"/>
  <c r="S280" i="13" s="1"/>
  <c r="R192" i="13"/>
  <c r="S192" i="13" s="1"/>
  <c r="R107" i="13"/>
  <c r="S107" i="13" s="1"/>
  <c r="R264" i="13"/>
  <c r="S264" i="13" s="1"/>
  <c r="R88" i="13"/>
  <c r="S88" i="13" s="1"/>
  <c r="R70" i="13"/>
  <c r="S70" i="13" s="1"/>
  <c r="R283" i="13"/>
  <c r="S283" i="13" s="1"/>
  <c r="R59" i="13"/>
  <c r="S59" i="13" s="1"/>
  <c r="R31" i="13"/>
  <c r="S31" i="13" s="1"/>
  <c r="R9" i="13"/>
  <c r="S9" i="13" s="1"/>
  <c r="R64" i="13"/>
  <c r="S64" i="13" s="1"/>
  <c r="R216" i="13"/>
  <c r="S216" i="13" s="1"/>
  <c r="R174" i="13"/>
  <c r="S174" i="13" s="1"/>
  <c r="R143" i="13"/>
  <c r="S143" i="13" s="1"/>
  <c r="R189" i="13"/>
  <c r="S189" i="13" s="1"/>
  <c r="R50" i="13"/>
  <c r="S50" i="13" s="1"/>
  <c r="R146" i="13"/>
  <c r="S146" i="13" s="1"/>
  <c r="R42" i="13"/>
  <c r="S42" i="13" s="1"/>
  <c r="R22" i="13"/>
  <c r="S22" i="13" s="1"/>
  <c r="R52" i="13"/>
  <c r="S52" i="13" s="1"/>
  <c r="R307" i="13"/>
  <c r="S307" i="13" s="1"/>
  <c r="R200" i="13"/>
  <c r="S200" i="13" s="1"/>
  <c r="R150" i="13"/>
  <c r="S150" i="13" s="1"/>
  <c r="R274" i="13"/>
  <c r="S274" i="13" s="1"/>
  <c r="R132" i="13"/>
  <c r="S132" i="13" s="1"/>
  <c r="R168" i="13"/>
  <c r="S168" i="13" s="1"/>
  <c r="R92" i="13"/>
  <c r="S92" i="13" s="1"/>
  <c r="R115" i="13"/>
  <c r="S115" i="13" s="1"/>
  <c r="R101" i="13"/>
  <c r="S101" i="13" s="1"/>
  <c r="R130" i="13"/>
  <c r="S130" i="13" s="1"/>
  <c r="R97" i="13"/>
  <c r="S97" i="13" s="1"/>
  <c r="R298" i="13"/>
  <c r="S298" i="13" s="1"/>
  <c r="R217" i="13"/>
  <c r="S217" i="13" s="1"/>
  <c r="R257" i="13"/>
  <c r="S257" i="13" s="1"/>
  <c r="R296" i="13"/>
  <c r="S296" i="13" s="1"/>
  <c r="R106" i="13"/>
  <c r="S106" i="13" s="1"/>
  <c r="R135" i="13"/>
  <c r="S135" i="13" s="1"/>
  <c r="R19" i="13"/>
  <c r="S19" i="13" s="1"/>
  <c r="R190" i="13"/>
  <c r="S190" i="13" s="1"/>
  <c r="R194" i="13"/>
  <c r="S194" i="13" s="1"/>
  <c r="R155" i="13"/>
  <c r="S155" i="13" s="1"/>
  <c r="R252" i="13"/>
  <c r="S252" i="13" s="1"/>
  <c r="R139" i="13"/>
  <c r="S139" i="13" s="1"/>
  <c r="R25" i="13"/>
  <c r="S25" i="13" s="1"/>
  <c r="R250" i="13"/>
  <c r="S250" i="13" s="1"/>
  <c r="R286" i="13"/>
  <c r="S286" i="13" s="1"/>
  <c r="R272" i="13"/>
  <c r="S272" i="13" s="1"/>
  <c r="R277" i="13"/>
  <c r="S277" i="13" s="1"/>
  <c r="R254" i="13"/>
  <c r="S254" i="13" s="1"/>
  <c r="R246" i="13"/>
  <c r="S246" i="13" s="1"/>
  <c r="R62" i="13"/>
  <c r="S62" i="13" s="1"/>
  <c r="R253" i="13"/>
  <c r="S253" i="13" s="1"/>
  <c r="R159" i="13"/>
  <c r="S159" i="13" s="1"/>
  <c r="R40" i="13"/>
  <c r="S40" i="13" s="1"/>
  <c r="R72" i="13"/>
  <c r="S72" i="13" s="1"/>
  <c r="R265" i="13"/>
  <c r="S265" i="13" s="1"/>
  <c r="R39" i="13"/>
  <c r="S39" i="13" s="1"/>
  <c r="R123" i="13"/>
  <c r="S123" i="13" s="1"/>
  <c r="R116" i="13"/>
  <c r="S116" i="13" s="1"/>
  <c r="R20" i="13"/>
  <c r="S20" i="13" s="1"/>
  <c r="R110" i="13"/>
  <c r="S110" i="13" s="1"/>
  <c r="R158" i="13"/>
  <c r="S158" i="13" s="1"/>
  <c r="R273" i="13"/>
  <c r="S273" i="13" s="1"/>
  <c r="R248" i="13"/>
  <c r="S248" i="13" s="1"/>
  <c r="R54" i="13"/>
  <c r="S54" i="13" s="1"/>
  <c r="R153" i="13"/>
  <c r="S153" i="13" s="1"/>
  <c r="R90" i="13"/>
  <c r="S90" i="13" s="1"/>
  <c r="R161" i="13"/>
  <c r="S161" i="13" s="1"/>
  <c r="R21" i="13"/>
  <c r="S21" i="13" s="1"/>
  <c r="R27" i="13"/>
  <c r="S27" i="13" s="1"/>
  <c r="R266" i="13"/>
  <c r="S266" i="13" s="1"/>
  <c r="R46" i="13"/>
  <c r="S46" i="13" s="1"/>
  <c r="R262" i="13"/>
  <c r="S262" i="13" s="1"/>
  <c r="R231" i="13"/>
  <c r="S231" i="13" s="1"/>
  <c r="R203" i="13"/>
  <c r="S203" i="13" s="1"/>
  <c r="R48" i="13"/>
  <c r="S48" i="13" s="1"/>
  <c r="R276" i="13"/>
  <c r="S276" i="13" s="1"/>
  <c r="R239" i="13"/>
  <c r="S239" i="13" s="1"/>
  <c r="R204" i="13"/>
  <c r="S204" i="13" s="1"/>
  <c r="R258" i="13"/>
  <c r="S258" i="13" s="1"/>
  <c r="R269" i="13"/>
  <c r="S269" i="13" s="1"/>
  <c r="R148" i="13"/>
  <c r="S148" i="13" s="1"/>
  <c r="R118" i="13"/>
  <c r="S118" i="13" s="1"/>
  <c r="R271" i="13"/>
  <c r="S271" i="13" s="1"/>
  <c r="R179" i="13"/>
  <c r="S179" i="13" s="1"/>
  <c r="K122" i="25"/>
  <c r="L122" i="25" s="1"/>
  <c r="N122" i="25" s="1"/>
  <c r="K65" i="25"/>
  <c r="L65" i="25" s="1"/>
  <c r="N65" i="25" s="1"/>
  <c r="K259" i="25"/>
  <c r="L259" i="25" s="1"/>
  <c r="N259" i="25" s="1"/>
  <c r="K289" i="25"/>
  <c r="L289" i="25" s="1"/>
  <c r="N289" i="25" s="1"/>
  <c r="K79" i="25"/>
  <c r="L79" i="25" s="1"/>
  <c r="N79" i="25" s="1"/>
  <c r="K14" i="25"/>
  <c r="L14" i="25" s="1"/>
  <c r="N14" i="25" s="1"/>
  <c r="K310" i="25"/>
  <c r="L310" i="25" s="1"/>
  <c r="N310" i="25" s="1"/>
  <c r="K80" i="25"/>
  <c r="L80" i="25" s="1"/>
  <c r="N80" i="25" s="1"/>
  <c r="K57" i="25"/>
  <c r="L57" i="25" s="1"/>
  <c r="N57" i="25" s="1"/>
  <c r="K44" i="25"/>
  <c r="L44" i="25" s="1"/>
  <c r="N44" i="25" s="1"/>
  <c r="K38" i="25"/>
  <c r="L38" i="25" s="1"/>
  <c r="N38" i="25" s="1"/>
  <c r="K32" i="25"/>
  <c r="L32" i="25" s="1"/>
  <c r="N32" i="25" s="1"/>
  <c r="K270" i="25"/>
  <c r="L270" i="25" s="1"/>
  <c r="N270" i="25" s="1"/>
  <c r="K240" i="25"/>
  <c r="L240" i="25" s="1"/>
  <c r="N240" i="25" s="1"/>
  <c r="K145" i="25"/>
  <c r="L145" i="25" s="1"/>
  <c r="N145" i="25" s="1"/>
  <c r="K99" i="25"/>
  <c r="L99" i="25" s="1"/>
  <c r="N99" i="25" s="1"/>
  <c r="K112" i="25"/>
  <c r="L112" i="25" s="1"/>
  <c r="N112" i="25" s="1"/>
  <c r="K105" i="25"/>
  <c r="L105" i="25" s="1"/>
  <c r="N105" i="25" s="1"/>
  <c r="K199" i="25"/>
  <c r="L199" i="25" s="1"/>
  <c r="N199" i="25" s="1"/>
  <c r="K131" i="25"/>
  <c r="L131" i="25" s="1"/>
  <c r="N131" i="25" s="1"/>
  <c r="K60" i="25"/>
  <c r="L60" i="25" s="1"/>
  <c r="N60" i="25" s="1"/>
  <c r="K134" i="25"/>
  <c r="L134" i="25" s="1"/>
  <c r="N134" i="25" s="1"/>
  <c r="K263" i="25"/>
  <c r="L263" i="25" s="1"/>
  <c r="N263" i="25" s="1"/>
  <c r="K53" i="25"/>
  <c r="L53" i="25" s="1"/>
  <c r="N53" i="25" s="1"/>
  <c r="K23" i="25"/>
  <c r="L23" i="25" s="1"/>
  <c r="N23" i="25" s="1"/>
  <c r="K243" i="25"/>
  <c r="L243" i="25" s="1"/>
  <c r="N243" i="25" s="1"/>
  <c r="K301" i="25"/>
  <c r="L301" i="25" s="1"/>
  <c r="N301" i="25" s="1"/>
  <c r="R151" i="13"/>
  <c r="S151" i="13" s="1"/>
  <c r="R275" i="13"/>
  <c r="S275" i="13" s="1"/>
  <c r="K174" i="25"/>
  <c r="L174" i="25" s="1"/>
  <c r="N174" i="25" s="1"/>
  <c r="K244" i="25"/>
  <c r="L244" i="25" s="1"/>
  <c r="N244" i="25" s="1"/>
  <c r="K29" i="25"/>
  <c r="L29" i="25" s="1"/>
  <c r="N29" i="25" s="1"/>
  <c r="K26" i="25"/>
  <c r="L26" i="25" s="1"/>
  <c r="N26" i="25" s="1"/>
  <c r="K178" i="25"/>
  <c r="L178" i="25" s="1"/>
  <c r="N178" i="25" s="1"/>
  <c r="K236" i="25"/>
  <c r="L236" i="25" s="1"/>
  <c r="N236" i="25" s="1"/>
  <c r="K238" i="25"/>
  <c r="L238" i="25" s="1"/>
  <c r="N238" i="25" s="1"/>
  <c r="K73" i="25"/>
  <c r="L73" i="25" s="1"/>
  <c r="N73" i="25" s="1"/>
  <c r="K214" i="25"/>
  <c r="L214" i="25" s="1"/>
  <c r="N214" i="25" s="1"/>
  <c r="K171" i="25"/>
  <c r="L171" i="25" s="1"/>
  <c r="N171" i="25" s="1"/>
  <c r="K162" i="25"/>
  <c r="L162" i="25" s="1"/>
  <c r="N162" i="25" s="1"/>
  <c r="K109" i="25"/>
  <c r="L109" i="25" s="1"/>
  <c r="N109" i="25" s="1"/>
  <c r="K185" i="25"/>
  <c r="L185" i="25" s="1"/>
  <c r="N185" i="25" s="1"/>
  <c r="K77" i="25"/>
  <c r="L77" i="25" s="1"/>
  <c r="N77" i="25" s="1"/>
  <c r="K308" i="25"/>
  <c r="L308" i="25" s="1"/>
  <c r="N308" i="25" s="1"/>
  <c r="R234" i="13"/>
  <c r="S234" i="13" s="1"/>
  <c r="K34" i="25"/>
  <c r="L34" i="25" s="1"/>
  <c r="N34" i="25" s="1"/>
  <c r="K102" i="25"/>
  <c r="L102" i="25" s="1"/>
  <c r="N102" i="25" s="1"/>
  <c r="K33" i="25"/>
  <c r="L33" i="25" s="1"/>
  <c r="N33" i="25" s="1"/>
  <c r="K295" i="25"/>
  <c r="L295" i="25" s="1"/>
  <c r="N295" i="25" s="1"/>
  <c r="K186" i="25"/>
  <c r="L186" i="25" s="1"/>
  <c r="N186" i="25" s="1"/>
  <c r="K218" i="25"/>
  <c r="L218" i="25" s="1"/>
  <c r="N218" i="25" s="1"/>
  <c r="K192" i="25"/>
  <c r="L192" i="25" s="1"/>
  <c r="N192" i="25" s="1"/>
  <c r="R114" i="13"/>
  <c r="S114" i="13" s="1"/>
  <c r="K166" i="25"/>
  <c r="L166" i="25" s="1"/>
  <c r="N166" i="25" s="1"/>
  <c r="K10" i="25"/>
  <c r="L10" i="25" s="1"/>
  <c r="N10" i="25" s="1"/>
  <c r="R236" i="13"/>
  <c r="S236" i="13" s="1"/>
  <c r="K170" i="25"/>
  <c r="L170" i="25" s="1"/>
  <c r="N170" i="25" s="1"/>
  <c r="K252" i="25"/>
  <c r="L252" i="25" s="1"/>
  <c r="N252" i="25" s="1"/>
  <c r="K130" i="25"/>
  <c r="L130" i="25" s="1"/>
  <c r="N130" i="25" s="1"/>
  <c r="K124" i="25"/>
  <c r="L124" i="25" s="1"/>
  <c r="N124" i="25" s="1"/>
  <c r="K153" i="25"/>
  <c r="L153" i="25" s="1"/>
  <c r="N153" i="25" s="1"/>
  <c r="K190" i="25"/>
  <c r="L190" i="25" s="1"/>
  <c r="N190" i="25" s="1"/>
  <c r="K9" i="25"/>
  <c r="L9" i="25" s="1"/>
  <c r="N9" i="25" s="1"/>
  <c r="K277" i="25"/>
  <c r="L277" i="25" s="1"/>
  <c r="N277" i="25" s="1"/>
  <c r="K123" i="25"/>
  <c r="L123" i="25" s="1"/>
  <c r="N123" i="25" s="1"/>
  <c r="K150" i="25"/>
  <c r="L150" i="25" s="1"/>
  <c r="N150" i="25" s="1"/>
  <c r="K135" i="25"/>
  <c r="L135" i="25" s="1"/>
  <c r="N135" i="25" s="1"/>
  <c r="K245" i="25"/>
  <c r="L245" i="25" s="1"/>
  <c r="N245" i="25" s="1"/>
  <c r="K128" i="25"/>
  <c r="L128" i="25" s="1"/>
  <c r="N128" i="25" s="1"/>
  <c r="K154" i="25"/>
  <c r="L154" i="25" s="1"/>
  <c r="N154" i="25" s="1"/>
  <c r="K279" i="25"/>
  <c r="L279" i="25" s="1"/>
  <c r="N279" i="25" s="1"/>
  <c r="K300" i="25"/>
  <c r="L300" i="25" s="1"/>
  <c r="N300" i="25" s="1"/>
  <c r="K249" i="25"/>
  <c r="L249" i="25" s="1"/>
  <c r="N249" i="25" s="1"/>
  <c r="K229" i="25"/>
  <c r="L229" i="25" s="1"/>
  <c r="N229" i="25" s="1"/>
  <c r="K213" i="25"/>
  <c r="L213" i="25" s="1"/>
  <c r="N213" i="25" s="1"/>
  <c r="K37" i="25"/>
  <c r="L37" i="25" s="1"/>
  <c r="N37" i="25" s="1"/>
  <c r="K183" i="25"/>
  <c r="L183" i="25" s="1"/>
  <c r="N183" i="25" s="1"/>
  <c r="K108" i="25"/>
  <c r="L108" i="25" s="1"/>
  <c r="N108" i="25" s="1"/>
  <c r="K169" i="25"/>
  <c r="L169" i="25" s="1"/>
  <c r="N169" i="25" s="1"/>
  <c r="K75" i="25"/>
  <c r="L75" i="25" s="1"/>
  <c r="N75" i="25" s="1"/>
  <c r="K7" i="25"/>
  <c r="L7" i="25" s="1"/>
  <c r="N7" i="25" s="1"/>
  <c r="K151" i="25"/>
  <c r="L151" i="25" s="1"/>
  <c r="N151" i="25" s="1"/>
  <c r="K290" i="25"/>
  <c r="L290" i="25" s="1"/>
  <c r="N290" i="25" s="1"/>
  <c r="K271" i="25"/>
  <c r="L271" i="25" s="1"/>
  <c r="N271" i="25" s="1"/>
  <c r="K85" i="25"/>
  <c r="L85" i="25" s="1"/>
  <c r="N85" i="25" s="1"/>
  <c r="K15" i="25"/>
  <c r="L15" i="25" s="1"/>
  <c r="N15" i="25" s="1"/>
  <c r="K191" i="25"/>
  <c r="L191" i="25" s="1"/>
  <c r="N191" i="25" s="1"/>
  <c r="K225" i="25"/>
  <c r="L225" i="25" s="1"/>
  <c r="N225" i="25" s="1"/>
  <c r="K313" i="25"/>
  <c r="L313" i="25" s="1"/>
  <c r="N313" i="25" s="1"/>
  <c r="K177" i="25"/>
  <c r="L177" i="25" s="1"/>
  <c r="N177" i="25" s="1"/>
  <c r="K71" i="25"/>
  <c r="L71" i="25" s="1"/>
  <c r="N71" i="25" s="1"/>
  <c r="K86" i="25"/>
  <c r="L86" i="25" s="1"/>
  <c r="N86" i="25" s="1"/>
  <c r="K314" i="25"/>
  <c r="L314" i="25" s="1"/>
  <c r="N314" i="25" s="1"/>
  <c r="K82" i="25"/>
  <c r="L82" i="25" s="1"/>
  <c r="N82" i="25" s="1"/>
  <c r="R193" i="13"/>
  <c r="S193" i="13" s="1"/>
  <c r="R249" i="13"/>
  <c r="S249" i="13" s="1"/>
  <c r="K256" i="25"/>
  <c r="L256" i="25" s="1"/>
  <c r="N256" i="25" s="1"/>
  <c r="R29" i="13"/>
  <c r="S29" i="13" s="1"/>
  <c r="K146" i="25"/>
  <c r="L146" i="25" s="1"/>
  <c r="N146" i="25" s="1"/>
  <c r="K133" i="25"/>
  <c r="L133" i="25" s="1"/>
  <c r="N133" i="25" s="1"/>
  <c r="K239" i="25"/>
  <c r="L239" i="25" s="1"/>
  <c r="N239" i="25" s="1"/>
  <c r="K282" i="25"/>
  <c r="L282" i="25" s="1"/>
  <c r="N282" i="25" s="1"/>
  <c r="K149" i="25"/>
  <c r="L149" i="25" s="1"/>
  <c r="N149" i="25" s="1"/>
  <c r="K196" i="25"/>
  <c r="L196" i="25" s="1"/>
  <c r="N196" i="25" s="1"/>
  <c r="K138" i="25"/>
  <c r="L138" i="25" s="1"/>
  <c r="N138" i="25" s="1"/>
  <c r="K294" i="25"/>
  <c r="L294" i="25" s="1"/>
  <c r="N294" i="25" s="1"/>
  <c r="K24" i="25"/>
  <c r="L24" i="25" s="1"/>
  <c r="N24" i="25" s="1"/>
  <c r="K235" i="25"/>
  <c r="L235" i="25" s="1"/>
  <c r="N235" i="25" s="1"/>
  <c r="R290" i="13"/>
  <c r="S290" i="13" s="1"/>
  <c r="K63" i="25"/>
  <c r="L63" i="25" s="1"/>
  <c r="N63" i="25" s="1"/>
  <c r="K142" i="25"/>
  <c r="L142" i="25" s="1"/>
  <c r="N142" i="25" s="1"/>
  <c r="K251" i="25"/>
  <c r="L251" i="25" s="1"/>
  <c r="N251" i="25" s="1"/>
  <c r="R85" i="13"/>
  <c r="S85" i="13" s="1"/>
  <c r="K288" i="25"/>
  <c r="L288" i="25" s="1"/>
  <c r="N288" i="25" s="1"/>
  <c r="K13" i="25"/>
  <c r="L13" i="25" s="1"/>
  <c r="N13" i="25" s="1"/>
  <c r="K184" i="25"/>
  <c r="L184" i="25" s="1"/>
  <c r="N184" i="25" s="1"/>
  <c r="K312" i="25"/>
  <c r="L312" i="25" s="1"/>
  <c r="N312" i="25" s="1"/>
  <c r="R195" i="13"/>
  <c r="S195" i="13" s="1"/>
  <c r="R120" i="13"/>
  <c r="S120" i="13" s="1"/>
  <c r="K129" i="25"/>
  <c r="L129" i="25" s="1"/>
  <c r="N129" i="25" s="1"/>
  <c r="R66" i="13"/>
  <c r="S66" i="13" s="1"/>
  <c r="K159" i="25"/>
  <c r="L159" i="25" s="1"/>
  <c r="N159" i="25" s="1"/>
  <c r="K210" i="25"/>
  <c r="L210" i="25" s="1"/>
  <c r="N210" i="25" s="1"/>
  <c r="R133" i="13"/>
  <c r="S133" i="13" s="1"/>
  <c r="K132" i="25"/>
  <c r="L132" i="25" s="1"/>
  <c r="N132" i="25" s="1"/>
  <c r="K27" i="25"/>
  <c r="L27" i="25" s="1"/>
  <c r="N27" i="25" s="1"/>
  <c r="K296" i="25"/>
  <c r="L296" i="25" s="1"/>
  <c r="N296" i="25" s="1"/>
  <c r="K269" i="25"/>
  <c r="L269" i="25" s="1"/>
  <c r="N269" i="25" s="1"/>
  <c r="K48" i="25"/>
  <c r="L48" i="25" s="1"/>
  <c r="N48" i="25" s="1"/>
  <c r="K194" i="25"/>
  <c r="L194" i="25" s="1"/>
  <c r="N194" i="25" s="1"/>
  <c r="K52" i="25"/>
  <c r="L52" i="25" s="1"/>
  <c r="N52" i="25" s="1"/>
  <c r="K81" i="25"/>
  <c r="L81" i="25" s="1"/>
  <c r="N81" i="25" s="1"/>
  <c r="K292" i="25"/>
  <c r="L292" i="25" s="1"/>
  <c r="N292" i="25" s="1"/>
  <c r="K136" i="25"/>
  <c r="L136" i="25" s="1"/>
  <c r="N136" i="25" s="1"/>
  <c r="K172" i="25"/>
  <c r="L172" i="25" s="1"/>
  <c r="N172" i="25" s="1"/>
  <c r="K207" i="25"/>
  <c r="L207" i="25" s="1"/>
  <c r="N207" i="25" s="1"/>
  <c r="K293" i="25"/>
  <c r="L293" i="25" s="1"/>
  <c r="N293" i="25" s="1"/>
  <c r="K84" i="25"/>
  <c r="L84" i="25" s="1"/>
  <c r="N84" i="25" s="1"/>
  <c r="K223" i="25"/>
  <c r="L223" i="25" s="1"/>
  <c r="N223" i="25" s="1"/>
  <c r="K30" i="25"/>
  <c r="L30" i="25" s="1"/>
  <c r="N30" i="25" s="1"/>
  <c r="K221" i="25"/>
  <c r="L221" i="25" s="1"/>
  <c r="N221" i="25" s="1"/>
  <c r="K69" i="25"/>
  <c r="L69" i="25" s="1"/>
  <c r="N69" i="25" s="1"/>
  <c r="K94" i="25"/>
  <c r="L94" i="25" s="1"/>
  <c r="N94" i="25" s="1"/>
  <c r="K291" i="25"/>
  <c r="L291" i="25" s="1"/>
  <c r="N291" i="25" s="1"/>
  <c r="K119" i="25"/>
  <c r="L119" i="25" s="1"/>
  <c r="N119" i="25" s="1"/>
  <c r="K103" i="25"/>
  <c r="L103" i="25" s="1"/>
  <c r="N103" i="25" s="1"/>
  <c r="K205" i="25"/>
  <c r="L205" i="25" s="1"/>
  <c r="N205" i="25" s="1"/>
  <c r="K212" i="25"/>
  <c r="L212" i="25" s="1"/>
  <c r="N212" i="25" s="1"/>
  <c r="K261" i="25"/>
  <c r="L261" i="25" s="1"/>
  <c r="N261" i="25" s="1"/>
  <c r="K120" i="25"/>
  <c r="L120" i="25" s="1"/>
  <c r="N120" i="25" s="1"/>
  <c r="K107" i="25"/>
  <c r="L107" i="25" s="1"/>
  <c r="N107" i="25" s="1"/>
  <c r="K234" i="25"/>
  <c r="L234" i="25" s="1"/>
  <c r="N234" i="25" s="1"/>
  <c r="K275" i="25"/>
  <c r="L275" i="25" s="1"/>
  <c r="N275" i="25" s="1"/>
  <c r="K16" i="25"/>
  <c r="L16" i="25" s="1"/>
  <c r="N16" i="25" s="1"/>
  <c r="K265" i="25"/>
  <c r="L265" i="25" s="1"/>
  <c r="N265" i="25" s="1"/>
  <c r="K125" i="25"/>
  <c r="L125" i="25" s="1"/>
  <c r="N125" i="25" s="1"/>
  <c r="K201" i="25"/>
  <c r="L201" i="25" s="1"/>
  <c r="N201" i="25" s="1"/>
  <c r="K47" i="25"/>
  <c r="L47" i="25" s="1"/>
  <c r="N47" i="25" s="1"/>
  <c r="K241" i="25"/>
  <c r="L241" i="25" s="1"/>
  <c r="N241" i="25" s="1"/>
  <c r="K104" i="25"/>
  <c r="L104" i="25" s="1"/>
  <c r="N104" i="25" s="1"/>
  <c r="K157" i="25"/>
  <c r="L157" i="25" s="1"/>
  <c r="N157" i="25" s="1"/>
  <c r="K182" i="25"/>
  <c r="L182" i="25" s="1"/>
  <c r="N182" i="25" s="1"/>
  <c r="K76" i="25"/>
  <c r="L76" i="25" s="1"/>
  <c r="N76" i="25" s="1"/>
  <c r="R300" i="13"/>
  <c r="S300" i="13" s="1"/>
  <c r="R163" i="13"/>
  <c r="S163" i="13" s="1"/>
  <c r="R26" i="13"/>
  <c r="S26" i="13" s="1"/>
  <c r="K286" i="25"/>
  <c r="L286" i="25" s="1"/>
  <c r="N286" i="25" s="1"/>
  <c r="K116" i="25"/>
  <c r="L116" i="25" s="1"/>
  <c r="N116" i="25" s="1"/>
  <c r="K56" i="25"/>
  <c r="L56" i="25" s="1"/>
  <c r="N56" i="25" s="1"/>
  <c r="K231" i="25"/>
  <c r="L231" i="25" s="1"/>
  <c r="N231" i="25" s="1"/>
  <c r="K70" i="25"/>
  <c r="L70" i="25" s="1"/>
  <c r="N70" i="25" s="1"/>
  <c r="K39" i="25"/>
  <c r="L39" i="25" s="1"/>
  <c r="N39" i="25" s="1"/>
  <c r="K230" i="25"/>
  <c r="L230" i="25" s="1"/>
  <c r="N230" i="25" s="1"/>
  <c r="K126" i="25"/>
  <c r="L126" i="25" s="1"/>
  <c r="N126" i="25" s="1"/>
  <c r="K78" i="25"/>
  <c r="L78" i="25" s="1"/>
  <c r="N78" i="25" s="1"/>
  <c r="K180" i="25"/>
  <c r="L180" i="25" s="1"/>
  <c r="N180" i="25" s="1"/>
  <c r="K31" i="25"/>
  <c r="L31" i="25" s="1"/>
  <c r="N31" i="25" s="1"/>
  <c r="K176" i="25"/>
  <c r="L176" i="25" s="1"/>
  <c r="N176" i="25" s="1"/>
  <c r="K195" i="25"/>
  <c r="L195" i="25" s="1"/>
  <c r="N195" i="25" s="1"/>
  <c r="K193" i="25"/>
  <c r="L193" i="25" s="1"/>
  <c r="N193" i="25" s="1"/>
  <c r="K66" i="25"/>
  <c r="L66" i="25" s="1"/>
  <c r="N66" i="25" s="1"/>
  <c r="K114" i="25"/>
  <c r="L114" i="25" s="1"/>
  <c r="N114" i="25" s="1"/>
  <c r="K89" i="25"/>
  <c r="L89" i="25" s="1"/>
  <c r="N89" i="25" s="1"/>
  <c r="K281" i="25"/>
  <c r="L281" i="25" s="1"/>
  <c r="N281" i="25" s="1"/>
  <c r="K117" i="25"/>
  <c r="L117" i="25" s="1"/>
  <c r="N117" i="25" s="1"/>
  <c r="K141" i="25"/>
  <c r="L141" i="25" s="1"/>
  <c r="N141" i="25" s="1"/>
  <c r="K137" i="25"/>
  <c r="L137" i="25" s="1"/>
  <c r="N137" i="25" s="1"/>
  <c r="K36" i="25"/>
  <c r="L36" i="25" s="1"/>
  <c r="N36" i="25" s="1"/>
  <c r="K224" i="25"/>
  <c r="L224" i="25" s="1"/>
  <c r="N224" i="25" s="1"/>
  <c r="K250" i="25"/>
  <c r="L250" i="25" s="1"/>
  <c r="N250" i="25" s="1"/>
  <c r="K217" i="25"/>
  <c r="L217" i="25" s="1"/>
  <c r="N217" i="25" s="1"/>
  <c r="K41" i="25"/>
  <c r="L41" i="25" s="1"/>
  <c r="N41" i="25" s="1"/>
  <c r="K246" i="25"/>
  <c r="L246" i="25" s="1"/>
  <c r="N246" i="25" s="1"/>
  <c r="K211" i="25"/>
  <c r="L211" i="25" s="1"/>
  <c r="N211" i="25" s="1"/>
  <c r="K173" i="25"/>
  <c r="L173" i="25" s="1"/>
  <c r="N173" i="25" s="1"/>
  <c r="K156" i="25"/>
  <c r="L156" i="25" s="1"/>
  <c r="N156" i="25" s="1"/>
  <c r="K299" i="25"/>
  <c r="L299" i="25" s="1"/>
  <c r="N299" i="25" s="1"/>
  <c r="K226" i="25"/>
  <c r="L226" i="25" s="1"/>
  <c r="N226" i="25" s="1"/>
  <c r="K12" i="25"/>
  <c r="L12" i="25" s="1"/>
  <c r="N12" i="25" s="1"/>
  <c r="R30" i="13"/>
  <c r="S30" i="13" s="1"/>
  <c r="R32" i="13"/>
  <c r="S32" i="13" s="1"/>
  <c r="K305" i="25"/>
  <c r="L305" i="25" s="1"/>
  <c r="N305" i="25" s="1"/>
  <c r="K115" i="25"/>
  <c r="L115" i="25" s="1"/>
  <c r="N115" i="25" s="1"/>
  <c r="K273" i="25"/>
  <c r="L273" i="25" s="1"/>
  <c r="N273" i="25" s="1"/>
  <c r="K255" i="25"/>
  <c r="L255" i="25" s="1"/>
  <c r="N255" i="25" s="1"/>
  <c r="K35" i="25"/>
  <c r="L35" i="25" s="1"/>
  <c r="N35" i="25" s="1"/>
  <c r="K206" i="25"/>
  <c r="L206" i="25" s="1"/>
  <c r="N206" i="25" s="1"/>
  <c r="K11" i="25"/>
  <c r="L11" i="25" s="1"/>
  <c r="N11" i="25" s="1"/>
  <c r="K198" i="25"/>
  <c r="L198" i="25" s="1"/>
  <c r="N198" i="25" s="1"/>
  <c r="K181" i="25"/>
  <c r="L181" i="25" s="1"/>
  <c r="N181" i="25" s="1"/>
  <c r="K67" i="25"/>
  <c r="L67" i="25" s="1"/>
  <c r="N67" i="25" s="1"/>
  <c r="K55" i="25"/>
  <c r="L55" i="25" s="1"/>
  <c r="N55" i="25" s="1"/>
  <c r="K215" i="25"/>
  <c r="L215" i="25" s="1"/>
  <c r="N215" i="25" s="1"/>
  <c r="R41" i="13"/>
  <c r="S41" i="13" s="1"/>
  <c r="K242" i="25"/>
  <c r="L242" i="25" s="1"/>
  <c r="N242" i="25" s="1"/>
  <c r="K43" i="25"/>
  <c r="L43" i="25" s="1"/>
  <c r="N43" i="25" s="1"/>
  <c r="K49" i="25"/>
  <c r="L49" i="25" s="1"/>
  <c r="N49" i="25" s="1"/>
  <c r="K208" i="25"/>
  <c r="L208" i="25" s="1"/>
  <c r="N208" i="25" s="1"/>
  <c r="K111" i="25"/>
  <c r="L111" i="25" s="1"/>
  <c r="N111" i="25" s="1"/>
  <c r="R223" i="13"/>
  <c r="S223" i="13" s="1"/>
  <c r="R125" i="13"/>
  <c r="S125" i="13" s="1"/>
  <c r="K61" i="25"/>
  <c r="L61" i="25" s="1"/>
  <c r="N61" i="25" s="1"/>
  <c r="R178" i="13"/>
  <c r="S178" i="13" s="1"/>
  <c r="K152" i="25"/>
  <c r="L152" i="25" s="1"/>
  <c r="N152" i="25" s="1"/>
  <c r="K202" i="25"/>
  <c r="L202" i="25" s="1"/>
  <c r="N202" i="25" s="1"/>
  <c r="K248" i="25"/>
  <c r="L248" i="25" s="1"/>
  <c r="N248" i="25" s="1"/>
  <c r="K204" i="25"/>
  <c r="L204" i="25" s="1"/>
  <c r="N204" i="25" s="1"/>
  <c r="K298" i="25"/>
  <c r="L298" i="25" s="1"/>
  <c r="N298" i="25" s="1"/>
  <c r="K110" i="25"/>
  <c r="L110" i="25" s="1"/>
  <c r="N110" i="25" s="1"/>
  <c r="K285" i="25"/>
  <c r="L285" i="25" s="1"/>
  <c r="N285" i="25" s="1"/>
  <c r="K262" i="25"/>
  <c r="L262" i="25" s="1"/>
  <c r="N262" i="25" s="1"/>
  <c r="K266" i="25"/>
  <c r="L266" i="25" s="1"/>
  <c r="N266" i="25" s="1"/>
  <c r="R244" i="13"/>
  <c r="S244" i="13" s="1"/>
  <c r="P219" i="13"/>
  <c r="Q219" i="13" s="1"/>
  <c r="R170" i="13"/>
  <c r="S170" i="13" s="1"/>
  <c r="R142" i="13"/>
  <c r="S142" i="13" s="1"/>
  <c r="R301" i="13"/>
  <c r="S301" i="13" s="1"/>
  <c r="R221" i="13"/>
  <c r="S221" i="13" s="1"/>
  <c r="R63" i="13"/>
  <c r="S63" i="13" s="1"/>
  <c r="R76" i="13"/>
  <c r="S76" i="13" s="1"/>
  <c r="R111" i="13"/>
  <c r="S111" i="13" s="1"/>
  <c r="R36" i="13"/>
  <c r="S36" i="13" s="1"/>
  <c r="R94" i="13"/>
  <c r="S94" i="13" s="1"/>
  <c r="R73" i="13"/>
  <c r="S73" i="13" s="1"/>
  <c r="R181" i="13"/>
  <c r="S181" i="13" s="1"/>
  <c r="R99" i="13"/>
  <c r="S99" i="13" s="1"/>
  <c r="R109" i="13"/>
  <c r="S109" i="13" s="1"/>
  <c r="R43" i="13"/>
  <c r="S43" i="13" s="1"/>
  <c r="R16" i="13"/>
  <c r="S16" i="13" s="1"/>
  <c r="R173" i="13"/>
  <c r="S173" i="13" s="1"/>
  <c r="R294" i="13"/>
  <c r="S294" i="13" s="1"/>
  <c r="R225" i="13"/>
  <c r="S225" i="13" s="1"/>
  <c r="R282" i="13"/>
  <c r="S282" i="13" s="1"/>
  <c r="R79" i="13"/>
  <c r="S79" i="13" s="1"/>
  <c r="R308" i="13"/>
  <c r="S308" i="13" s="1"/>
  <c r="R184" i="13"/>
  <c r="S184" i="13" s="1"/>
  <c r="R23" i="13"/>
  <c r="S23" i="13" s="1"/>
  <c r="R261" i="13"/>
  <c r="S261" i="13" s="1"/>
  <c r="R289" i="13"/>
  <c r="S289" i="13" s="1"/>
  <c r="R215" i="13"/>
  <c r="S215" i="13" s="1"/>
  <c r="R122" i="13"/>
  <c r="S122" i="13" s="1"/>
  <c r="R145" i="13"/>
  <c r="S145" i="13" s="1"/>
  <c r="R6" i="13"/>
  <c r="S6" i="13" s="1"/>
  <c r="R53" i="13"/>
  <c r="S53" i="13" s="1"/>
  <c r="R212" i="13"/>
  <c r="S212" i="13" s="1"/>
  <c r="R256" i="13"/>
  <c r="S256" i="13" s="1"/>
  <c r="R230" i="13"/>
  <c r="S230" i="13" s="1"/>
  <c r="R199" i="13"/>
  <c r="S199" i="13" s="1"/>
  <c r="R49" i="13"/>
  <c r="S49" i="13" s="1"/>
  <c r="R180" i="13"/>
  <c r="S180" i="13" s="1"/>
  <c r="R243" i="13"/>
  <c r="S243" i="13" s="1"/>
  <c r="R202" i="13"/>
  <c r="S202" i="13" s="1"/>
  <c r="R7" i="13"/>
  <c r="S7" i="13" s="1"/>
  <c r="R108" i="13"/>
  <c r="S108" i="13" s="1"/>
  <c r="R137" i="13"/>
  <c r="S137" i="13" s="1"/>
  <c r="R279" i="13"/>
  <c r="S279" i="13" s="1"/>
  <c r="R14" i="13"/>
  <c r="S14" i="13" s="1"/>
  <c r="R82" i="13"/>
  <c r="S82" i="13" s="1"/>
  <c r="R218" i="13"/>
  <c r="S218" i="13" s="1"/>
  <c r="R166" i="13"/>
  <c r="S166" i="13" s="1"/>
  <c r="R210" i="13"/>
  <c r="S210" i="13" s="1"/>
  <c r="R10" i="13"/>
  <c r="S10" i="13" s="1"/>
  <c r="R15" i="13"/>
  <c r="S15" i="13" s="1"/>
  <c r="R37" i="13"/>
  <c r="S37" i="13" s="1"/>
  <c r="R171" i="13"/>
  <c r="S171" i="13" s="1"/>
  <c r="R245" i="13"/>
  <c r="S245" i="13" s="1"/>
  <c r="R259" i="13"/>
  <c r="S259" i="13" s="1"/>
  <c r="R136" i="13"/>
  <c r="S136" i="13" s="1"/>
  <c r="R77" i="13"/>
  <c r="S77" i="13" s="1"/>
  <c r="R251" i="13"/>
  <c r="S251" i="13" s="1"/>
  <c r="R71" i="13"/>
  <c r="S71" i="13" s="1"/>
  <c r="R288" i="13"/>
  <c r="S288" i="13" s="1"/>
  <c r="R270" i="13"/>
  <c r="S270" i="13" s="1"/>
  <c r="R205" i="13"/>
  <c r="S205" i="13" s="1"/>
  <c r="R263" i="13"/>
  <c r="S263" i="13" s="1"/>
  <c r="R129" i="13"/>
  <c r="S129" i="13" s="1"/>
  <c r="R176" i="13"/>
  <c r="S176" i="13" s="1"/>
  <c r="R149" i="13"/>
  <c r="S149" i="13" s="1"/>
  <c r="R196" i="13"/>
  <c r="S196" i="13" s="1"/>
  <c r="R229" i="13"/>
  <c r="S229" i="13" s="1"/>
  <c r="R162" i="13"/>
  <c r="S162" i="13" s="1"/>
  <c r="R292" i="13"/>
  <c r="S292" i="13" s="1"/>
  <c r="R126" i="13"/>
  <c r="S126" i="13" s="1"/>
  <c r="R104" i="13"/>
  <c r="S104" i="13" s="1"/>
  <c r="R60" i="13"/>
  <c r="S60" i="13" s="1"/>
  <c r="R157" i="13"/>
  <c r="S157" i="13" s="1"/>
  <c r="R78" i="13"/>
  <c r="S78" i="13" s="1"/>
  <c r="R208" i="13"/>
  <c r="S208" i="13" s="1"/>
  <c r="R169" i="13"/>
  <c r="S169" i="13" s="1"/>
  <c r="R226" i="13"/>
  <c r="S226" i="13" s="1"/>
  <c r="R224" i="13"/>
  <c r="S224" i="13" s="1"/>
  <c r="R293" i="13"/>
  <c r="S293" i="13" s="1"/>
  <c r="R84" i="13"/>
  <c r="S84" i="13" s="1"/>
  <c r="R186" i="13"/>
  <c r="S186" i="13" s="1"/>
  <c r="R255" i="13"/>
  <c r="S255" i="13" s="1"/>
  <c r="R198" i="13"/>
  <c r="S198" i="13" s="1"/>
  <c r="R89" i="13"/>
  <c r="S89" i="13" s="1"/>
  <c r="R211" i="13"/>
  <c r="S211" i="13" s="1"/>
  <c r="R65" i="13"/>
  <c r="S65" i="13" s="1"/>
  <c r="R81" i="13"/>
  <c r="S81" i="13" s="1"/>
  <c r="R214" i="13"/>
  <c r="S214" i="13" s="1"/>
  <c r="R191" i="13"/>
  <c r="S191" i="13" s="1"/>
  <c r="R35" i="13"/>
  <c r="S35" i="13" s="1"/>
  <c r="R206" i="13"/>
  <c r="S206" i="13" s="1"/>
  <c r="R67" i="13"/>
  <c r="S67" i="13" s="1"/>
  <c r="R69" i="13"/>
  <c r="S69" i="13" s="1"/>
  <c r="R141" i="13"/>
  <c r="S141" i="13" s="1"/>
  <c r="R24" i="13"/>
  <c r="S24" i="13" s="1"/>
  <c r="R11" i="13"/>
  <c r="S11" i="13" s="1"/>
  <c r="R55" i="13"/>
  <c r="S55" i="13" s="1"/>
  <c r="R213" i="13"/>
  <c r="S213" i="13" s="1"/>
  <c r="R183" i="13"/>
  <c r="S183" i="13" s="1"/>
  <c r="R235" i="13"/>
  <c r="S235" i="13" s="1"/>
  <c r="R201" i="13"/>
  <c r="S201" i="13" s="1"/>
  <c r="R105" i="13"/>
  <c r="S105" i="13" s="1"/>
  <c r="R172" i="13"/>
  <c r="S172" i="13" s="1"/>
  <c r="R13" i="13"/>
  <c r="S13" i="13" s="1"/>
  <c r="R240" i="13"/>
  <c r="S240" i="13" s="1"/>
  <c r="R310" i="13"/>
  <c r="S310" i="13" s="1"/>
  <c r="R80" i="13"/>
  <c r="S80" i="13" s="1"/>
  <c r="R154" i="13"/>
  <c r="S154" i="13" s="1"/>
  <c r="R295" i="13"/>
  <c r="S295" i="13" s="1"/>
  <c r="R312" i="13"/>
  <c r="S312" i="13" s="1"/>
  <c r="R38" i="13"/>
  <c r="S38" i="13" s="1"/>
  <c r="R12" i="13"/>
  <c r="S12" i="13" s="1"/>
  <c r="R61" i="13"/>
  <c r="S61" i="13" s="1"/>
  <c r="R75" i="13"/>
  <c r="S75" i="13" s="1"/>
  <c r="R117" i="13"/>
  <c r="S117" i="13" s="1"/>
  <c r="R138" i="13"/>
  <c r="S138" i="13" s="1"/>
  <c r="R57" i="13"/>
  <c r="S57" i="13" s="1"/>
  <c r="R281" i="13"/>
  <c r="S281" i="13" s="1"/>
  <c r="R291" i="13"/>
  <c r="S291" i="13" s="1"/>
  <c r="R156" i="13"/>
  <c r="S156" i="13" s="1"/>
  <c r="R313" i="13"/>
  <c r="S313" i="13" s="1"/>
  <c r="R47" i="13"/>
  <c r="S47" i="13" s="1"/>
  <c r="R112" i="13"/>
  <c r="S112" i="13" s="1"/>
  <c r="R185" i="13"/>
  <c r="S185" i="13" s="1"/>
  <c r="R119" i="13"/>
  <c r="S119" i="13" s="1"/>
  <c r="R177" i="13"/>
  <c r="S177" i="13" s="1"/>
  <c r="R241" i="13"/>
  <c r="S241" i="13" s="1"/>
  <c r="R131" i="13"/>
  <c r="S131" i="13" s="1"/>
  <c r="R103" i="13"/>
  <c r="S103" i="13" s="1"/>
  <c r="R242" i="13"/>
  <c r="S242" i="13" s="1"/>
  <c r="R44" i="13"/>
  <c r="S44" i="13" s="1"/>
  <c r="R128" i="13"/>
  <c r="S128" i="13" s="1"/>
  <c r="R34" i="13"/>
  <c r="S34" i="13" s="1"/>
  <c r="R86" i="13"/>
  <c r="S86" i="13" s="1"/>
  <c r="R134" i="13"/>
  <c r="S134" i="13" s="1"/>
  <c r="R102" i="13"/>
  <c r="S102" i="13" s="1"/>
  <c r="R299" i="13"/>
  <c r="S299" i="13" s="1"/>
  <c r="R182" i="13"/>
  <c r="S182" i="13" s="1"/>
  <c r="R207" i="13"/>
  <c r="S207" i="13" s="1"/>
  <c r="R33" i="13"/>
  <c r="S33" i="13" s="1"/>
  <c r="R314" i="13"/>
  <c r="S314" i="13" s="1"/>
  <c r="J315" i="25"/>
  <c r="E39" i="48"/>
  <c r="F39" i="48" s="1"/>
  <c r="F43" i="48" s="1"/>
  <c r="F55" i="48" s="1"/>
  <c r="K6" i="25"/>
  <c r="K219" i="25" l="1"/>
  <c r="L219" i="25" s="1"/>
  <c r="N219" i="25" s="1"/>
  <c r="Q315" i="13"/>
  <c r="R219" i="13"/>
  <c r="S219" i="13" s="1"/>
  <c r="L6" i="25"/>
  <c r="N6" i="25" s="1"/>
  <c r="D36" i="40" l="1"/>
  <c r="K315" i="25"/>
  <c r="L315" i="25" s="1"/>
  <c r="C36" i="40" s="1"/>
  <c r="N315" i="25"/>
</calcChain>
</file>

<file path=xl/sharedStrings.xml><?xml version="1.0" encoding="utf-8"?>
<sst xmlns="http://schemas.openxmlformats.org/spreadsheetml/2006/main" count="978" uniqueCount="568">
  <si>
    <t>en % de la moyenne après écrêtage</t>
  </si>
  <si>
    <t>pt après écrêtage</t>
  </si>
  <si>
    <t>pts écrêtés</t>
  </si>
  <si>
    <t>Valeur pt après écrêtage</t>
  </si>
  <si>
    <t>Plafonnement de l'aide</t>
  </si>
  <si>
    <t>L'Isle</t>
  </si>
  <si>
    <t>Lussery-Villars</t>
  </si>
  <si>
    <t>Mauraz</t>
  </si>
  <si>
    <t>Mex</t>
  </si>
  <si>
    <t>Moiry</t>
  </si>
  <si>
    <t>Corcelles-près-Payerne</t>
  </si>
  <si>
    <t>Grandcour</t>
  </si>
  <si>
    <t>Henniez</t>
  </si>
  <si>
    <t>Missy</t>
  </si>
  <si>
    <t>Payerne</t>
  </si>
  <si>
    <t>Trey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</si>
  <si>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</si>
  <si>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</si>
  <si>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</si>
  <si>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</si>
  <si>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</si>
  <si>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</si>
  <si>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</si>
  <si>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</si>
  <si>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</si>
  <si>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</si>
  <si>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</si>
  <si>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</si>
  <si>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</si>
  <si>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</si>
  <si>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</si>
  <si>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</si>
  <si>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</si>
  <si>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</si>
  <si>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Saint-Barthélemy</t>
  </si>
  <si>
    <t>Villars-le-Terroir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</si>
  <si>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</si>
  <si>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</si>
  <si>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</si>
  <si>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</si>
  <si>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</si>
  <si>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</si>
  <si>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</si>
  <si>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</si>
  <si>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</si>
  <si>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</si>
  <si>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</si>
  <si>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</si>
  <si>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Plafond transports</t>
  </si>
  <si>
    <t>Plafond forêts</t>
  </si>
  <si>
    <t>No OFS</t>
  </si>
  <si>
    <t>Fonds de péréquation</t>
  </si>
  <si>
    <t>IFO normalisé à 100</t>
  </si>
  <si>
    <t>Corsier-sur-Vevey</t>
  </si>
  <si>
    <t>Jongny</t>
  </si>
  <si>
    <t>Montreux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</si>
  <si>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</si>
  <si>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</si>
  <si>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</si>
  <si>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</si>
  <si>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</si>
  <si>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</si>
  <si>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</si>
  <si>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</si>
  <si>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</si>
  <si>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</si>
  <si>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</si>
  <si>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</si>
  <si>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</si>
  <si>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</si>
  <si>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</t>
  </si>
  <si>
    <t>Habitants</t>
  </si>
  <si>
    <t>Valeur par habitant</t>
  </si>
  <si>
    <t>Valeur du point après écrêtage</t>
  </si>
  <si>
    <t>Nyon</t>
  </si>
  <si>
    <t>Prangins</t>
  </si>
  <si>
    <t>Bougy-Villars</t>
  </si>
  <si>
    <t>Yvorne</t>
  </si>
  <si>
    <t>Apples</t>
  </si>
  <si>
    <t>Aubonne</t>
  </si>
  <si>
    <t>Ballens</t>
  </si>
  <si>
    <t>Berolle</t>
  </si>
  <si>
    <t>Bière</t>
  </si>
  <si>
    <t>Taux communal</t>
  </si>
  <si>
    <t>ISP</t>
  </si>
  <si>
    <t>IPE</t>
  </si>
  <si>
    <t>IBC</t>
  </si>
  <si>
    <t>IET</t>
  </si>
  <si>
    <t>ISO</t>
  </si>
  <si>
    <t>IMM</t>
  </si>
  <si>
    <t>IFO</t>
  </si>
  <si>
    <t>STO</t>
  </si>
  <si>
    <t>IFR</t>
  </si>
  <si>
    <t>ISD</t>
  </si>
  <si>
    <t>DMU</t>
  </si>
  <si>
    <t>IGI</t>
  </si>
  <si>
    <t>TOT</t>
  </si>
  <si>
    <t>Facture sociale à charge des communes</t>
  </si>
  <si>
    <t>Facture sociale</t>
  </si>
  <si>
    <t>Alimentation</t>
  </si>
  <si>
    <t>./. Dép. thématiques</t>
  </si>
  <si>
    <t>Commune</t>
  </si>
  <si>
    <t>Chavannes-sur-Moudon</t>
  </si>
  <si>
    <t>Curtilles</t>
  </si>
  <si>
    <t>Dompierre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</si>
  <si>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</si>
  <si>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</si>
  <si>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</si>
  <si>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</si>
  <si>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</si>
  <si>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</si>
  <si>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</si>
  <si>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</si>
  <si>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</si>
  <si>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</si>
  <si>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Arnex-sur-Nyon</t>
  </si>
  <si>
    <t>Bassins</t>
  </si>
  <si>
    <t>Chessel</t>
  </si>
  <si>
    <t>Corbeyrier</t>
  </si>
  <si>
    <t>Gryon</t>
  </si>
  <si>
    <t>Lavey-Morcles</t>
  </si>
  <si>
    <t>Leysin</t>
  </si>
  <si>
    <t>Noville</t>
  </si>
  <si>
    <t>Ollon</t>
  </si>
  <si>
    <t>Sainte-Croix</t>
  </si>
  <si>
    <t>Lausanne</t>
  </si>
  <si>
    <t>Le Mont-sur-Lausanne</t>
  </si>
  <si>
    <t>Paudex</t>
  </si>
  <si>
    <t>Prilly</t>
  </si>
  <si>
    <t>Pully</t>
  </si>
  <si>
    <t>Taux projeté</t>
  </si>
  <si>
    <t>Plafonnement du taux</t>
  </si>
  <si>
    <t>Contrôle du taux projeté</t>
  </si>
  <si>
    <t>Rivaz</t>
  </si>
  <si>
    <t>St-Saphorin (Lavaux)</t>
  </si>
  <si>
    <t>Ormont-Dessous</t>
  </si>
  <si>
    <t>Ormont-Dessus</t>
  </si>
  <si>
    <t>Rennaz</t>
  </si>
  <si>
    <t>Roche</t>
  </si>
  <si>
    <t>Villeneuve</t>
  </si>
  <si>
    <t>Romainmôtier-Envy</t>
  </si>
  <si>
    <t>Sergey</t>
  </si>
  <si>
    <t>Valeyres-sous-Rances</t>
  </si>
  <si>
    <t>Total</t>
  </si>
  <si>
    <t>Dépenses thématiques</t>
  </si>
  <si>
    <t>Ferreyres</t>
  </si>
  <si>
    <t>Gollion</t>
  </si>
  <si>
    <t>Grancy</t>
  </si>
  <si>
    <t>Forel (Lavaux)</t>
  </si>
  <si>
    <t>Lutry</t>
  </si>
  <si>
    <t>Péréquation directe nette</t>
  </si>
  <si>
    <t>Plafond en pts</t>
  </si>
  <si>
    <t>Bremblens</t>
  </si>
  <si>
    <t>Buchillon</t>
  </si>
  <si>
    <t>Yvonand</t>
  </si>
  <si>
    <t>Yverdon-les-Bains</t>
  </si>
  <si>
    <t>Clarmont</t>
  </si>
  <si>
    <t>Denens</t>
  </si>
  <si>
    <t>Denges</t>
  </si>
  <si>
    <t>Echandens</t>
  </si>
  <si>
    <t>Echichens</t>
  </si>
  <si>
    <t>Ecublens</t>
  </si>
  <si>
    <t>Etoy</t>
  </si>
  <si>
    <t>Lavigny</t>
  </si>
  <si>
    <t>Lonay</t>
  </si>
  <si>
    <t>Lully</t>
  </si>
  <si>
    <t>Lussy-sur-Morges</t>
  </si>
  <si>
    <t>Morges</t>
  </si>
  <si>
    <t>Préverenges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</si>
  <si>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</si>
  <si>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</si>
  <si>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</si>
  <si>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</si>
  <si>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</si>
  <si>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</si>
  <si>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</si>
  <si>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</si>
  <si>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</si>
  <si>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</si>
  <si>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</si>
  <si>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</si>
  <si>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</si>
  <si>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</si>
  <si>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</si>
  <si>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</si>
  <si>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</si>
  <si>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</t>
  </si>
  <si>
    <t>Echallens</t>
  </si>
  <si>
    <t>Essertines-sur-Yverdon</t>
  </si>
  <si>
    <t>Etagnières</t>
  </si>
  <si>
    <t>Fey</t>
  </si>
  <si>
    <t>Froideville</t>
  </si>
  <si>
    <t>Morrens</t>
  </si>
  <si>
    <t>Oulens-sous-Echallens</t>
  </si>
  <si>
    <t>Pailly</t>
  </si>
  <si>
    <t>Penthéréaz</t>
  </si>
  <si>
    <t>Poliez-Pittet</t>
  </si>
  <si>
    <t>Rueyres</t>
  </si>
  <si>
    <t>Sous-total</t>
  </si>
  <si>
    <t>Frontaliers</t>
  </si>
  <si>
    <t>Successions et donations</t>
  </si>
  <si>
    <t>Droits de mutation</t>
  </si>
  <si>
    <t>Gains immobiliers</t>
  </si>
  <si>
    <t>Villars-sous-Yens</t>
  </si>
  <si>
    <t>Vufflens-le-Château</t>
  </si>
  <si>
    <t>Vullierens</t>
  </si>
  <si>
    <t>Yens</t>
  </si>
  <si>
    <t>Boulens</t>
  </si>
  <si>
    <t>Bussy-sur-Moudon</t>
  </si>
  <si>
    <t>Le Chenit</t>
  </si>
  <si>
    <t>Le Lieu</t>
  </si>
  <si>
    <t>Blonay</t>
  </si>
  <si>
    <t>Chardonne</t>
  </si>
  <si>
    <t>Corseaux</t>
  </si>
  <si>
    <t>Boussens</t>
  </si>
  <si>
    <t>La Chaux (Cossonay)</t>
  </si>
  <si>
    <t>Plafonnement de l'effort</t>
  </si>
  <si>
    <t>Solde net des péréquations</t>
  </si>
  <si>
    <t>Prise en charge dépassement</t>
  </si>
  <si>
    <t>Forêts</t>
  </si>
  <si>
    <t>Dépassement forêts</t>
  </si>
  <si>
    <t>Romanel-sur-Lausanne</t>
  </si>
  <si>
    <t>La Praz</t>
  </si>
  <si>
    <t>Premier</t>
  </si>
  <si>
    <t>Rances</t>
  </si>
  <si>
    <t>Indicateurs financiers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</si>
  <si>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</si>
  <si>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</si>
  <si>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</si>
  <si>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</si>
  <si>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</si>
  <si>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</si>
  <si>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</si>
  <si>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</si>
  <si>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</si>
  <si>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</si>
  <si>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</si>
  <si>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</si>
  <si>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</si>
  <si>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</si>
  <si>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</si>
  <si>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</si>
  <si>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</si>
  <si>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</si>
  <si>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</si>
  <si>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</si>
  <si>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Cottens</t>
  </si>
  <si>
    <t>Cuarnens</t>
  </si>
  <si>
    <t>Daillens</t>
  </si>
  <si>
    <t>Dizy</t>
  </si>
  <si>
    <t>Eclépens</t>
  </si>
  <si>
    <t>Pertes débiteurs</t>
  </si>
  <si>
    <t>Modif. Ant.</t>
  </si>
  <si>
    <t>Imputation forfaitaire</t>
  </si>
  <si>
    <t>Pers. physiques - revenu/fortune corrigé</t>
  </si>
  <si>
    <t>IRF corrrigé</t>
  </si>
  <si>
    <t xml:space="preserve">Pers. physiques - revenu/fortune </t>
  </si>
  <si>
    <t xml:space="preserve">IRF </t>
  </si>
  <si>
    <t>Plafond effort</t>
  </si>
  <si>
    <t>Plafond taux</t>
  </si>
  <si>
    <t>Chavannes-près-Renens</t>
  </si>
  <si>
    <t>Chigny</t>
  </si>
  <si>
    <t>Diff. De taux</t>
  </si>
  <si>
    <t>Impôt spécial affecté</t>
  </si>
  <si>
    <t>Impôt personnel</t>
  </si>
  <si>
    <t>Pers. morales bénéfice / capital</t>
  </si>
  <si>
    <t>Aigle</t>
  </si>
  <si>
    <t>Bex</t>
  </si>
  <si>
    <t>Taux après déduction de l'effort péréquatif</t>
  </si>
  <si>
    <t>Somme des efforts péréquatifs prévus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</si>
  <si>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</si>
  <si>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</si>
  <si>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</si>
  <si>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</si>
  <si>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</si>
  <si>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</si>
  <si>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</si>
  <si>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</si>
  <si>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Montagny-près-Yverdon</t>
  </si>
  <si>
    <t>Oppens</t>
  </si>
  <si>
    <t>Orges</t>
  </si>
  <si>
    <t>Ursins</t>
  </si>
  <si>
    <t>Vugelles-La Mothe</t>
  </si>
  <si>
    <t>./. Gestion du fonds</t>
  </si>
  <si>
    <t>Corcelles-le-Jorat</t>
  </si>
  <si>
    <t>Essertes</t>
  </si>
  <si>
    <t>Maracon</t>
  </si>
  <si>
    <t>Montpreveyres</t>
  </si>
  <si>
    <t>Ropraz</t>
  </si>
  <si>
    <t>Servion</t>
  </si>
  <si>
    <t>Mutrux</t>
  </si>
  <si>
    <t>Novalles</t>
  </si>
  <si>
    <t>Onnens</t>
  </si>
  <si>
    <t>Provence</t>
  </si>
  <si>
    <t>Recettes conjoncturelles en pts</t>
  </si>
  <si>
    <t>A répartir selon clé</t>
  </si>
  <si>
    <t>en % de la moyenne</t>
  </si>
  <si>
    <t>Seuil 1</t>
  </si>
  <si>
    <t>Seuil 2</t>
  </si>
  <si>
    <t>Total écrêtage</t>
  </si>
  <si>
    <t>Seuil 0</t>
  </si>
  <si>
    <t>Montant à recevoir</t>
  </si>
  <si>
    <t>Total à recevoir</t>
  </si>
  <si>
    <t>Savigny</t>
  </si>
  <si>
    <t>Chexbres</t>
  </si>
  <si>
    <t>Villars-Epeney</t>
  </si>
  <si>
    <t>Puidoux</t>
  </si>
  <si>
    <t>Bussy-Chardonney</t>
  </si>
  <si>
    <t>Total transports</t>
  </si>
  <si>
    <t>Dépassement transports</t>
  </si>
  <si>
    <t>Population</t>
  </si>
  <si>
    <t>Capacité fiscale totale</t>
  </si>
  <si>
    <t>Montant perçu</t>
  </si>
  <si>
    <t>Bas</t>
  </si>
  <si>
    <t>Seuils de population</t>
  </si>
  <si>
    <t>Haut</t>
  </si>
  <si>
    <t>Montants</t>
  </si>
  <si>
    <t>Compensation brute</t>
  </si>
  <si>
    <t>Reverolle</t>
  </si>
  <si>
    <t>Romanel-sur-Morges</t>
  </si>
  <si>
    <t>Saint-Prex</t>
  </si>
  <si>
    <t>Saint-Sulpice</t>
  </si>
  <si>
    <t>Tolochenaz</t>
  </si>
  <si>
    <t>Vaux-sur-Morges</t>
  </si>
  <si>
    <t>Villars-Sainte-Croix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</si>
  <si>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</si>
  <si>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</si>
  <si>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</si>
  <si>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</si>
  <si>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</si>
  <si>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</si>
  <si>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</si>
  <si>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</si>
  <si>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</si>
  <si>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Péréquation directe</t>
  </si>
  <si>
    <t>Routes</t>
  </si>
  <si>
    <t>Transports publics</t>
  </si>
  <si>
    <t>Transports scolaires</t>
  </si>
  <si>
    <t>Croy</t>
  </si>
  <si>
    <t>Juriens</t>
  </si>
  <si>
    <t>Lignerolle</t>
  </si>
  <si>
    <t>Montcherand</t>
  </si>
  <si>
    <t>Orbe</t>
  </si>
  <si>
    <t>Vallorbe</t>
  </si>
  <si>
    <t>Vaulion</t>
  </si>
  <si>
    <t>Vuiteboeuf</t>
  </si>
  <si>
    <t>Effort plafonné</t>
  </si>
  <si>
    <t>Impôts suivant le taux</t>
  </si>
  <si>
    <t>Féchy</t>
  </si>
  <si>
    <t>Gimel</t>
  </si>
  <si>
    <t>Saint-Livres</t>
  </si>
  <si>
    <t>Saint-Oyens</t>
  </si>
  <si>
    <t>Saubraz</t>
  </si>
  <si>
    <t>Avenches</t>
  </si>
  <si>
    <t>Cudrefin</t>
  </si>
  <si>
    <t>Faoug</t>
  </si>
  <si>
    <t>Bettens</t>
  </si>
  <si>
    <t>Bournens</t>
  </si>
  <si>
    <t>% taux communal moyen</t>
  </si>
  <si>
    <t>Compensation nette</t>
  </si>
  <si>
    <t>Différence à compenser</t>
  </si>
  <si>
    <t>A recevoir population</t>
  </si>
  <si>
    <t>Total péréquation directe</t>
  </si>
  <si>
    <t>Total éléments divers</t>
  </si>
  <si>
    <t>Effort total net</t>
  </si>
  <si>
    <t xml:space="preserve">Taux actuel </t>
  </si>
  <si>
    <t xml:space="preserve">Solde net actuel
</t>
  </si>
  <si>
    <t xml:space="preserve">Taux </t>
  </si>
  <si>
    <t>Pop.</t>
  </si>
  <si>
    <t>Longirod</t>
  </si>
  <si>
    <t>Marchissy</t>
  </si>
  <si>
    <t>Mollens</t>
  </si>
  <si>
    <t>Montherod</t>
  </si>
  <si>
    <t>Saint-George</t>
  </si>
  <si>
    <t>Total des prises en charges</t>
  </si>
  <si>
    <t>Thématique</t>
  </si>
  <si>
    <t>Effort total</t>
  </si>
  <si>
    <t>Valeur du point</t>
  </si>
  <si>
    <t>Plafonnement en francs</t>
  </si>
  <si>
    <t>Chavannes-le-Veyron</t>
  </si>
  <si>
    <t>Chevilly</t>
  </si>
  <si>
    <t>Cossonay</t>
  </si>
  <si>
    <t>./. Conjoncturelles</t>
  </si>
  <si>
    <t>./. Ecrêtage</t>
  </si>
  <si>
    <t>Paramétrage des critères de péréquation</t>
  </si>
  <si>
    <t>Prise en charge (%)</t>
  </si>
  <si>
    <t>Montants affectés aux plafonnements</t>
  </si>
  <si>
    <t>Seuil max (pts)</t>
  </si>
  <si>
    <t>Impôt sur les étrangers</t>
  </si>
  <si>
    <t>Impôt à la source</t>
  </si>
  <si>
    <t>Pers. morales immeubles</t>
  </si>
  <si>
    <t>Impôt foncier</t>
  </si>
  <si>
    <t>Vulliens</t>
  </si>
  <si>
    <t>Champtauroz</t>
  </si>
  <si>
    <t>Chevroux</t>
  </si>
  <si>
    <t>Belmont-sur-Lausanne</t>
  </si>
  <si>
    <t>Cheseaux-sur-Lausanne</t>
  </si>
  <si>
    <t>Crissier</t>
  </si>
  <si>
    <t>Epalinges</t>
  </si>
  <si>
    <t>Jouxtens-Mézery</t>
  </si>
  <si>
    <t>Mathod</t>
  </si>
  <si>
    <t>Molondin</t>
  </si>
  <si>
    <t>Renens</t>
  </si>
  <si>
    <t>Valeyres-sous-Montagny</t>
  </si>
  <si>
    <t>Valeyres-sous-Ursins</t>
  </si>
  <si>
    <t>Orzens</t>
  </si>
  <si>
    <t>Pomy</t>
  </si>
  <si>
    <t>Rovray</t>
  </si>
  <si>
    <t>Suchy</t>
  </si>
  <si>
    <t>Suscévaz</t>
  </si>
  <si>
    <t>Treycovagnes</t>
  </si>
  <si>
    <t>Aclens</t>
  </si>
  <si>
    <t>Total part communale</t>
  </si>
  <si>
    <t>Répartition selon péréquation</t>
  </si>
  <si>
    <t>Solde péréquation directe</t>
  </si>
  <si>
    <t>Points</t>
  </si>
  <si>
    <t>Seuil 3</t>
  </si>
  <si>
    <t>Effort total sans thématiques</t>
  </si>
  <si>
    <t>Plafonnement aide</t>
  </si>
  <si>
    <t>Pers. physiques - revenu</t>
  </si>
  <si>
    <t xml:space="preserve">Pers. physiques - fortune </t>
  </si>
  <si>
    <t xml:space="preserve">Pers. morales bénéfice </t>
  </si>
  <si>
    <t>Pers. morales  capital</t>
  </si>
  <si>
    <t>Impôt sur la dépense (étrangers)</t>
  </si>
  <si>
    <t>Impôt récupéré après défalcation</t>
  </si>
  <si>
    <t>PPR</t>
  </si>
  <si>
    <t>PPF</t>
  </si>
  <si>
    <t>PMB</t>
  </si>
  <si>
    <t>PMC</t>
  </si>
  <si>
    <t>Montant plafonnement totaux</t>
  </si>
  <si>
    <t xml:space="preserve">Montant prélevé </t>
  </si>
  <si>
    <t xml:space="preserve">./. Plafonnements totaux </t>
  </si>
  <si>
    <t xml:space="preserve">./. Réserve </t>
  </si>
  <si>
    <t>Valeur du point d'impôt écrêté</t>
  </si>
  <si>
    <t>Point d'impôts écrêtés</t>
  </si>
  <si>
    <t>Recettes conjoncturelles (mutations + gains immob + successions)</t>
  </si>
  <si>
    <t>A recevoir solidarité</t>
  </si>
  <si>
    <t>Solde solidarité et population</t>
  </si>
  <si>
    <t>Bourg-en-Lavaux</t>
  </si>
  <si>
    <t>Tévenon</t>
  </si>
  <si>
    <t>Vully-les-Lacs</t>
  </si>
  <si>
    <t>Goumoëns</t>
  </si>
  <si>
    <t>Montilliez</t>
  </si>
  <si>
    <t>Jorat-Menthue</t>
  </si>
  <si>
    <t>Valbroye</t>
  </si>
  <si>
    <t>Oron</t>
  </si>
  <si>
    <t>Prélèvements conjoncturels</t>
  </si>
  <si>
    <t>Facture en points d'impôts écrêtés</t>
  </si>
  <si>
    <t>Plafond de 
taux et de l'effort</t>
  </si>
  <si>
    <t>Variation facture sociale</t>
  </si>
  <si>
    <t>Variation point d'impôt</t>
  </si>
  <si>
    <t>Indexation</t>
  </si>
  <si>
    <t>Plafond aide</t>
  </si>
  <si>
    <t>Bussigny</t>
  </si>
  <si>
    <t>Arzier-Le Muids</t>
  </si>
  <si>
    <t>Montanaire</t>
  </si>
  <si>
    <t>Valeur point impôt écrêtés</t>
  </si>
  <si>
    <t>Dépassement routes</t>
  </si>
  <si>
    <t>Droits mutations, GI, successions et donations</t>
  </si>
  <si>
    <t>Indice IPC au 1er janvier 2010</t>
  </si>
  <si>
    <t>Indice IPC au 30 juin de l'année du décompte</t>
  </si>
  <si>
    <t>Montant à affecter ajusté à l'IPC</t>
  </si>
  <si>
    <t>Population selon FAO</t>
  </si>
  <si>
    <t xml:space="preserve">Rendement des impôts et taxes communaux  (en CHF)   </t>
  </si>
  <si>
    <t>Année de référence</t>
  </si>
  <si>
    <t>Valeur du point communal</t>
  </si>
  <si>
    <t>Péréquation directe - Couche Population</t>
  </si>
  <si>
    <t>Péréquation directe - Couche Solidarité</t>
  </si>
  <si>
    <t>CHF</t>
  </si>
  <si>
    <t>Pts</t>
  </si>
  <si>
    <t>A rendre en CHF</t>
  </si>
  <si>
    <t>Effort péréquatif en points</t>
  </si>
  <si>
    <t>A) Période de calcul</t>
  </si>
  <si>
    <t>B) Prélèvement sur recettes conjoncturelles</t>
  </si>
  <si>
    <t>C) Ecrêtage</t>
  </si>
  <si>
    <t>pour une capacité dépassant</t>
  </si>
  <si>
    <t>D) Couche population</t>
  </si>
  <si>
    <t>Montant à affecter par habitant</t>
  </si>
  <si>
    <t>E) Couche solidarité</t>
  </si>
  <si>
    <t>F) Ecart péréquation horizontale</t>
  </si>
  <si>
    <t>G) Dépenses thématiques</t>
  </si>
  <si>
    <t>Transports, nombre de points</t>
  </si>
  <si>
    <t>Prise en charge maximale</t>
  </si>
  <si>
    <t xml:space="preserve">I) Indexation </t>
  </si>
  <si>
    <t>H) Paramètres de plafonnement en points</t>
  </si>
  <si>
    <t>Impôts théoriques</t>
  </si>
  <si>
    <t>Synthèse en CHF</t>
  </si>
  <si>
    <t>Ecrêtage</t>
  </si>
  <si>
    <t xml:space="preserve">J) Liste des communes A--&gt;Z </t>
  </si>
  <si>
    <t>Recettes conjoncturelles (DM + GI + Succ.)</t>
  </si>
  <si>
    <t>Répartition solde après prélèvements</t>
  </si>
  <si>
    <t>Nombre de points écrêtés</t>
  </si>
  <si>
    <t>Total de la facture sociale</t>
  </si>
  <si>
    <t>Solidarité</t>
  </si>
  <si>
    <t>Transports</t>
  </si>
  <si>
    <t>Plafonnements</t>
  </si>
  <si>
    <t>Effort</t>
  </si>
  <si>
    <t>Aide</t>
  </si>
  <si>
    <t>Taux</t>
  </si>
  <si>
    <t>Total de la péréquation directe</t>
  </si>
  <si>
    <t>Montant à charge de la commune</t>
  </si>
  <si>
    <t>Résumé par commune</t>
  </si>
  <si>
    <t>Communes sans police communale/intercommunale = 0</t>
  </si>
  <si>
    <t>Imp théoriques</t>
  </si>
  <si>
    <t>Facturation de l'Etat au coût réel (Fr/hab) aux communes délégatrices, mais max 2 pts</t>
  </si>
  <si>
    <t>Manco pour l'Etat - à couvrir par la péréquation (en points d'impôts écrêtés)</t>
  </si>
  <si>
    <t>Montant total avec le renchérissement à payer par les communes en pts d'impôts écrêtés</t>
  </si>
  <si>
    <t>Total à charge des communes</t>
  </si>
  <si>
    <t>Réforme policière</t>
  </si>
  <si>
    <t>Financement reçu pour les nouvelles tâches</t>
  </si>
  <si>
    <t>J) Réforme policière</t>
  </si>
  <si>
    <t>Nombre de point</t>
  </si>
  <si>
    <t>Coût réel par habitant en CHF</t>
  </si>
  <si>
    <t>Point d'impôt écrêté</t>
  </si>
  <si>
    <t>Référome policière</t>
  </si>
  <si>
    <t>Charges pour commune sans police</t>
  </si>
  <si>
    <t>Répartition du solde</t>
  </si>
  <si>
    <t>Total net</t>
  </si>
  <si>
    <t>Facture</t>
  </si>
  <si>
    <t>Date population</t>
  </si>
  <si>
    <t>Date taux d'impôt</t>
  </si>
  <si>
    <t>Taux IFO</t>
  </si>
  <si>
    <t>Total de la réforme policière</t>
  </si>
  <si>
    <t>Date plafonnement du taux (N-1)</t>
  </si>
  <si>
    <t>Seuil de population (habitants). Art. 2 DLPIC</t>
  </si>
  <si>
    <t>Selon Art. 3 DLPIC</t>
  </si>
  <si>
    <t>Gestion du fond (montant négatif). Art. 8 DLPIC</t>
  </si>
  <si>
    <t>% prélevé. Art. 4 LPIC</t>
  </si>
  <si>
    <t>Frontaliers. Art. 3 LPIC</t>
  </si>
  <si>
    <t>Forêts, nombre de points. Art. 4 DLPIC</t>
  </si>
  <si>
    <t>Effort maximum plafonné. Art. 5 DLPIC</t>
  </si>
  <si>
    <t>Taux maximum plafoné. Art. 6 DLPIC</t>
  </si>
  <si>
    <t>Aide maximale plafonnée. Art. 7 DLPIC</t>
  </si>
  <si>
    <t>x</t>
  </si>
  <si>
    <t>P é r é q u a t i o n   i n d i r e c t e   (facture sociale)</t>
  </si>
  <si>
    <t>P é r é q u a t i o n   d i r e c t e</t>
  </si>
  <si>
    <t>R é f o r m e   p o l i c i è r e</t>
  </si>
  <si>
    <t>T o t a l   p é r é q u a t i o n   d i r e c t e,   i n d i r e c t e   e t   p o l i c e</t>
  </si>
  <si>
    <t>Treytorrens (Payerne)</t>
  </si>
  <si>
    <t>Saint-Légier-La Chiésaz</t>
  </si>
  <si>
    <t>Commune
LDecTer, Etat 01.05.2014</t>
  </si>
  <si>
    <t>Effort péréquatif. Art. 5 DLPIC</t>
  </si>
  <si>
    <t>Dépassement du taux. Art. 6 DLPIC</t>
  </si>
  <si>
    <t>Valeur du point par habitant après écrêtage</t>
  </si>
  <si>
    <t>Année 2018</t>
  </si>
  <si>
    <t>Montant écrêtage pour calculer le point impôt écrêté</t>
  </si>
  <si>
    <t>*Année 2019</t>
  </si>
  <si>
    <t>* Cela équivaut à la suppression du point d'impôt écrêté</t>
  </si>
  <si>
    <t>- Changement des taux</t>
  </si>
  <si>
    <t>- Rajout palier entre 100 et 120 %</t>
  </si>
  <si>
    <t>Pour mémoire, dès 2019</t>
  </si>
  <si>
    <t>La rémunération passe de 
100 à 125 pour la 1ère tranche</t>
  </si>
  <si>
    <t>*Max. selon art. 4 DLPIC</t>
  </si>
  <si>
    <t>* Dès 2019, le plafond passera de 4 à 4.5</t>
  </si>
  <si>
    <t>Jorat-Mézières</t>
  </si>
  <si>
    <t xml:space="preserve">Année 2018 : </t>
  </si>
  <si>
    <t>Dès 2019 :</t>
  </si>
  <si>
    <t>Facture sociale selon budget 2017</t>
  </si>
  <si>
    <t>Valeur du point d'impôt communal selon acomptes 2017</t>
  </si>
  <si>
    <t>Total des prises en charges pour plfd aide</t>
  </si>
  <si>
    <t>Acomptes 2018</t>
  </si>
  <si>
    <t>Acomptes 2017</t>
  </si>
  <si>
    <t>Année 2019</t>
  </si>
  <si>
    <t>Situation N-1 (plafond de l'effort)</t>
  </si>
  <si>
    <t>Situation N-1 (plafond du taux)</t>
  </si>
  <si>
    <t>selon article 13 DLPIC ramené à 45 pour les années 2018 et 2019</t>
  </si>
  <si>
    <t>Valeur du point d'impôt communal selon acomptes 2018</t>
  </si>
  <si>
    <t>Facture sociale selon budget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</si>
</sst>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 * #,##0.00_ ;_ * \-#,##0.00_ ;_ * &quot;-&quot;??_ ;_ @_ "/>
    <numFmt numFmtId="164" formatCode="_-* #,##0.00_-;\-* #,##0.00_-;_-* &quot;-&quot;??_-;_-@_-"/>
    <numFmt numFmtId="165" formatCode="#\ ###\ ###\ ##0"/>
    <numFmt numFmtId="166" formatCode="#,##0.0"/>
    <numFmt numFmtId="167" formatCode="0.0%"/>
    <numFmt numFmtId="168" formatCode="#\ ###\ ##0"/>
    <numFmt numFmtId="169" formatCode="0.000"/>
    <numFmt numFmtId="170" formatCode="#,##0.000"/>
    <numFmt numFmtId="171" formatCode="#,##0;\-#,##0;"/>
    <numFmt numFmtId="172" formatCode="#,##0.000000"/>
    <numFmt numFmtId="173" formatCode="0.0000"/>
    <numFmt numFmtId="174" formatCode="_-* #,##0_-;\-* #,##0_-;_-* &quot;-&quot;??_-;_-@_-"/>
    <numFmt numFmtId="175" formatCode="_ * #,##0_ ;_ * \-#,##0_ ;_ * &quot;-&quot;??_ ;_ @_ "/>
    <numFmt numFmtId="176" formatCode="_-* #,##0.0_-;\-* #,##0.0_-;_-* &quot;-&quot;??_-;_-@_-"/>
    <numFmt numFmtId="177" formatCode="_ * #,##0.000_ ;_ * \-#,##0.000_ ;_ * &quot;-&quot;??_ ;_ @_ "/>
    <numFmt numFmtId="178" formatCode="_-* #,##0.000_-;\-* #,##0.000_-;_-* &quot;-&quot;??_-;_-@_-"/>
    <numFmt numFmtId="179" formatCode="0.000%"/>
  </numFmts>
  <fonts count="30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 Narrow"/>
      <family val="2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24"/>
      <name val="Calibri"/>
      <family val="2"/>
      <scheme val="minor"/>
    </font>
    <font>
      <sz val="20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color theme="0"/>
      <name val="Trebuchet MS"/>
      <family val="2"/>
    </font>
    <font>
      <b/>
      <sz val="10"/>
      <name val="Calibri"/>
      <family val="2"/>
      <scheme val="minor"/>
    </font>
    <font>
      <sz val="14"/>
      <name val="Trebuchet MS"/>
      <family val="2"/>
    </font>
    <font>
      <sz val="11"/>
      <color theme="0"/>
      <name val="Calibri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9" fillId="0" borderId="1"/>
    <xf numFmtId="0" fontId="10" fillId="0" borderId="0"/>
    <xf numFmtId="0" fontId="9" fillId="0" borderId="2">
      <alignment vertical="top"/>
    </xf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8" fillId="0" borderId="0"/>
    <xf numFmtId="0" fontId="6" fillId="0" borderId="0"/>
    <xf numFmtId="0" fontId="12" fillId="0" borderId="0"/>
    <xf numFmtId="0" fontId="5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1" fillId="0" borderId="0"/>
  </cellStyleXfs>
  <cellXfs count="478">
    <xf numFmtId="0" fontId="0" fillId="0" borderId="0" xfId="0"/>
    <xf numFmtId="174" fontId="14" fillId="0" borderId="0" xfId="4" applyNumberFormat="1" applyFont="1" applyFill="1" applyBorder="1"/>
    <xf numFmtId="174" fontId="14" fillId="2" borderId="0" xfId="4" applyNumberFormat="1" applyFont="1" applyFill="1" applyBorder="1"/>
    <xf numFmtId="174" fontId="14" fillId="2" borderId="5" xfId="4" applyNumberFormat="1" applyFont="1" applyFill="1" applyBorder="1"/>
    <xf numFmtId="174" fontId="14" fillId="3" borderId="5" xfId="4" applyNumberFormat="1" applyFont="1" applyFill="1" applyBorder="1"/>
    <xf numFmtId="0" fontId="14" fillId="4" borderId="0" xfId="0" applyNumberFormat="1" applyFont="1" applyFill="1" applyAlignment="1">
      <alignment horizontal="left"/>
    </xf>
    <xf numFmtId="0" fontId="14" fillId="4" borderId="0" xfId="0" applyNumberFormat="1" applyFont="1" applyFill="1" applyAlignment="1">
      <alignment horizontal="center"/>
    </xf>
    <xf numFmtId="174" fontId="14" fillId="4" borderId="0" xfId="4" applyNumberFormat="1" applyFont="1" applyFill="1" applyAlignment="1">
      <alignment horizontal="center"/>
    </xf>
    <xf numFmtId="174" fontId="14" fillId="4" borderId="0" xfId="4" applyNumberFormat="1" applyFont="1" applyFill="1"/>
    <xf numFmtId="174" fontId="14" fillId="4" borderId="0" xfId="4" applyNumberFormat="1" applyFont="1" applyFill="1" applyAlignment="1">
      <alignment horizontal="left"/>
    </xf>
    <xf numFmtId="174" fontId="15" fillId="4" borderId="0" xfId="4" applyNumberFormat="1" applyFont="1" applyFill="1"/>
    <xf numFmtId="0" fontId="14" fillId="4" borderId="14" xfId="0" applyNumberFormat="1" applyFont="1" applyFill="1" applyBorder="1" applyAlignment="1">
      <alignment horizontal="center"/>
    </xf>
    <xf numFmtId="0" fontId="14" fillId="4" borderId="5" xfId="0" applyNumberFormat="1" applyFont="1" applyFill="1" applyBorder="1" applyAlignment="1">
      <alignment horizontal="center"/>
    </xf>
    <xf numFmtId="3" fontId="14" fillId="4" borderId="9" xfId="0" applyNumberFormat="1" applyFont="1" applyFill="1" applyBorder="1"/>
    <xf numFmtId="174" fontId="14" fillId="4" borderId="5" xfId="4" applyNumberFormat="1" applyFont="1" applyFill="1" applyBorder="1"/>
    <xf numFmtId="174" fontId="14" fillId="4" borderId="14" xfId="4" applyNumberFormat="1" applyFont="1" applyFill="1" applyBorder="1"/>
    <xf numFmtId="165" fontId="14" fillId="4" borderId="0" xfId="0" applyNumberFormat="1" applyFont="1" applyFill="1"/>
    <xf numFmtId="3" fontId="14" fillId="4" borderId="0" xfId="0" applyNumberFormat="1" applyFont="1" applyFill="1"/>
    <xf numFmtId="0" fontId="14" fillId="4" borderId="0" xfId="0" applyFont="1" applyFill="1"/>
    <xf numFmtId="174" fontId="14" fillId="4" borderId="0" xfId="4" applyNumberFormat="1" applyFont="1" applyFill="1" applyBorder="1"/>
    <xf numFmtId="164" fontId="14" fillId="4" borderId="0" xfId="4" applyFont="1" applyFill="1"/>
    <xf numFmtId="0" fontId="14" fillId="4" borderId="0" xfId="0" applyFont="1" applyFill="1" applyAlignment="1">
      <alignment vertical="top" wrapText="1"/>
    </xf>
    <xf numFmtId="164" fontId="14" fillId="4" borderId="5" xfId="4" applyFont="1" applyFill="1" applyBorder="1" applyAlignment="1">
      <alignment horizontal="center"/>
    </xf>
    <xf numFmtId="164" fontId="14" fillId="4" borderId="0" xfId="0" applyNumberFormat="1" applyFont="1" applyFill="1"/>
    <xf numFmtId="174" fontId="14" fillId="4" borderId="3" xfId="4" applyNumberFormat="1" applyFont="1" applyFill="1" applyBorder="1"/>
    <xf numFmtId="164" fontId="14" fillId="4" borderId="14" xfId="4" applyFont="1" applyFill="1" applyBorder="1"/>
    <xf numFmtId="174" fontId="13" fillId="6" borderId="14" xfId="4" applyNumberFormat="1" applyFont="1" applyFill="1" applyBorder="1" applyAlignment="1">
      <alignment horizontal="center"/>
    </xf>
    <xf numFmtId="165" fontId="13" fillId="6" borderId="14" xfId="0" applyNumberFormat="1" applyFont="1" applyFill="1" applyBorder="1" applyAlignment="1">
      <alignment horizontal="center"/>
    </xf>
    <xf numFmtId="0" fontId="14" fillId="4" borderId="0" xfId="0" applyFont="1" applyFill="1" applyAlignment="1">
      <alignment horizontal="center" vertical="top" wrapText="1"/>
    </xf>
    <xf numFmtId="0" fontId="14" fillId="4" borderId="0" xfId="0" applyFont="1" applyFill="1" applyAlignment="1">
      <alignment horizontal="center"/>
    </xf>
    <xf numFmtId="0" fontId="13" fillId="6" borderId="14" xfId="4" quotePrefix="1" applyNumberFormat="1" applyFont="1" applyFill="1" applyBorder="1" applyAlignment="1">
      <alignment horizontal="center"/>
    </xf>
    <xf numFmtId="14" fontId="13" fillId="6" borderId="14" xfId="0" applyNumberFormat="1" applyFont="1" applyFill="1" applyBorder="1" applyAlignment="1">
      <alignment horizontal="center"/>
    </xf>
    <xf numFmtId="165" fontId="14" fillId="4" borderId="17" xfId="0" applyNumberFormat="1" applyFont="1" applyFill="1" applyBorder="1" applyAlignment="1">
      <alignment horizontal="center"/>
    </xf>
    <xf numFmtId="0" fontId="16" fillId="4" borderId="0" xfId="0" applyNumberFormat="1" applyFont="1" applyFill="1" applyAlignment="1">
      <alignment horizontal="left"/>
    </xf>
    <xf numFmtId="0" fontId="16" fillId="4" borderId="0" xfId="0" applyNumberFormat="1" applyFont="1" applyFill="1" applyAlignment="1">
      <alignment horizontal="center"/>
    </xf>
    <xf numFmtId="0" fontId="15" fillId="4" borderId="0" xfId="0" applyFont="1" applyFill="1"/>
    <xf numFmtId="4" fontId="14" fillId="4" borderId="0" xfId="0" applyNumberFormat="1" applyFont="1" applyFill="1"/>
    <xf numFmtId="165" fontId="14" fillId="4" borderId="0" xfId="0" applyNumberFormat="1" applyFont="1" applyFill="1" applyAlignment="1">
      <alignment horizontal="left"/>
    </xf>
    <xf numFmtId="0" fontId="14" fillId="4" borderId="14" xfId="0" applyFont="1" applyFill="1" applyBorder="1"/>
    <xf numFmtId="174" fontId="14" fillId="4" borderId="11" xfId="4" applyNumberFormat="1" applyFont="1" applyFill="1" applyBorder="1"/>
    <xf numFmtId="3" fontId="14" fillId="4" borderId="5" xfId="0" applyNumberFormat="1" applyFont="1" applyFill="1" applyBorder="1"/>
    <xf numFmtId="164" fontId="14" fillId="4" borderId="5" xfId="4" applyFont="1" applyFill="1" applyBorder="1"/>
    <xf numFmtId="2" fontId="14" fillId="4" borderId="5" xfId="0" applyNumberFormat="1" applyFont="1" applyFill="1" applyBorder="1"/>
    <xf numFmtId="2" fontId="14" fillId="4" borderId="14" xfId="0" applyNumberFormat="1" applyFont="1" applyFill="1" applyBorder="1"/>
    <xf numFmtId="174" fontId="14" fillId="4" borderId="0" xfId="0" applyNumberFormat="1" applyFont="1" applyFill="1"/>
    <xf numFmtId="174" fontId="14" fillId="5" borderId="14" xfId="4" applyNumberFormat="1" applyFont="1" applyFill="1" applyBorder="1"/>
    <xf numFmtId="174" fontId="14" fillId="3" borderId="14" xfId="4" applyNumberFormat="1" applyFont="1" applyFill="1" applyBorder="1"/>
    <xf numFmtId="3" fontId="13" fillId="6" borderId="14" xfId="0" applyNumberFormat="1" applyFont="1" applyFill="1" applyBorder="1" applyAlignment="1">
      <alignment horizontal="center"/>
    </xf>
    <xf numFmtId="0" fontId="13" fillId="6" borderId="14" xfId="0" applyNumberFormat="1" applyFont="1" applyFill="1" applyBorder="1" applyAlignment="1">
      <alignment horizontal="center"/>
    </xf>
    <xf numFmtId="174" fontId="14" fillId="4" borderId="9" xfId="4" applyNumberFormat="1" applyFont="1" applyFill="1" applyBorder="1"/>
    <xf numFmtId="3" fontId="14" fillId="4" borderId="0" xfId="11" applyNumberFormat="1" applyFont="1" applyFill="1" applyAlignment="1">
      <alignment vertical="center"/>
    </xf>
    <xf numFmtId="0" fontId="14" fillId="4" borderId="0" xfId="11" applyFont="1" applyFill="1" applyAlignment="1">
      <alignment vertical="center"/>
    </xf>
    <xf numFmtId="174" fontId="14" fillId="4" borderId="0" xfId="4" applyNumberFormat="1" applyFont="1" applyFill="1" applyAlignment="1">
      <alignment vertical="center"/>
    </xf>
    <xf numFmtId="0" fontId="14" fillId="4" borderId="0" xfId="0" applyFont="1" applyFill="1" applyBorder="1"/>
    <xf numFmtId="0" fontId="14" fillId="4" borderId="4" xfId="0" applyFont="1" applyFill="1" applyBorder="1" applyAlignment="1">
      <alignment horizontal="center"/>
    </xf>
    <xf numFmtId="166" fontId="14" fillId="4" borderId="0" xfId="0" applyNumberFormat="1" applyFont="1" applyFill="1"/>
    <xf numFmtId="0" fontId="14" fillId="4" borderId="0" xfId="0" quotePrefix="1" applyFont="1" applyFill="1"/>
    <xf numFmtId="0" fontId="14" fillId="4" borderId="5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1" fontId="16" fillId="4" borderId="0" xfId="11" applyNumberFormat="1" applyFont="1" applyFill="1" applyAlignment="1">
      <alignment horizontal="left" vertical="center"/>
    </xf>
    <xf numFmtId="4" fontId="14" fillId="4" borderId="0" xfId="11" applyNumberFormat="1" applyFont="1" applyFill="1" applyAlignment="1">
      <alignment vertical="center"/>
    </xf>
    <xf numFmtId="0" fontId="15" fillId="4" borderId="0" xfId="11" applyFont="1" applyFill="1"/>
    <xf numFmtId="174" fontId="14" fillId="4" borderId="4" xfId="4" applyNumberFormat="1" applyFont="1" applyFill="1" applyBorder="1"/>
    <xf numFmtId="0" fontId="14" fillId="4" borderId="4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174" fontId="14" fillId="5" borderId="5" xfId="4" applyNumberFormat="1" applyFont="1" applyFill="1" applyBorder="1"/>
    <xf numFmtId="165" fontId="14" fillId="4" borderId="10" xfId="0" applyNumberFormat="1" applyFont="1" applyFill="1" applyBorder="1" applyAlignment="1">
      <alignment horizontal="center"/>
    </xf>
    <xf numFmtId="0" fontId="14" fillId="4" borderId="0" xfId="11" applyFont="1" applyFill="1" applyBorder="1" applyAlignment="1">
      <alignment vertical="center"/>
    </xf>
    <xf numFmtId="10" fontId="14" fillId="4" borderId="0" xfId="12" applyNumberFormat="1" applyFont="1" applyFill="1" applyAlignment="1">
      <alignment vertical="center"/>
    </xf>
    <xf numFmtId="10" fontId="14" fillId="4" borderId="0" xfId="12" applyNumberFormat="1" applyFont="1" applyFill="1"/>
    <xf numFmtId="10" fontId="14" fillId="4" borderId="5" xfId="12" applyNumberFormat="1" applyFont="1" applyFill="1" applyBorder="1"/>
    <xf numFmtId="4" fontId="14" fillId="4" borderId="14" xfId="0" applyNumberFormat="1" applyFont="1" applyFill="1" applyBorder="1"/>
    <xf numFmtId="10" fontId="14" fillId="4" borderId="14" xfId="12" applyNumberFormat="1" applyFont="1" applyFill="1" applyBorder="1"/>
    <xf numFmtId="0" fontId="13" fillId="6" borderId="4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4" fontId="14" fillId="4" borderId="11" xfId="0" applyNumberFormat="1" applyFont="1" applyFill="1" applyBorder="1"/>
    <xf numFmtId="9" fontId="13" fillId="6" borderId="14" xfId="12" applyNumberFormat="1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9" fontId="13" fillId="6" borderId="14" xfId="12" applyNumberFormat="1" applyFont="1" applyFill="1" applyBorder="1" applyAlignment="1">
      <alignment horizontal="center" vertical="center"/>
    </xf>
    <xf numFmtId="164" fontId="13" fillId="6" borderId="14" xfId="4" applyFont="1" applyFill="1" applyBorder="1" applyAlignment="1">
      <alignment vertical="center" wrapText="1"/>
    </xf>
    <xf numFmtId="4" fontId="14" fillId="4" borderId="12" xfId="0" applyNumberFormat="1" applyFont="1" applyFill="1" applyBorder="1"/>
    <xf numFmtId="168" fontId="14" fillId="4" borderId="0" xfId="11" applyNumberFormat="1" applyFont="1" applyFill="1" applyAlignment="1">
      <alignment vertical="center"/>
    </xf>
    <xf numFmtId="174" fontId="14" fillId="4" borderId="15" xfId="4" applyNumberFormat="1" applyFont="1" applyFill="1" applyBorder="1"/>
    <xf numFmtId="174" fontId="14" fillId="4" borderId="16" xfId="4" applyNumberFormat="1" applyFont="1" applyFill="1" applyBorder="1"/>
    <xf numFmtId="169" fontId="14" fillId="4" borderId="0" xfId="0" applyNumberFormat="1" applyFont="1" applyFill="1"/>
    <xf numFmtId="0" fontId="14" fillId="4" borderId="0" xfId="0" applyFont="1" applyFill="1" applyAlignment="1">
      <alignment vertical="top"/>
    </xf>
    <xf numFmtId="3" fontId="14" fillId="4" borderId="0" xfId="0" applyNumberFormat="1" applyFont="1" applyFill="1" applyAlignment="1">
      <alignment vertical="top"/>
    </xf>
    <xf numFmtId="3" fontId="14" fillId="4" borderId="0" xfId="0" applyNumberFormat="1" applyFont="1" applyFill="1" applyBorder="1" applyAlignment="1">
      <alignment vertical="top" wrapText="1"/>
    </xf>
    <xf numFmtId="0" fontId="14" fillId="4" borderId="17" xfId="0" applyFont="1" applyFill="1" applyBorder="1"/>
    <xf numFmtId="0" fontId="14" fillId="4" borderId="6" xfId="0" applyFont="1" applyFill="1" applyBorder="1"/>
    <xf numFmtId="0" fontId="14" fillId="4" borderId="7" xfId="0" applyFont="1" applyFill="1" applyBorder="1"/>
    <xf numFmtId="0" fontId="14" fillId="4" borderId="14" xfId="0" applyFont="1" applyFill="1" applyBorder="1" applyAlignment="1">
      <alignment horizontal="center"/>
    </xf>
    <xf numFmtId="0" fontId="14" fillId="4" borderId="8" xfId="0" applyFont="1" applyFill="1" applyBorder="1"/>
    <xf numFmtId="0" fontId="14" fillId="4" borderId="12" xfId="0" applyFont="1" applyFill="1" applyBorder="1"/>
    <xf numFmtId="0" fontId="14" fillId="4" borderId="9" xfId="0" applyFont="1" applyFill="1" applyBorder="1"/>
    <xf numFmtId="0" fontId="14" fillId="4" borderId="11" xfId="0" applyFont="1" applyFill="1" applyBorder="1"/>
    <xf numFmtId="0" fontId="14" fillId="4" borderId="10" xfId="0" applyFont="1" applyFill="1" applyBorder="1"/>
    <xf numFmtId="0" fontId="14" fillId="4" borderId="13" xfId="0" applyFont="1" applyFill="1" applyBorder="1"/>
    <xf numFmtId="172" fontId="14" fillId="4" borderId="0" xfId="0" applyNumberFormat="1" applyFont="1" applyFill="1" applyAlignment="1">
      <alignment vertical="top"/>
    </xf>
    <xf numFmtId="174" fontId="14" fillId="4" borderId="12" xfId="4" applyNumberFormat="1" applyFont="1" applyFill="1" applyBorder="1"/>
    <xf numFmtId="164" fontId="14" fillId="4" borderId="4" xfId="4" applyFont="1" applyFill="1" applyBorder="1"/>
    <xf numFmtId="164" fontId="14" fillId="4" borderId="3" xfId="4" applyFont="1" applyFill="1" applyBorder="1"/>
    <xf numFmtId="3" fontId="14" fillId="4" borderId="8" xfId="0" applyNumberFormat="1" applyFont="1" applyFill="1" applyBorder="1"/>
    <xf numFmtId="3" fontId="14" fillId="4" borderId="10" xfId="0" applyNumberFormat="1" applyFont="1" applyFill="1" applyBorder="1"/>
    <xf numFmtId="3" fontId="14" fillId="4" borderId="17" xfId="0" applyNumberFormat="1" applyFont="1" applyFill="1" applyBorder="1"/>
    <xf numFmtId="3" fontId="14" fillId="4" borderId="13" xfId="0" applyNumberFormat="1" applyFont="1" applyFill="1" applyBorder="1" applyAlignment="1">
      <alignment horizontal="center" vertical="top" wrapText="1"/>
    </xf>
    <xf numFmtId="168" fontId="14" fillId="4" borderId="0" xfId="0" applyNumberFormat="1" applyFont="1" applyFill="1"/>
    <xf numFmtId="3" fontId="14" fillId="4" borderId="4" xfId="12" applyNumberFormat="1" applyFont="1" applyFill="1" applyBorder="1"/>
    <xf numFmtId="3" fontId="14" fillId="4" borderId="5" xfId="12" applyNumberFormat="1" applyFont="1" applyFill="1" applyBorder="1"/>
    <xf numFmtId="3" fontId="14" fillId="4" borderId="3" xfId="12" applyNumberFormat="1" applyFont="1" applyFill="1" applyBorder="1"/>
    <xf numFmtId="3" fontId="14" fillId="4" borderId="14" xfId="12" applyNumberFormat="1" applyFont="1" applyFill="1" applyBorder="1"/>
    <xf numFmtId="164" fontId="14" fillId="4" borderId="14" xfId="4" applyNumberFormat="1" applyFont="1" applyFill="1" applyBorder="1"/>
    <xf numFmtId="174" fontId="14" fillId="8" borderId="14" xfId="4" applyNumberFormat="1" applyFont="1" applyFill="1" applyBorder="1"/>
    <xf numFmtId="174" fontId="14" fillId="5" borderId="4" xfId="4" applyNumberFormat="1" applyFont="1" applyFill="1" applyBorder="1"/>
    <xf numFmtId="174" fontId="14" fillId="5" borderId="3" xfId="4" applyNumberFormat="1" applyFont="1" applyFill="1" applyBorder="1"/>
    <xf numFmtId="3" fontId="13" fillId="6" borderId="4" xfId="0" applyNumberFormat="1" applyFont="1" applyFill="1" applyBorder="1"/>
    <xf numFmtId="0" fontId="13" fillId="6" borderId="0" xfId="0" applyFont="1" applyFill="1"/>
    <xf numFmtId="0" fontId="13" fillId="6" borderId="5" xfId="0" applyFont="1" applyFill="1" applyBorder="1" applyAlignment="1">
      <alignment horizontal="center" vertical="top" wrapText="1"/>
    </xf>
    <xf numFmtId="0" fontId="14" fillId="4" borderId="8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174" fontId="14" fillId="4" borderId="13" xfId="4" applyNumberFormat="1" applyFont="1" applyFill="1" applyBorder="1"/>
    <xf numFmtId="2" fontId="14" fillId="4" borderId="0" xfId="0" applyNumberFormat="1" applyFont="1" applyFill="1"/>
    <xf numFmtId="9" fontId="14" fillId="4" borderId="0" xfId="0" applyNumberFormat="1" applyFont="1" applyFill="1"/>
    <xf numFmtId="4" fontId="14" fillId="4" borderId="14" xfId="12" applyNumberFormat="1" applyFont="1" applyFill="1" applyBorder="1"/>
    <xf numFmtId="4" fontId="14" fillId="4" borderId="0" xfId="12" applyNumberFormat="1" applyFont="1" applyFill="1" applyBorder="1"/>
    <xf numFmtId="0" fontId="14" fillId="4" borderId="16" xfId="0" applyFont="1" applyFill="1" applyBorder="1"/>
    <xf numFmtId="0" fontId="13" fillId="6" borderId="4" xfId="0" applyFont="1" applyFill="1" applyBorder="1" applyAlignment="1">
      <alignment horizontal="center" vertical="top" wrapText="1"/>
    </xf>
    <xf numFmtId="9" fontId="13" fillId="6" borderId="4" xfId="0" applyNumberFormat="1" applyFont="1" applyFill="1" applyBorder="1" applyAlignment="1">
      <alignment horizontal="center"/>
    </xf>
    <xf numFmtId="174" fontId="14" fillId="5" borderId="11" xfId="4" applyNumberFormat="1" applyFont="1" applyFill="1" applyBorder="1"/>
    <xf numFmtId="3" fontId="14" fillId="4" borderId="17" xfId="12" applyNumberFormat="1" applyFont="1" applyFill="1" applyBorder="1"/>
    <xf numFmtId="170" fontId="14" fillId="4" borderId="0" xfId="0" applyNumberFormat="1" applyFont="1" applyFill="1"/>
    <xf numFmtId="2" fontId="13" fillId="6" borderId="3" xfId="0" applyNumberFormat="1" applyFont="1" applyFill="1" applyBorder="1" applyAlignment="1">
      <alignment horizontal="center" vertical="top" wrapText="1"/>
    </xf>
    <xf numFmtId="3" fontId="14" fillId="4" borderId="7" xfId="12" applyNumberFormat="1" applyFont="1" applyFill="1" applyBorder="1"/>
    <xf numFmtId="165" fontId="14" fillId="4" borderId="14" xfId="0" applyNumberFormat="1" applyFont="1" applyFill="1" applyBorder="1" applyAlignment="1">
      <alignment horizontal="center"/>
    </xf>
    <xf numFmtId="174" fontId="14" fillId="4" borderId="7" xfId="4" applyNumberFormat="1" applyFont="1" applyFill="1" applyBorder="1"/>
    <xf numFmtId="0" fontId="13" fillId="6" borderId="17" xfId="0" applyFont="1" applyFill="1" applyBorder="1"/>
    <xf numFmtId="0" fontId="13" fillId="6" borderId="6" xfId="0" applyFont="1" applyFill="1" applyBorder="1"/>
    <xf numFmtId="0" fontId="13" fillId="6" borderId="14" xfId="0" applyFont="1" applyFill="1" applyBorder="1" applyAlignment="1">
      <alignment horizontal="center"/>
    </xf>
    <xf numFmtId="166" fontId="14" fillId="4" borderId="4" xfId="0" applyNumberFormat="1" applyFont="1" applyFill="1" applyBorder="1"/>
    <xf numFmtId="0" fontId="3" fillId="4" borderId="0" xfId="0" applyFont="1" applyFill="1" applyBorder="1" applyAlignment="1">
      <alignment horizontal="left"/>
    </xf>
    <xf numFmtId="166" fontId="14" fillId="4" borderId="5" xfId="0" applyNumberFormat="1" applyFont="1" applyFill="1" applyBorder="1"/>
    <xf numFmtId="0" fontId="3" fillId="4" borderId="0" xfId="0" applyFont="1" applyFill="1" applyAlignment="1">
      <alignment horizontal="left"/>
    </xf>
    <xf numFmtId="166" fontId="14" fillId="4" borderId="3" xfId="0" applyNumberFormat="1" applyFont="1" applyFill="1" applyBorder="1"/>
    <xf numFmtId="174" fontId="14" fillId="3" borderId="4" xfId="4" applyNumberFormat="1" applyFont="1" applyFill="1" applyBorder="1"/>
    <xf numFmtId="174" fontId="14" fillId="5" borderId="15" xfId="4" applyNumberFormat="1" applyFont="1" applyFill="1" applyBorder="1"/>
    <xf numFmtId="174" fontId="14" fillId="5" borderId="0" xfId="4" applyNumberFormat="1" applyFont="1" applyFill="1" applyBorder="1"/>
    <xf numFmtId="174" fontId="14" fillId="3" borderId="3" xfId="4" applyNumberFormat="1" applyFont="1" applyFill="1" applyBorder="1"/>
    <xf numFmtId="174" fontId="14" fillId="5" borderId="16" xfId="4" applyNumberFormat="1" applyFont="1" applyFill="1" applyBorder="1"/>
    <xf numFmtId="174" fontId="14" fillId="5" borderId="7" xfId="4" applyNumberFormat="1" applyFont="1" applyFill="1" applyBorder="1"/>
    <xf numFmtId="164" fontId="14" fillId="4" borderId="0" xfId="4" applyFont="1" applyFill="1" applyBorder="1" applyAlignment="1">
      <alignment vertical="center"/>
    </xf>
    <xf numFmtId="164" fontId="14" fillId="4" borderId="0" xfId="4" applyFont="1" applyFill="1" applyAlignment="1">
      <alignment vertical="center"/>
    </xf>
    <xf numFmtId="4" fontId="14" fillId="4" borderId="4" xfId="12" applyNumberFormat="1" applyFont="1" applyFill="1" applyBorder="1"/>
    <xf numFmtId="4" fontId="14" fillId="4" borderId="5" xfId="12" applyNumberFormat="1" applyFont="1" applyFill="1" applyBorder="1"/>
    <xf numFmtId="0" fontId="14" fillId="4" borderId="0" xfId="0" applyFont="1" applyFill="1" applyBorder="1" applyAlignment="1">
      <alignment horizontal="center" vertical="top" wrapText="1"/>
    </xf>
    <xf numFmtId="176" fontId="14" fillId="4" borderId="0" xfId="11" applyNumberFormat="1" applyFont="1" applyFill="1" applyAlignment="1">
      <alignment vertical="center"/>
    </xf>
    <xf numFmtId="176" fontId="14" fillId="4" borderId="0" xfId="0" applyNumberFormat="1" applyFont="1" applyFill="1"/>
    <xf numFmtId="176" fontId="13" fillId="6" borderId="4" xfId="0" applyNumberFormat="1" applyFont="1" applyFill="1" applyBorder="1" applyAlignment="1">
      <alignment horizontal="center" vertical="top" wrapText="1"/>
    </xf>
    <xf numFmtId="2" fontId="13" fillId="6" borderId="5" xfId="0" applyNumberFormat="1" applyFont="1" applyFill="1" applyBorder="1" applyAlignment="1">
      <alignment horizontal="center" vertical="top" wrapText="1"/>
    </xf>
    <xf numFmtId="171" fontId="14" fillId="4" borderId="0" xfId="0" applyNumberFormat="1" applyFont="1" applyFill="1"/>
    <xf numFmtId="166" fontId="14" fillId="4" borderId="0" xfId="12" applyNumberFormat="1" applyFont="1" applyFill="1" applyBorder="1" applyAlignment="1">
      <alignment horizontal="center" vertical="top" wrapText="1"/>
    </xf>
    <xf numFmtId="166" fontId="14" fillId="4" borderId="12" xfId="0" applyNumberFormat="1" applyFont="1" applyFill="1" applyBorder="1"/>
    <xf numFmtId="171" fontId="14" fillId="4" borderId="0" xfId="0" applyNumberFormat="1" applyFont="1" applyFill="1" applyBorder="1"/>
    <xf numFmtId="166" fontId="14" fillId="4" borderId="11" xfId="0" applyNumberFormat="1" applyFont="1" applyFill="1" applyBorder="1"/>
    <xf numFmtId="166" fontId="14" fillId="4" borderId="13" xfId="0" applyNumberFormat="1" applyFont="1" applyFill="1" applyBorder="1"/>
    <xf numFmtId="171" fontId="14" fillId="4" borderId="14" xfId="0" applyNumberFormat="1" applyFont="1" applyFill="1" applyBorder="1"/>
    <xf numFmtId="171" fontId="14" fillId="4" borderId="0" xfId="12" applyNumberFormat="1" applyFont="1" applyFill="1" applyBorder="1"/>
    <xf numFmtId="3" fontId="14" fillId="3" borderId="12" xfId="0" applyNumberFormat="1" applyFont="1" applyFill="1" applyBorder="1"/>
    <xf numFmtId="171" fontId="14" fillId="3" borderId="8" xfId="0" applyNumberFormat="1" applyFont="1" applyFill="1" applyBorder="1"/>
    <xf numFmtId="171" fontId="14" fillId="3" borderId="4" xfId="0" applyNumberFormat="1" applyFont="1" applyFill="1" applyBorder="1"/>
    <xf numFmtId="3" fontId="14" fillId="3" borderId="4" xfId="12" applyNumberFormat="1" applyFont="1" applyFill="1" applyBorder="1"/>
    <xf numFmtId="3" fontId="14" fillId="3" borderId="11" xfId="0" applyNumberFormat="1" applyFont="1" applyFill="1" applyBorder="1"/>
    <xf numFmtId="171" fontId="14" fillId="3" borderId="9" xfId="0" applyNumberFormat="1" applyFont="1" applyFill="1" applyBorder="1"/>
    <xf numFmtId="171" fontId="14" fillId="3" borderId="5" xfId="0" applyNumberFormat="1" applyFont="1" applyFill="1" applyBorder="1"/>
    <xf numFmtId="3" fontId="14" fillId="3" borderId="5" xfId="12" applyNumberFormat="1" applyFont="1" applyFill="1" applyBorder="1"/>
    <xf numFmtId="3" fontId="14" fillId="3" borderId="13" xfId="0" applyNumberFormat="1" applyFont="1" applyFill="1" applyBorder="1"/>
    <xf numFmtId="3" fontId="14" fillId="3" borderId="7" xfId="12" applyNumberFormat="1" applyFont="1" applyFill="1" applyBorder="1"/>
    <xf numFmtId="0" fontId="18" fillId="4" borderId="0" xfId="0" applyFont="1" applyFill="1"/>
    <xf numFmtId="0" fontId="19" fillId="4" borderId="5" xfId="0" applyFont="1" applyFill="1" applyBorder="1" applyAlignment="1">
      <alignment horizontal="center"/>
    </xf>
    <xf numFmtId="0" fontId="19" fillId="4" borderId="5" xfId="0" applyFont="1" applyFill="1" applyBorder="1"/>
    <xf numFmtId="3" fontId="19" fillId="4" borderId="5" xfId="12" applyNumberFormat="1" applyFont="1" applyFill="1" applyBorder="1" applyAlignment="1">
      <alignment horizontal="right"/>
    </xf>
    <xf numFmtId="0" fontId="19" fillId="4" borderId="0" xfId="0" applyFont="1" applyFill="1"/>
    <xf numFmtId="167" fontId="14" fillId="4" borderId="0" xfId="0" applyNumberFormat="1" applyFont="1" applyFill="1"/>
    <xf numFmtId="171" fontId="14" fillId="4" borderId="14" xfId="12" applyNumberFormat="1" applyFont="1" applyFill="1" applyBorder="1"/>
    <xf numFmtId="171" fontId="19" fillId="4" borderId="4" xfId="0" applyNumberFormat="1" applyFont="1" applyFill="1" applyBorder="1"/>
    <xf numFmtId="0" fontId="14" fillId="8" borderId="0" xfId="0" applyFont="1" applyFill="1"/>
    <xf numFmtId="14" fontId="14" fillId="8" borderId="0" xfId="0" applyNumberFormat="1" applyFont="1" applyFill="1"/>
    <xf numFmtId="0" fontId="14" fillId="8" borderId="0" xfId="0" applyFont="1" applyFill="1" applyBorder="1"/>
    <xf numFmtId="0" fontId="15" fillId="8" borderId="0" xfId="0" applyFont="1" applyFill="1"/>
    <xf numFmtId="173" fontId="14" fillId="8" borderId="0" xfId="0" applyNumberFormat="1" applyFont="1" applyFill="1" applyBorder="1"/>
    <xf numFmtId="0" fontId="14" fillId="8" borderId="0" xfId="0" applyFont="1" applyFill="1" applyAlignment="1">
      <alignment horizontal="center" wrapText="1"/>
    </xf>
    <xf numFmtId="164" fontId="14" fillId="8" borderId="0" xfId="4" applyFont="1" applyFill="1"/>
    <xf numFmtId="3" fontId="14" fillId="8" borderId="0" xfId="0" applyNumberFormat="1" applyFont="1" applyFill="1"/>
    <xf numFmtId="2" fontId="14" fillId="8" borderId="0" xfId="0" applyNumberFormat="1" applyFont="1" applyFill="1"/>
    <xf numFmtId="0" fontId="14" fillId="8" borderId="0" xfId="0" applyFont="1" applyFill="1" applyAlignment="1">
      <alignment horizontal="center"/>
    </xf>
    <xf numFmtId="9" fontId="14" fillId="8" borderId="0" xfId="0" applyNumberFormat="1" applyFont="1" applyFill="1" applyBorder="1" applyAlignment="1">
      <alignment horizontal="center" vertical="top" wrapText="1"/>
    </xf>
    <xf numFmtId="2" fontId="14" fillId="8" borderId="0" xfId="0" applyNumberFormat="1" applyFont="1" applyFill="1" applyBorder="1" applyAlignment="1">
      <alignment horizontal="center"/>
    </xf>
    <xf numFmtId="10" fontId="14" fillId="8" borderId="14" xfId="0" applyNumberFormat="1" applyFont="1" applyFill="1" applyBorder="1" applyAlignment="1">
      <alignment horizontal="center" vertical="top" wrapText="1"/>
    </xf>
    <xf numFmtId="169" fontId="14" fillId="8" borderId="0" xfId="0" applyNumberFormat="1" applyFont="1" applyFill="1" applyBorder="1"/>
    <xf numFmtId="3" fontId="14" fillId="8" borderId="0" xfId="0" applyNumberFormat="1" applyFont="1" applyFill="1" applyBorder="1"/>
    <xf numFmtId="164" fontId="14" fillId="8" borderId="0" xfId="4" applyFont="1" applyFill="1" applyBorder="1"/>
    <xf numFmtId="0" fontId="14" fillId="8" borderId="14" xfId="0" applyFont="1" applyFill="1" applyBorder="1"/>
    <xf numFmtId="164" fontId="14" fillId="8" borderId="14" xfId="4" applyFont="1" applyFill="1" applyBorder="1"/>
    <xf numFmtId="0" fontId="14" fillId="8" borderId="0" xfId="0" applyFont="1" applyFill="1" applyAlignment="1">
      <alignment vertical="top"/>
    </xf>
    <xf numFmtId="0" fontId="16" fillId="8" borderId="0" xfId="0" applyFont="1" applyFill="1"/>
    <xf numFmtId="0" fontId="14" fillId="7" borderId="14" xfId="0" applyFont="1" applyFill="1" applyBorder="1" applyAlignment="1">
      <alignment horizontal="center"/>
    </xf>
    <xf numFmtId="14" fontId="14" fillId="7" borderId="14" xfId="0" applyNumberFormat="1" applyFont="1" applyFill="1" applyBorder="1" applyAlignment="1">
      <alignment horizontal="center"/>
    </xf>
    <xf numFmtId="9" fontId="14" fillId="7" borderId="14" xfId="0" applyNumberFormat="1" applyFont="1" applyFill="1" applyBorder="1" applyAlignment="1">
      <alignment horizontal="center" vertical="top" wrapText="1"/>
    </xf>
    <xf numFmtId="10" fontId="14" fillId="7" borderId="14" xfId="0" applyNumberFormat="1" applyFont="1" applyFill="1" applyBorder="1" applyAlignment="1">
      <alignment horizontal="center"/>
    </xf>
    <xf numFmtId="0" fontId="14" fillId="8" borderId="0" xfId="0" applyFont="1" applyFill="1" applyBorder="1" applyAlignment="1"/>
    <xf numFmtId="0" fontId="14" fillId="8" borderId="0" xfId="0" applyFont="1" applyFill="1" applyBorder="1" applyAlignment="1">
      <alignment horizontal="left" vertical="top"/>
    </xf>
    <xf numFmtId="0" fontId="14" fillId="8" borderId="0" xfId="0" applyFont="1" applyFill="1" applyBorder="1" applyAlignment="1">
      <alignment horizontal="left"/>
    </xf>
    <xf numFmtId="3" fontId="14" fillId="7" borderId="14" xfId="0" applyNumberFormat="1" applyFont="1" applyFill="1" applyBorder="1"/>
    <xf numFmtId="3" fontId="14" fillId="8" borderId="14" xfId="0" applyNumberFormat="1" applyFont="1" applyFill="1" applyBorder="1"/>
    <xf numFmtId="3" fontId="14" fillId="8" borderId="14" xfId="0" applyNumberFormat="1" applyFont="1" applyFill="1" applyBorder="1" applyAlignment="1">
      <alignment horizontal="center"/>
    </xf>
    <xf numFmtId="9" fontId="14" fillId="7" borderId="14" xfId="0" applyNumberFormat="1" applyFont="1" applyFill="1" applyBorder="1" applyAlignment="1">
      <alignment horizontal="center"/>
    </xf>
    <xf numFmtId="0" fontId="14" fillId="7" borderId="14" xfId="0" applyFont="1" applyFill="1" applyBorder="1" applyAlignment="1">
      <alignment horizontal="center" vertical="top" wrapText="1"/>
    </xf>
    <xf numFmtId="0" fontId="14" fillId="8" borderId="4" xfId="0" applyFont="1" applyFill="1" applyBorder="1" applyAlignment="1">
      <alignment horizontal="center" vertical="center" wrapText="1"/>
    </xf>
    <xf numFmtId="175" fontId="14" fillId="8" borderId="14" xfId="4" applyNumberFormat="1" applyFont="1" applyFill="1" applyBorder="1"/>
    <xf numFmtId="174" fontId="14" fillId="8" borderId="17" xfId="4" applyNumberFormat="1" applyFont="1" applyFill="1" applyBorder="1"/>
    <xf numFmtId="0" fontId="14" fillId="8" borderId="7" xfId="0" applyFont="1" applyFill="1" applyBorder="1"/>
    <xf numFmtId="2" fontId="14" fillId="8" borderId="4" xfId="0" applyNumberFormat="1" applyFont="1" applyFill="1" applyBorder="1"/>
    <xf numFmtId="0" fontId="14" fillId="8" borderId="0" xfId="0" quotePrefix="1" applyFont="1" applyFill="1" applyBorder="1"/>
    <xf numFmtId="169" fontId="14" fillId="8" borderId="14" xfId="0" applyNumberFormat="1" applyFont="1" applyFill="1" applyBorder="1"/>
    <xf numFmtId="173" fontId="14" fillId="8" borderId="14" xfId="0" applyNumberFormat="1" applyFont="1" applyFill="1" applyBorder="1"/>
    <xf numFmtId="0" fontId="14" fillId="8" borderId="0" xfId="0" applyFont="1" applyFill="1" applyBorder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 applyBorder="1"/>
    <xf numFmtId="0" fontId="13" fillId="6" borderId="3" xfId="0" applyFont="1" applyFill="1" applyBorder="1" applyAlignment="1">
      <alignment horizontal="center" vertical="center" wrapText="1"/>
    </xf>
    <xf numFmtId="9" fontId="13" fillId="6" borderId="5" xfId="12" applyFont="1" applyFill="1" applyBorder="1" applyAlignment="1">
      <alignment horizontal="center"/>
    </xf>
    <xf numFmtId="4" fontId="14" fillId="4" borderId="0" xfId="0" applyNumberFormat="1" applyFont="1" applyFill="1" applyBorder="1"/>
    <xf numFmtId="3" fontId="14" fillId="3" borderId="8" xfId="12" applyNumberFormat="1" applyFont="1" applyFill="1" applyBorder="1"/>
    <xf numFmtId="3" fontId="14" fillId="3" borderId="9" xfId="12" applyNumberFormat="1" applyFont="1" applyFill="1" applyBorder="1"/>
    <xf numFmtId="3" fontId="14" fillId="3" borderId="10" xfId="12" applyNumberFormat="1" applyFont="1" applyFill="1" applyBorder="1"/>
    <xf numFmtId="1" fontId="16" fillId="4" borderId="0" xfId="11" applyNumberFormat="1" applyFont="1" applyFill="1" applyAlignment="1">
      <alignment horizontal="left" vertical="center"/>
    </xf>
    <xf numFmtId="174" fontId="14" fillId="8" borderId="0" xfId="4" applyNumberFormat="1" applyFont="1" applyFill="1"/>
    <xf numFmtId="0" fontId="21" fillId="8" borderId="0" xfId="0" applyFont="1" applyFill="1"/>
    <xf numFmtId="174" fontId="21" fillId="8" borderId="0" xfId="4" applyNumberFormat="1" applyFont="1" applyFill="1"/>
    <xf numFmtId="174" fontId="13" fillId="6" borderId="0" xfId="4" applyNumberFormat="1" applyFont="1" applyFill="1"/>
    <xf numFmtId="0" fontId="21" fillId="8" borderId="0" xfId="0" applyFont="1" applyFill="1" applyAlignment="1">
      <alignment horizontal="right"/>
    </xf>
    <xf numFmtId="168" fontId="17" fillId="4" borderId="0" xfId="11" applyNumberFormat="1" applyFont="1" applyFill="1" applyAlignment="1">
      <alignment vertical="center"/>
    </xf>
    <xf numFmtId="168" fontId="17" fillId="4" borderId="0" xfId="11" applyNumberFormat="1" applyFont="1" applyFill="1" applyBorder="1" applyAlignment="1">
      <alignment vertical="center"/>
    </xf>
    <xf numFmtId="175" fontId="14" fillId="4" borderId="0" xfId="14" applyNumberFormat="1" applyFont="1" applyFill="1" applyBorder="1" applyAlignment="1">
      <alignment vertical="center"/>
    </xf>
    <xf numFmtId="0" fontId="15" fillId="4" borderId="0" xfId="11" applyFont="1" applyFill="1" applyBorder="1"/>
    <xf numFmtId="175" fontId="15" fillId="4" borderId="0" xfId="14" applyNumberFormat="1" applyFont="1" applyFill="1" applyBorder="1"/>
    <xf numFmtId="0" fontId="14" fillId="4" borderId="0" xfId="15" applyFont="1" applyFill="1"/>
    <xf numFmtId="0" fontId="14" fillId="4" borderId="0" xfId="15" applyFont="1" applyFill="1" applyBorder="1"/>
    <xf numFmtId="175" fontId="14" fillId="4" borderId="0" xfId="14" applyNumberFormat="1" applyFont="1" applyFill="1" applyBorder="1"/>
    <xf numFmtId="3" fontId="2" fillId="4" borderId="5" xfId="15" applyNumberFormat="1" applyFont="1" applyFill="1" applyBorder="1" applyAlignment="1">
      <alignment horizontal="right"/>
    </xf>
    <xf numFmtId="43" fontId="14" fillId="4" borderId="5" xfId="14" applyFont="1" applyFill="1" applyBorder="1"/>
    <xf numFmtId="175" fontId="2" fillId="4" borderId="0" xfId="14" applyNumberFormat="1" applyFont="1" applyFill="1" applyBorder="1" applyAlignment="1">
      <alignment horizontal="left"/>
    </xf>
    <xf numFmtId="3" fontId="2" fillId="4" borderId="0" xfId="15" applyNumberFormat="1" applyFont="1" applyFill="1" applyBorder="1" applyAlignment="1">
      <alignment horizontal="right"/>
    </xf>
    <xf numFmtId="175" fontId="14" fillId="4" borderId="0" xfId="15" applyNumberFormat="1" applyFont="1" applyFill="1" applyBorder="1"/>
    <xf numFmtId="3" fontId="14" fillId="4" borderId="0" xfId="15" applyNumberFormat="1" applyFont="1" applyFill="1"/>
    <xf numFmtId="0" fontId="13" fillId="4" borderId="0" xfId="15" applyFont="1" applyFill="1" applyBorder="1" applyAlignment="1">
      <alignment vertical="center"/>
    </xf>
    <xf numFmtId="175" fontId="13" fillId="4" borderId="0" xfId="14" applyNumberFormat="1" applyFont="1" applyFill="1" applyBorder="1" applyAlignment="1">
      <alignment horizontal="center" vertical="center" wrapText="1"/>
    </xf>
    <xf numFmtId="175" fontId="13" fillId="4" borderId="0" xfId="14" applyNumberFormat="1" applyFont="1" applyFill="1" applyBorder="1" applyAlignment="1">
      <alignment vertical="center"/>
    </xf>
    <xf numFmtId="0" fontId="13" fillId="4" borderId="0" xfId="15" applyFont="1" applyFill="1" applyAlignment="1">
      <alignment vertical="center"/>
    </xf>
    <xf numFmtId="0" fontId="14" fillId="4" borderId="4" xfId="15" applyFont="1" applyFill="1" applyBorder="1"/>
    <xf numFmtId="0" fontId="14" fillId="4" borderId="5" xfId="15" applyFont="1" applyFill="1" applyBorder="1"/>
    <xf numFmtId="0" fontId="13" fillId="6" borderId="4" xfId="15" applyFont="1" applyFill="1" applyBorder="1" applyAlignment="1">
      <alignment horizontal="center" vertical="center" wrapText="1"/>
    </xf>
    <xf numFmtId="174" fontId="14" fillId="4" borderId="14" xfId="4" applyNumberFormat="1" applyFont="1" applyFill="1" applyBorder="1" applyAlignment="1">
      <alignment horizontal="center"/>
    </xf>
    <xf numFmtId="0" fontId="14" fillId="7" borderId="14" xfId="0" applyFont="1" applyFill="1" applyBorder="1"/>
    <xf numFmtId="174" fontId="14" fillId="4" borderId="7" xfId="4" applyNumberFormat="1" applyFont="1" applyFill="1" applyBorder="1" applyAlignment="1">
      <alignment horizontal="center"/>
    </xf>
    <xf numFmtId="174" fontId="14" fillId="5" borderId="14" xfId="4" applyNumberFormat="1" applyFont="1" applyFill="1" applyBorder="1" applyAlignment="1">
      <alignment horizontal="center"/>
    </xf>
    <xf numFmtId="171" fontId="19" fillId="5" borderId="4" xfId="0" applyNumberFormat="1" applyFont="1" applyFill="1" applyBorder="1"/>
    <xf numFmtId="171" fontId="19" fillId="5" borderId="5" xfId="0" applyNumberFormat="1" applyFont="1" applyFill="1" applyBorder="1"/>
    <xf numFmtId="171" fontId="14" fillId="5" borderId="14" xfId="0" applyNumberFormat="1" applyFont="1" applyFill="1" applyBorder="1"/>
    <xf numFmtId="171" fontId="19" fillId="5" borderId="3" xfId="0" applyNumberFormat="1" applyFont="1" applyFill="1" applyBorder="1"/>
    <xf numFmtId="0" fontId="14" fillId="7" borderId="14" xfId="15" applyFont="1" applyFill="1" applyBorder="1" applyAlignment="1">
      <alignment horizontal="center"/>
    </xf>
    <xf numFmtId="174" fontId="14" fillId="7" borderId="3" xfId="4" applyNumberFormat="1" applyFont="1" applyFill="1" applyBorder="1" applyAlignment="1">
      <alignment horizontal="center"/>
    </xf>
    <xf numFmtId="174" fontId="14" fillId="7" borderId="14" xfId="4" applyNumberFormat="1" applyFont="1" applyFill="1" applyBorder="1"/>
    <xf numFmtId="0" fontId="14" fillId="7" borderId="14" xfId="4" applyNumberFormat="1" applyFont="1" applyFill="1" applyBorder="1" applyAlignment="1">
      <alignment horizontal="center"/>
    </xf>
    <xf numFmtId="0" fontId="25" fillId="6" borderId="0" xfId="0" applyFont="1" applyFill="1"/>
    <xf numFmtId="0" fontId="14" fillId="7" borderId="4" xfId="15" applyFont="1" applyFill="1" applyBorder="1" applyAlignment="1">
      <alignment horizontal="center"/>
    </xf>
    <xf numFmtId="0" fontId="14" fillId="7" borderId="5" xfId="15" applyFont="1" applyFill="1" applyBorder="1" applyAlignment="1">
      <alignment horizontal="center"/>
    </xf>
    <xf numFmtId="174" fontId="14" fillId="4" borderId="0" xfId="15" applyNumberFormat="1" applyFont="1" applyFill="1"/>
    <xf numFmtId="0" fontId="13" fillId="6" borderId="5" xfId="15" quotePrefix="1" applyFont="1" applyFill="1" applyBorder="1" applyAlignment="1">
      <alignment horizontal="center" vertical="center" wrapText="1"/>
    </xf>
    <xf numFmtId="174" fontId="14" fillId="4" borderId="3" xfId="4" applyNumberFormat="1" applyFont="1" applyFill="1" applyBorder="1" applyAlignment="1">
      <alignment horizontal="center"/>
    </xf>
    <xf numFmtId="174" fontId="14" fillId="8" borderId="0" xfId="4" applyNumberFormat="1" applyFont="1" applyFill="1" applyBorder="1"/>
    <xf numFmtId="164" fontId="14" fillId="7" borderId="14" xfId="4" applyFont="1" applyFill="1" applyBorder="1" applyAlignment="1">
      <alignment horizontal="center"/>
    </xf>
    <xf numFmtId="0" fontId="24" fillId="4" borderId="0" xfId="0" applyFont="1" applyFill="1"/>
    <xf numFmtId="174" fontId="24" fillId="4" borderId="0" xfId="4" applyNumberFormat="1" applyFont="1" applyFill="1"/>
    <xf numFmtId="0" fontId="24" fillId="8" borderId="0" xfId="0" applyFont="1" applyFill="1"/>
    <xf numFmtId="174" fontId="24" fillId="3" borderId="0" xfId="4" applyNumberFormat="1" applyFont="1" applyFill="1"/>
    <xf numFmtId="164" fontId="24" fillId="4" borderId="0" xfId="4" applyFont="1" applyFill="1"/>
    <xf numFmtId="174" fontId="24" fillId="4" borderId="16" xfId="4" applyNumberFormat="1" applyFont="1" applyFill="1" applyBorder="1"/>
    <xf numFmtId="174" fontId="26" fillId="4" borderId="0" xfId="4" applyNumberFormat="1" applyFont="1" applyFill="1"/>
    <xf numFmtId="0" fontId="26" fillId="4" borderId="0" xfId="0" applyFont="1" applyFill="1"/>
    <xf numFmtId="0" fontId="24" fillId="4" borderId="0" xfId="0" applyFont="1" applyFill="1" applyAlignment="1">
      <alignment horizontal="right"/>
    </xf>
    <xf numFmtId="0" fontId="24" fillId="4" borderId="0" xfId="0" applyFont="1" applyFill="1" applyAlignment="1">
      <alignment horizontal="left"/>
    </xf>
    <xf numFmtId="164" fontId="19" fillId="4" borderId="14" xfId="4" applyFont="1" applyFill="1" applyBorder="1"/>
    <xf numFmtId="174" fontId="14" fillId="0" borderId="5" xfId="4" applyNumberFormat="1" applyFont="1" applyFill="1" applyBorder="1"/>
    <xf numFmtId="0" fontId="3" fillId="0" borderId="0" xfId="0" applyFont="1" applyFill="1" applyAlignment="1">
      <alignment horizontal="left"/>
    </xf>
    <xf numFmtId="0" fontId="14" fillId="0" borderId="0" xfId="0" applyFont="1" applyFill="1"/>
    <xf numFmtId="164" fontId="13" fillId="6" borderId="3" xfId="4" applyNumberFormat="1" applyFont="1" applyFill="1" applyBorder="1" applyAlignment="1">
      <alignment horizontal="center" vertical="center" wrapText="1"/>
    </xf>
    <xf numFmtId="10" fontId="14" fillId="8" borderId="3" xfId="12" applyNumberFormat="1" applyFont="1" applyFill="1" applyBorder="1"/>
    <xf numFmtId="2" fontId="14" fillId="8" borderId="14" xfId="0" applyNumberFormat="1" applyFont="1" applyFill="1" applyBorder="1" applyAlignment="1"/>
    <xf numFmtId="2" fontId="14" fillId="7" borderId="4" xfId="0" applyNumberFormat="1" applyFont="1" applyFill="1" applyBorder="1" applyAlignment="1"/>
    <xf numFmtId="2" fontId="14" fillId="8" borderId="14" xfId="4" applyNumberFormat="1" applyFont="1" applyFill="1" applyBorder="1"/>
    <xf numFmtId="4" fontId="14" fillId="4" borderId="5" xfId="0" applyNumberFormat="1" applyFont="1" applyFill="1" applyBorder="1"/>
    <xf numFmtId="164" fontId="14" fillId="4" borderId="5" xfId="4" applyNumberFormat="1" applyFont="1" applyFill="1" applyBorder="1"/>
    <xf numFmtId="175" fontId="14" fillId="5" borderId="14" xfId="4" applyNumberFormat="1" applyFont="1" applyFill="1" applyBorder="1"/>
    <xf numFmtId="174" fontId="14" fillId="7" borderId="14" xfId="4" applyNumberFormat="1" applyFont="1" applyFill="1" applyBorder="1" applyAlignment="1">
      <alignment horizontal="center" vertical="center" wrapText="1"/>
    </xf>
    <xf numFmtId="170" fontId="14" fillId="8" borderId="14" xfId="0" applyNumberFormat="1" applyFont="1" applyFill="1" applyBorder="1"/>
    <xf numFmtId="170" fontId="14" fillId="7" borderId="14" xfId="0" applyNumberFormat="1" applyFont="1" applyFill="1" applyBorder="1"/>
    <xf numFmtId="166" fontId="14" fillId="7" borderId="14" xfId="0" applyNumberFormat="1" applyFont="1" applyFill="1" applyBorder="1"/>
    <xf numFmtId="10" fontId="14" fillId="7" borderId="17" xfId="0" applyNumberFormat="1" applyFont="1" applyFill="1" applyBorder="1" applyAlignment="1">
      <alignment horizontal="center"/>
    </xf>
    <xf numFmtId="10" fontId="14" fillId="8" borderId="0" xfId="0" applyNumberFormat="1" applyFont="1" applyFill="1" applyBorder="1" applyAlignment="1">
      <alignment horizontal="center" vertical="top" wrapText="1"/>
    </xf>
    <xf numFmtId="0" fontId="14" fillId="8" borderId="14" xfId="0" applyFont="1" applyFill="1" applyBorder="1" applyAlignment="1">
      <alignment horizontal="right"/>
    </xf>
    <xf numFmtId="10" fontId="13" fillId="6" borderId="14" xfId="12" applyNumberFormat="1" applyFont="1" applyFill="1" applyBorder="1" applyAlignment="1">
      <alignment horizontal="center" vertical="center" wrapText="1"/>
    </xf>
    <xf numFmtId="2" fontId="14" fillId="4" borderId="0" xfId="13" applyNumberFormat="1" applyFont="1" applyFill="1" applyBorder="1"/>
    <xf numFmtId="164" fontId="14" fillId="4" borderId="0" xfId="4" applyNumberFormat="1" applyFont="1" applyFill="1" applyBorder="1"/>
    <xf numFmtId="3" fontId="14" fillId="4" borderId="14" xfId="0" applyNumberFormat="1" applyFont="1" applyFill="1" applyBorder="1"/>
    <xf numFmtId="10" fontId="13" fillId="6" borderId="14" xfId="12" applyNumberFormat="1" applyFont="1" applyFill="1" applyBorder="1" applyAlignment="1">
      <alignment vertical="center" wrapText="1"/>
    </xf>
    <xf numFmtId="164" fontId="13" fillId="6" borderId="14" xfId="4" applyNumberFormat="1" applyFont="1" applyFill="1" applyBorder="1"/>
    <xf numFmtId="1" fontId="14" fillId="4" borderId="14" xfId="0" applyNumberFormat="1" applyFont="1" applyFill="1" applyBorder="1"/>
    <xf numFmtId="10" fontId="14" fillId="4" borderId="14" xfId="0" applyNumberFormat="1" applyFont="1" applyFill="1" applyBorder="1"/>
    <xf numFmtId="174" fontId="14" fillId="4" borderId="0" xfId="4" quotePrefix="1" applyNumberFormat="1" applyFont="1" applyFill="1" applyBorder="1"/>
    <xf numFmtId="10" fontId="14" fillId="4" borderId="0" xfId="0" applyNumberFormat="1" applyFont="1" applyFill="1" applyBorder="1"/>
    <xf numFmtId="164" fontId="14" fillId="7" borderId="14" xfId="4" applyNumberFormat="1" applyFont="1" applyFill="1" applyBorder="1"/>
    <xf numFmtId="164" fontId="13" fillId="6" borderId="5" xfId="4" applyNumberFormat="1" applyFont="1" applyFill="1" applyBorder="1" applyAlignment="1">
      <alignment horizontal="center" vertical="top" wrapText="1"/>
    </xf>
    <xf numFmtId="164" fontId="14" fillId="4" borderId="0" xfId="4" applyNumberFormat="1" applyFont="1" applyFill="1"/>
    <xf numFmtId="177" fontId="14" fillId="8" borderId="0" xfId="0" applyNumberFormat="1" applyFont="1" applyFill="1"/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vertical="center"/>
    </xf>
    <xf numFmtId="164" fontId="13" fillId="6" borderId="3" xfId="4" quotePrefix="1" applyFont="1" applyFill="1" applyBorder="1" applyAlignment="1">
      <alignment horizontal="center" vertical="center" wrapText="1"/>
    </xf>
    <xf numFmtId="174" fontId="19" fillId="4" borderId="0" xfId="4" applyNumberFormat="1" applyFont="1" applyFill="1"/>
    <xf numFmtId="174" fontId="13" fillId="6" borderId="4" xfId="4" applyNumberFormat="1" applyFont="1" applyFill="1" applyBorder="1" applyAlignment="1">
      <alignment horizontal="center" vertical="center" wrapText="1"/>
    </xf>
    <xf numFmtId="174" fontId="13" fillId="6" borderId="3" xfId="4" applyNumberFormat="1" applyFont="1" applyFill="1" applyBorder="1" applyAlignment="1">
      <alignment horizontal="center" vertical="center" wrapText="1"/>
    </xf>
    <xf numFmtId="174" fontId="13" fillId="6" borderId="7" xfId="4" applyNumberFormat="1" applyFont="1" applyFill="1" applyBorder="1" applyAlignment="1">
      <alignment horizontal="center"/>
    </xf>
    <xf numFmtId="174" fontId="14" fillId="4" borderId="0" xfId="4" applyNumberFormat="1" applyFont="1" applyFill="1" applyBorder="1" applyAlignment="1">
      <alignment horizontal="center"/>
    </xf>
    <xf numFmtId="174" fontId="14" fillId="4" borderId="0" xfId="4" applyNumberFormat="1" applyFont="1" applyFill="1" applyBorder="1" applyAlignment="1">
      <alignment horizontal="left"/>
    </xf>
    <xf numFmtId="174" fontId="28" fillId="6" borderId="14" xfId="4" applyNumberFormat="1" applyFont="1" applyFill="1" applyBorder="1" applyAlignment="1">
      <alignment horizontal="center"/>
    </xf>
    <xf numFmtId="174" fontId="14" fillId="2" borderId="14" xfId="4" applyNumberFormat="1" applyFont="1" applyFill="1" applyBorder="1"/>
    <xf numFmtId="174" fontId="13" fillId="6" borderId="5" xfId="4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174" fontId="29" fillId="4" borderId="5" xfId="4" applyNumberFormat="1" applyFont="1" applyFill="1" applyBorder="1"/>
    <xf numFmtId="174" fontId="29" fillId="4" borderId="0" xfId="4" applyNumberFormat="1" applyFont="1" applyFill="1" applyBorder="1"/>
    <xf numFmtId="174" fontId="29" fillId="4" borderId="4" xfId="4" applyNumberFormat="1" applyFont="1" applyFill="1" applyBorder="1"/>
    <xf numFmtId="174" fontId="29" fillId="0" borderId="0" xfId="4" applyNumberFormat="1" applyFont="1" applyFill="1" applyBorder="1"/>
    <xf numFmtId="174" fontId="29" fillId="10" borderId="0" xfId="4" applyNumberFormat="1" applyFont="1" applyFill="1" applyBorder="1"/>
    <xf numFmtId="174" fontId="29" fillId="0" borderId="5" xfId="4" applyNumberFormat="1" applyFont="1" applyFill="1" applyBorder="1"/>
    <xf numFmtId="174" fontId="29" fillId="4" borderId="3" xfId="4" applyNumberFormat="1" applyFont="1" applyFill="1" applyBorder="1"/>
    <xf numFmtId="174" fontId="14" fillId="4" borderId="0" xfId="4" applyNumberFormat="1" applyFont="1" applyFill="1" applyBorder="1" applyAlignment="1">
      <alignment vertical="center"/>
    </xf>
    <xf numFmtId="174" fontId="13" fillId="6" borderId="15" xfId="4" applyNumberFormat="1" applyFont="1" applyFill="1" applyBorder="1" applyAlignment="1">
      <alignment horizontal="center" vertical="center" wrapText="1"/>
    </xf>
    <xf numFmtId="174" fontId="13" fillId="6" borderId="16" xfId="4" applyNumberFormat="1" applyFont="1" applyFill="1" applyBorder="1" applyAlignment="1">
      <alignment horizontal="center" vertical="top" wrapText="1"/>
    </xf>
    <xf numFmtId="9" fontId="14" fillId="7" borderId="14" xfId="12" applyFont="1" applyFill="1" applyBorder="1"/>
    <xf numFmtId="43" fontId="14" fillId="8" borderId="0" xfId="0" applyNumberFormat="1" applyFont="1" applyFill="1"/>
    <xf numFmtId="0" fontId="14" fillId="4" borderId="0" xfId="0" applyFont="1" applyFill="1" applyBorder="1" applyAlignment="1">
      <alignment horizontal="left"/>
    </xf>
    <xf numFmtId="9" fontId="13" fillId="6" borderId="3" xfId="12" applyFont="1" applyFill="1" applyBorder="1" applyAlignment="1">
      <alignment horizontal="center"/>
    </xf>
    <xf numFmtId="174" fontId="13" fillId="6" borderId="14" xfId="4" applyNumberFormat="1" applyFont="1" applyFill="1" applyBorder="1" applyAlignment="1">
      <alignment horizontal="center" vertical="center" wrapText="1"/>
    </xf>
    <xf numFmtId="3" fontId="14" fillId="4" borderId="0" xfId="0" applyNumberFormat="1" applyFont="1" applyFill="1" applyBorder="1"/>
    <xf numFmtId="3" fontId="14" fillId="4" borderId="7" xfId="0" applyNumberFormat="1" applyFont="1" applyFill="1" applyBorder="1"/>
    <xf numFmtId="0" fontId="14" fillId="4" borderId="9" xfId="0" applyFont="1" applyFill="1" applyBorder="1" applyAlignment="1">
      <alignment horizontal="center"/>
    </xf>
    <xf numFmtId="3" fontId="14" fillId="4" borderId="4" xfId="0" applyNumberFormat="1" applyFont="1" applyFill="1" applyBorder="1"/>
    <xf numFmtId="165" fontId="14" fillId="4" borderId="6" xfId="0" applyNumberFormat="1" applyFont="1" applyFill="1" applyBorder="1" applyAlignment="1">
      <alignment horizontal="center"/>
    </xf>
    <xf numFmtId="174" fontId="14" fillId="4" borderId="6" xfId="4" applyNumberFormat="1" applyFont="1" applyFill="1" applyBorder="1"/>
    <xf numFmtId="164" fontId="13" fillId="6" borderId="3" xfId="4" applyFont="1" applyFill="1" applyBorder="1" applyAlignment="1">
      <alignment horizontal="center" vertical="center"/>
    </xf>
    <xf numFmtId="3" fontId="14" fillId="4" borderId="3" xfId="0" applyNumberFormat="1" applyFont="1" applyFill="1" applyBorder="1"/>
    <xf numFmtId="174" fontId="14" fillId="3" borderId="11" xfId="4" applyNumberFormat="1" applyFont="1" applyFill="1" applyBorder="1"/>
    <xf numFmtId="174" fontId="14" fillId="3" borderId="7" xfId="4" applyNumberFormat="1" applyFont="1" applyFill="1" applyBorder="1"/>
    <xf numFmtId="174" fontId="14" fillId="4" borderId="4" xfId="4" applyNumberFormat="1" applyFont="1" applyFill="1" applyBorder="1" applyAlignment="1">
      <alignment horizontal="center"/>
    </xf>
    <xf numFmtId="174" fontId="14" fillId="4" borderId="5" xfId="4" applyNumberFormat="1" applyFont="1" applyFill="1" applyBorder="1" applyAlignment="1">
      <alignment horizontal="center"/>
    </xf>
    <xf numFmtId="176" fontId="14" fillId="4" borderId="0" xfId="4" applyNumberFormat="1" applyFont="1" applyFill="1" applyBorder="1"/>
    <xf numFmtId="4" fontId="14" fillId="4" borderId="6" xfId="12" applyNumberFormat="1" applyFont="1" applyFill="1" applyBorder="1"/>
    <xf numFmtId="176" fontId="14" fillId="4" borderId="6" xfId="4" applyNumberFormat="1" applyFont="1" applyFill="1" applyBorder="1"/>
    <xf numFmtId="0" fontId="14" fillId="4" borderId="4" xfId="15" applyFont="1" applyFill="1" applyBorder="1" applyAlignment="1">
      <alignment horizontal="center"/>
    </xf>
    <xf numFmtId="0" fontId="14" fillId="4" borderId="5" xfId="15" applyFont="1" applyFill="1" applyBorder="1" applyAlignment="1">
      <alignment horizontal="center"/>
    </xf>
    <xf numFmtId="0" fontId="14" fillId="4" borderId="3" xfId="15" applyFont="1" applyFill="1" applyBorder="1" applyAlignment="1">
      <alignment horizontal="center"/>
    </xf>
    <xf numFmtId="0" fontId="19" fillId="4" borderId="4" xfId="0" applyFont="1" applyFill="1" applyBorder="1" applyAlignment="1">
      <alignment horizontal="center"/>
    </xf>
    <xf numFmtId="171" fontId="19" fillId="5" borderId="12" xfId="0" applyNumberFormat="1" applyFont="1" applyFill="1" applyBorder="1"/>
    <xf numFmtId="171" fontId="19" fillId="5" borderId="11" xfId="0" applyNumberFormat="1" applyFont="1" applyFill="1" applyBorder="1"/>
    <xf numFmtId="3" fontId="19" fillId="4" borderId="0" xfId="12" applyNumberFormat="1" applyFont="1" applyFill="1" applyBorder="1"/>
    <xf numFmtId="171" fontId="19" fillId="4" borderId="0" xfId="0" applyNumberFormat="1" applyFont="1" applyFill="1" applyBorder="1"/>
    <xf numFmtId="164" fontId="19" fillId="4" borderId="9" xfId="4" applyFont="1" applyFill="1" applyBorder="1"/>
    <xf numFmtId="3" fontId="19" fillId="4" borderId="4" xfId="12" applyNumberFormat="1" applyFont="1" applyFill="1" applyBorder="1" applyAlignment="1">
      <alignment horizontal="right"/>
    </xf>
    <xf numFmtId="171" fontId="19" fillId="4" borderId="5" xfId="0" applyNumberFormat="1" applyFont="1" applyFill="1" applyBorder="1"/>
    <xf numFmtId="0" fontId="14" fillId="8" borderId="0" xfId="0" applyFont="1" applyFill="1" applyBorder="1" applyAlignment="1">
      <alignment horizontal="right"/>
    </xf>
    <xf numFmtId="178" fontId="14" fillId="7" borderId="14" xfId="4" applyNumberFormat="1" applyFont="1" applyFill="1" applyBorder="1"/>
    <xf numFmtId="3" fontId="19" fillId="4" borderId="0" xfId="0" applyNumberFormat="1" applyFont="1" applyFill="1"/>
    <xf numFmtId="164" fontId="14" fillId="7" borderId="17" xfId="4" applyFont="1" applyFill="1" applyBorder="1"/>
    <xf numFmtId="166" fontId="14" fillId="7" borderId="14" xfId="0" applyNumberFormat="1" applyFont="1" applyFill="1" applyBorder="1" applyAlignment="1">
      <alignment horizontal="center"/>
    </xf>
    <xf numFmtId="10" fontId="13" fillId="6" borderId="3" xfId="12" applyNumberFormat="1" applyFont="1" applyFill="1" applyBorder="1" applyAlignment="1">
      <alignment vertical="center"/>
    </xf>
    <xf numFmtId="164" fontId="13" fillId="6" borderId="4" xfId="4" applyFont="1" applyFill="1" applyBorder="1" applyAlignment="1">
      <alignment horizontal="center" vertical="center" wrapText="1"/>
    </xf>
    <xf numFmtId="174" fontId="24" fillId="4" borderId="0" xfId="4" applyNumberFormat="1" applyFont="1" applyFill="1" applyAlignment="1">
      <alignment horizontal="right"/>
    </xf>
    <xf numFmtId="164" fontId="13" fillId="6" borderId="5" xfId="4" applyFont="1" applyFill="1" applyBorder="1" applyAlignment="1">
      <alignment horizontal="center" vertical="top" wrapText="1"/>
    </xf>
    <xf numFmtId="179" fontId="13" fillId="6" borderId="5" xfId="12" applyNumberFormat="1" applyFont="1" applyFill="1" applyBorder="1" applyAlignment="1">
      <alignment vertical="center"/>
    </xf>
    <xf numFmtId="0" fontId="14" fillId="0" borderId="5" xfId="0" applyNumberFormat="1" applyFont="1" applyFill="1" applyBorder="1" applyAlignment="1">
      <alignment horizontal="center"/>
    </xf>
    <xf numFmtId="3" fontId="14" fillId="0" borderId="9" xfId="0" applyNumberFormat="1" applyFont="1" applyFill="1" applyBorder="1"/>
    <xf numFmtId="164" fontId="14" fillId="0" borderId="5" xfId="4" applyFont="1" applyFill="1" applyBorder="1" applyAlignment="1">
      <alignment horizontal="center"/>
    </xf>
    <xf numFmtId="2" fontId="14" fillId="0" borderId="5" xfId="0" applyNumberFormat="1" applyFont="1" applyFill="1" applyBorder="1"/>
    <xf numFmtId="0" fontId="14" fillId="7" borderId="8" xfId="0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/>
    </xf>
    <xf numFmtId="0" fontId="14" fillId="7" borderId="12" xfId="0" applyFont="1" applyFill="1" applyBorder="1" applyAlignment="1">
      <alignment horizontal="center"/>
    </xf>
    <xf numFmtId="0" fontId="14" fillId="8" borderId="9" xfId="0" quotePrefix="1" applyFont="1" applyFill="1" applyBorder="1"/>
    <xf numFmtId="0" fontId="14" fillId="8" borderId="0" xfId="0" quotePrefix="1" applyFont="1" applyFill="1" applyBorder="1"/>
    <xf numFmtId="0" fontId="14" fillId="8" borderId="11" xfId="0" quotePrefix="1" applyFont="1" applyFill="1" applyBorder="1"/>
    <xf numFmtId="0" fontId="14" fillId="8" borderId="10" xfId="0" quotePrefix="1" applyFont="1" applyFill="1" applyBorder="1"/>
    <xf numFmtId="0" fontId="14" fillId="8" borderId="16" xfId="0" quotePrefix="1" applyFont="1" applyFill="1" applyBorder="1"/>
    <xf numFmtId="0" fontId="14" fillId="8" borderId="13" xfId="0" quotePrefix="1" applyFont="1" applyFill="1" applyBorder="1"/>
    <xf numFmtId="0" fontId="14" fillId="7" borderId="14" xfId="0" applyFont="1" applyFill="1" applyBorder="1" applyAlignment="1">
      <alignment horizontal="center"/>
    </xf>
    <xf numFmtId="3" fontId="14" fillId="8" borderId="8" xfId="0" applyNumberFormat="1" applyFont="1" applyFill="1" applyBorder="1" applyAlignment="1">
      <alignment horizontal="center" wrapText="1"/>
    </xf>
    <xf numFmtId="3" fontId="14" fillId="8" borderId="12" xfId="0" applyNumberFormat="1" applyFont="1" applyFill="1" applyBorder="1" applyAlignment="1">
      <alignment horizontal="center" wrapText="1"/>
    </xf>
    <xf numFmtId="3" fontId="14" fillId="8" borderId="10" xfId="0" applyNumberFormat="1" applyFont="1" applyFill="1" applyBorder="1" applyAlignment="1">
      <alignment horizontal="center" wrapText="1"/>
    </xf>
    <xf numFmtId="3" fontId="14" fillId="8" borderId="13" xfId="0" applyNumberFormat="1" applyFont="1" applyFill="1" applyBorder="1" applyAlignment="1">
      <alignment horizontal="center" wrapText="1"/>
    </xf>
    <xf numFmtId="0" fontId="13" fillId="6" borderId="4" xfId="0" applyNumberFormat="1" applyFont="1" applyFill="1" applyBorder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0" fontId="13" fillId="6" borderId="3" xfId="0" applyNumberFormat="1" applyFont="1" applyFill="1" applyBorder="1" applyAlignment="1">
      <alignment horizontal="center" vertical="center" wrapText="1"/>
    </xf>
    <xf numFmtId="3" fontId="13" fillId="6" borderId="8" xfId="0" applyNumberFormat="1" applyFont="1" applyFill="1" applyBorder="1" applyAlignment="1">
      <alignment horizontal="center" vertical="center" wrapText="1"/>
    </xf>
    <xf numFmtId="3" fontId="13" fillId="6" borderId="9" xfId="0" applyNumberFormat="1" applyFont="1" applyFill="1" applyBorder="1" applyAlignment="1">
      <alignment horizontal="center" vertical="center" wrapText="1"/>
    </xf>
    <xf numFmtId="3" fontId="13" fillId="6" borderId="10" xfId="0" applyNumberFormat="1" applyFont="1" applyFill="1" applyBorder="1" applyAlignment="1">
      <alignment horizontal="center" vertical="center" wrapText="1"/>
    </xf>
    <xf numFmtId="174" fontId="13" fillId="6" borderId="4" xfId="4" applyNumberFormat="1" applyFont="1" applyFill="1" applyBorder="1" applyAlignment="1">
      <alignment horizontal="center" vertical="center" textRotation="90" wrapText="1"/>
    </xf>
    <xf numFmtId="174" fontId="13" fillId="6" borderId="5" xfId="4" applyNumberFormat="1" applyFont="1" applyFill="1" applyBorder="1" applyAlignment="1">
      <alignment horizontal="center" vertical="center" textRotation="90" wrapText="1"/>
    </xf>
    <xf numFmtId="174" fontId="13" fillId="6" borderId="3" xfId="4" applyNumberFormat="1" applyFont="1" applyFill="1" applyBorder="1" applyAlignment="1">
      <alignment horizontal="center" vertical="center" textRotation="90" wrapText="1"/>
    </xf>
    <xf numFmtId="174" fontId="28" fillId="6" borderId="4" xfId="4" applyNumberFormat="1" applyFont="1" applyFill="1" applyBorder="1" applyAlignment="1">
      <alignment horizontal="center" vertical="center" textRotation="90" wrapText="1"/>
    </xf>
    <xf numFmtId="174" fontId="28" fillId="6" borderId="3" xfId="4" applyNumberFormat="1" applyFont="1" applyFill="1" applyBorder="1" applyAlignment="1">
      <alignment horizontal="center" vertical="center" textRotation="90" wrapText="1"/>
    </xf>
    <xf numFmtId="174" fontId="13" fillId="6" borderId="12" xfId="4" applyNumberFormat="1" applyFont="1" applyFill="1" applyBorder="1" applyAlignment="1">
      <alignment horizontal="center" vertical="center" textRotation="90" wrapText="1"/>
    </xf>
    <xf numFmtId="174" fontId="13" fillId="6" borderId="13" xfId="4" applyNumberFormat="1" applyFont="1" applyFill="1" applyBorder="1" applyAlignment="1">
      <alignment horizontal="center" vertical="center" textRotation="90" wrapText="1"/>
    </xf>
    <xf numFmtId="4" fontId="13" fillId="6" borderId="4" xfId="0" applyNumberFormat="1" applyFont="1" applyFill="1" applyBorder="1" applyAlignment="1">
      <alignment horizontal="center" vertical="center" textRotation="90" wrapText="1"/>
    </xf>
    <xf numFmtId="4" fontId="13" fillId="6" borderId="5" xfId="0" applyNumberFormat="1" applyFont="1" applyFill="1" applyBorder="1" applyAlignment="1">
      <alignment horizontal="center" vertical="center" textRotation="90" wrapText="1"/>
    </xf>
    <xf numFmtId="4" fontId="13" fillId="6" borderId="3" xfId="0" applyNumberFormat="1" applyFont="1" applyFill="1" applyBorder="1" applyAlignment="1">
      <alignment horizontal="center" vertical="center" textRotation="90" wrapText="1"/>
    </xf>
    <xf numFmtId="3" fontId="13" fillId="6" borderId="4" xfId="0" applyNumberFormat="1" applyFont="1" applyFill="1" applyBorder="1" applyAlignment="1">
      <alignment horizontal="center" vertical="center" textRotation="90" wrapText="1"/>
    </xf>
    <xf numFmtId="0" fontId="13" fillId="6" borderId="3" xfId="0" applyFont="1" applyFill="1" applyBorder="1" applyAlignment="1">
      <alignment horizontal="center" vertical="center" textRotation="90" wrapText="1"/>
    </xf>
    <xf numFmtId="164" fontId="13" fillId="6" borderId="4" xfId="4" applyFont="1" applyFill="1" applyBorder="1" applyAlignment="1">
      <alignment horizontal="center" vertical="center" textRotation="90" wrapText="1"/>
    </xf>
    <xf numFmtId="164" fontId="13" fillId="6" borderId="3" xfId="4" applyFont="1" applyFill="1" applyBorder="1" applyAlignment="1">
      <alignment horizontal="center" vertical="center" textRotation="90" wrapText="1"/>
    </xf>
    <xf numFmtId="0" fontId="27" fillId="4" borderId="0" xfId="0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3" fontId="13" fillId="6" borderId="4" xfId="0" applyNumberFormat="1" applyFont="1" applyFill="1" applyBorder="1" applyAlignment="1">
      <alignment horizontal="center" vertical="center" wrapText="1"/>
    </xf>
    <xf numFmtId="3" fontId="13" fillId="6" borderId="5" xfId="0" applyNumberFormat="1" applyFont="1" applyFill="1" applyBorder="1" applyAlignment="1">
      <alignment horizontal="center" vertical="center" wrapText="1"/>
    </xf>
    <xf numFmtId="3" fontId="13" fillId="6" borderId="3" xfId="0" applyNumberFormat="1" applyFont="1" applyFill="1" applyBorder="1" applyAlignment="1">
      <alignment horizontal="center" vertical="center" wrapText="1"/>
    </xf>
    <xf numFmtId="3" fontId="13" fillId="6" borderId="3" xfId="0" applyNumberFormat="1" applyFont="1" applyFill="1" applyBorder="1" applyAlignment="1">
      <alignment horizontal="center" vertical="center" textRotation="90" wrapText="1"/>
    </xf>
    <xf numFmtId="174" fontId="13" fillId="6" borderId="4" xfId="4" applyNumberFormat="1" applyFont="1" applyFill="1" applyBorder="1" applyAlignment="1">
      <alignment horizontal="center" vertical="center" wrapText="1"/>
    </xf>
    <xf numFmtId="174" fontId="13" fillId="6" borderId="5" xfId="4" applyNumberFormat="1" applyFont="1" applyFill="1" applyBorder="1" applyAlignment="1">
      <alignment horizontal="center" vertical="center" wrapText="1"/>
    </xf>
    <xf numFmtId="174" fontId="13" fillId="6" borderId="3" xfId="4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3" fontId="13" fillId="6" borderId="5" xfId="0" applyNumberFormat="1" applyFont="1" applyFill="1" applyBorder="1" applyAlignment="1">
      <alignment horizontal="center" vertical="center" textRotation="90" wrapText="1"/>
    </xf>
    <xf numFmtId="4" fontId="13" fillId="6" borderId="4" xfId="0" applyNumberFormat="1" applyFont="1" applyFill="1" applyBorder="1" applyAlignment="1">
      <alignment horizontal="center" vertical="center" wrapText="1"/>
    </xf>
    <xf numFmtId="4" fontId="13" fillId="6" borderId="5" xfId="0" applyNumberFormat="1" applyFont="1" applyFill="1" applyBorder="1" applyAlignment="1">
      <alignment horizontal="center" vertical="center" wrapText="1"/>
    </xf>
    <xf numFmtId="10" fontId="13" fillId="6" borderId="14" xfId="12" applyNumberFormat="1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164" fontId="13" fillId="6" borderId="4" xfId="4" applyFont="1" applyFill="1" applyBorder="1" applyAlignment="1">
      <alignment horizontal="center" vertical="center" wrapText="1"/>
    </xf>
    <xf numFmtId="164" fontId="13" fillId="6" borderId="5" xfId="4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174" fontId="13" fillId="6" borderId="12" xfId="4" applyNumberFormat="1" applyFont="1" applyFill="1" applyBorder="1" applyAlignment="1">
      <alignment horizontal="center" vertical="center" wrapText="1"/>
    </xf>
    <xf numFmtId="174" fontId="13" fillId="6" borderId="13" xfId="4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164" fontId="13" fillId="6" borderId="3" xfId="4" applyFont="1" applyFill="1" applyBorder="1" applyAlignment="1">
      <alignment horizontal="center" vertical="center" wrapText="1"/>
    </xf>
    <xf numFmtId="0" fontId="3" fillId="3" borderId="17" xfId="11" applyFont="1" applyFill="1" applyBorder="1" applyAlignment="1">
      <alignment horizontal="center"/>
    </xf>
    <xf numFmtId="0" fontId="3" fillId="3" borderId="6" xfId="11" applyFont="1" applyFill="1" applyBorder="1" applyAlignment="1">
      <alignment horizontal="center"/>
    </xf>
    <xf numFmtId="0" fontId="3" fillId="3" borderId="7" xfId="11" applyFont="1" applyFill="1" applyBorder="1" applyAlignment="1">
      <alignment horizontal="center"/>
    </xf>
    <xf numFmtId="166" fontId="13" fillId="6" borderId="4" xfId="12" applyNumberFormat="1" applyFont="1" applyFill="1" applyBorder="1" applyAlignment="1">
      <alignment horizontal="center" vertical="center" wrapText="1"/>
    </xf>
    <xf numFmtId="166" fontId="13" fillId="6" borderId="3" xfId="12" applyNumberFormat="1" applyFont="1" applyFill="1" applyBorder="1" applyAlignment="1">
      <alignment horizontal="center" vertical="center" wrapText="1"/>
    </xf>
    <xf numFmtId="0" fontId="13" fillId="6" borderId="4" xfId="15" applyFont="1" applyFill="1" applyBorder="1" applyAlignment="1">
      <alignment horizontal="center" vertical="center" wrapText="1"/>
    </xf>
    <xf numFmtId="0" fontId="13" fillId="6" borderId="3" xfId="15" applyFont="1" applyFill="1" applyBorder="1" applyAlignment="1">
      <alignment horizontal="center" vertical="center" wrapText="1"/>
    </xf>
    <xf numFmtId="0" fontId="13" fillId="6" borderId="8" xfId="15" applyFont="1" applyFill="1" applyBorder="1" applyAlignment="1">
      <alignment horizontal="center" vertical="center" wrapText="1"/>
    </xf>
    <xf numFmtId="0" fontId="13" fillId="6" borderId="10" xfId="15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/>
    </xf>
    <xf numFmtId="166" fontId="13" fillId="6" borderId="12" xfId="12" applyNumberFormat="1" applyFont="1" applyFill="1" applyBorder="1" applyAlignment="1">
      <alignment horizontal="center" vertical="center" wrapText="1"/>
    </xf>
    <xf numFmtId="166" fontId="13" fillId="6" borderId="13" xfId="12" applyNumberFormat="1" applyFont="1" applyFill="1" applyBorder="1" applyAlignment="1">
      <alignment horizontal="center" vertical="center" wrapText="1"/>
    </xf>
    <xf numFmtId="1" fontId="14" fillId="4" borderId="0" xfId="11" applyNumberFormat="1" applyFont="1" applyFill="1" applyAlignment="1">
      <alignment horizontal="left" vertical="center"/>
    </xf>
    <xf numFmtId="0" fontId="14" fillId="4" borderId="0" xfId="0" applyFont="1" applyFill="1" applyAlignment="1">
      <alignment vertical="center"/>
    </xf>
    <xf numFmtId="166" fontId="13" fillId="6" borderId="5" xfId="12" applyNumberFormat="1" applyFont="1" applyFill="1" applyBorder="1" applyAlignment="1">
      <alignment horizontal="center" vertical="center" wrapText="1"/>
    </xf>
  </cellXfs>
  <cellStyles count="18">
    <cellStyle name="cexColumnHeadings" xfId="1"/>
    <cellStyle name="cexReportTitle" xfId="2"/>
    <cellStyle name="cexTableEntry" xfId="3"/>
    <cellStyle name="Milliers" xfId="4" builtinId="3"/>
    <cellStyle name="Milliers 2" xfId="5"/>
    <cellStyle name="Milliers 3" xfId="6"/>
    <cellStyle name="Milliers 3 2" xfId="16"/>
    <cellStyle name="Milliers 4" xfId="14"/>
    <cellStyle name="Normal" xfId="0" builtinId="0"/>
    <cellStyle name="Normal 2" xfId="7"/>
    <cellStyle name="Normal 2 2" xfId="8"/>
    <cellStyle name="Normal 2 3" xfId="9"/>
    <cellStyle name="Normal 3" xfId="10"/>
    <cellStyle name="Normal 3 2" xfId="17"/>
    <cellStyle name="Normal 4" xfId="15"/>
    <cellStyle name="Normal_3crit_2002-03.xls" xfId="11"/>
    <cellStyle name="Pourcentage" xfId="12" builtinId="5"/>
    <cellStyle name="Pourcentage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00B0F0"/>
  </sheetPr>
  <dimension ref="A1:L545"/>
  <sheetViews>
    <sheetView zoomScaleNormal="100" workbookViewId="0">
      <selection activeCell="A27" sqref="A27"/>
    </sheetView>
  </sheetViews>
  <sheetFormatPr baseColWidth="10" defaultColWidth="10.75" defaultRowHeight="15" x14ac:dyDescent="0.25"/>
  <cols>
    <col min="1" max="1" width="48" style="186" bestFit="1" customWidth="1"/>
    <col min="2" max="2" width="13.75" style="186" customWidth="1"/>
    <col min="3" max="3" width="16.625" style="186" customWidth="1"/>
    <col min="4" max="4" width="12.25" style="186" customWidth="1"/>
    <col min="5" max="5" width="11" style="186" bestFit="1" customWidth="1"/>
    <col min="6" max="6" width="12.125" style="186" bestFit="1" customWidth="1"/>
    <col min="7" max="7" width="12.5" style="186" bestFit="1" customWidth="1"/>
    <col min="8" max="8" width="12" style="186" bestFit="1" customWidth="1"/>
    <col min="9" max="10" width="12.125" style="186" bestFit="1" customWidth="1"/>
    <col min="11" max="11" width="14.375" style="186" bestFit="1" customWidth="1"/>
    <col min="12" max="16384" width="10.75" style="186"/>
  </cols>
  <sheetData>
    <row r="1" spans="1:9" ht="31.5" x14ac:dyDescent="0.5">
      <c r="A1" s="227" t="s">
        <v>384</v>
      </c>
    </row>
    <row r="4" spans="1:9" ht="21" x14ac:dyDescent="0.35">
      <c r="A4" s="205" t="s">
        <v>472</v>
      </c>
    </row>
    <row r="5" spans="1:9" x14ac:dyDescent="0.25">
      <c r="A5" s="186" t="s">
        <v>464</v>
      </c>
      <c r="B5" s="206" t="s">
        <v>560</v>
      </c>
    </row>
    <row r="6" spans="1:9" x14ac:dyDescent="0.25">
      <c r="A6" s="186" t="s">
        <v>523</v>
      </c>
      <c r="B6" s="206" t="s">
        <v>561</v>
      </c>
    </row>
    <row r="7" spans="1:9" x14ac:dyDescent="0.25">
      <c r="A7" s="186" t="s">
        <v>519</v>
      </c>
      <c r="B7" s="207">
        <v>41273</v>
      </c>
    </row>
    <row r="8" spans="1:9" x14ac:dyDescent="0.25">
      <c r="A8" s="186" t="s">
        <v>520</v>
      </c>
      <c r="B8" s="273">
        <v>2016</v>
      </c>
    </row>
    <row r="10" spans="1:9" ht="21" x14ac:dyDescent="0.35">
      <c r="A10" s="205" t="s">
        <v>473</v>
      </c>
      <c r="C10" s="188"/>
      <c r="D10" s="188"/>
    </row>
    <row r="11" spans="1:9" x14ac:dyDescent="0.25">
      <c r="A11" s="186" t="s">
        <v>458</v>
      </c>
      <c r="B11" s="208">
        <v>0.5</v>
      </c>
      <c r="C11" s="196"/>
      <c r="D11" s="196"/>
    </row>
    <row r="12" spans="1:9" x14ac:dyDescent="0.25">
      <c r="A12" s="186" t="s">
        <v>528</v>
      </c>
      <c r="B12" s="208">
        <v>0.3</v>
      </c>
      <c r="C12" s="197"/>
      <c r="D12" s="197"/>
      <c r="F12" s="193"/>
    </row>
    <row r="14" spans="1:9" ht="21" x14ac:dyDescent="0.35">
      <c r="A14" s="205" t="s">
        <v>474</v>
      </c>
    </row>
    <row r="15" spans="1:9" x14ac:dyDescent="0.25">
      <c r="B15" s="198" t="s">
        <v>300</v>
      </c>
      <c r="C15" s="198" t="s">
        <v>297</v>
      </c>
      <c r="D15" s="198" t="s">
        <v>298</v>
      </c>
      <c r="E15" s="198" t="s">
        <v>416</v>
      </c>
      <c r="G15" s="393" t="s">
        <v>550</v>
      </c>
      <c r="H15" s="394"/>
      <c r="I15" s="395"/>
    </row>
    <row r="16" spans="1:9" x14ac:dyDescent="0.25">
      <c r="A16" s="186" t="s">
        <v>527</v>
      </c>
      <c r="B16" s="209">
        <v>0.36</v>
      </c>
      <c r="C16" s="209">
        <v>0.46</v>
      </c>
      <c r="D16" s="209">
        <v>0.56000000000000005</v>
      </c>
      <c r="E16" s="209">
        <v>0.66</v>
      </c>
      <c r="G16" s="396" t="s">
        <v>548</v>
      </c>
      <c r="H16" s="397"/>
      <c r="I16" s="398"/>
    </row>
    <row r="17" spans="1:12" x14ac:dyDescent="0.25">
      <c r="A17" s="186" t="s">
        <v>475</v>
      </c>
      <c r="B17" s="209">
        <v>1.2</v>
      </c>
      <c r="C17" s="209">
        <v>1.5</v>
      </c>
      <c r="D17" s="209">
        <v>2</v>
      </c>
      <c r="E17" s="308">
        <v>3</v>
      </c>
      <c r="F17" s="188"/>
      <c r="G17" s="399" t="s">
        <v>549</v>
      </c>
      <c r="H17" s="400"/>
      <c r="I17" s="401"/>
    </row>
    <row r="18" spans="1:12" x14ac:dyDescent="0.25">
      <c r="F18" s="188"/>
      <c r="I18" s="188"/>
      <c r="J18" s="188"/>
      <c r="K18" s="188"/>
      <c r="L18" s="188"/>
    </row>
    <row r="19" spans="1:12" x14ac:dyDescent="0.25">
      <c r="B19" s="198" t="s">
        <v>544</v>
      </c>
      <c r="D19" s="198" t="s">
        <v>544</v>
      </c>
      <c r="E19" s="198" t="s">
        <v>546</v>
      </c>
      <c r="F19" s="309"/>
      <c r="I19" s="188"/>
      <c r="J19" s="188"/>
      <c r="K19" s="188"/>
      <c r="L19" s="188"/>
    </row>
    <row r="20" spans="1:12" x14ac:dyDescent="0.25">
      <c r="A20" s="186" t="s">
        <v>545</v>
      </c>
      <c r="B20" s="209">
        <v>0.5</v>
      </c>
      <c r="D20" s="209">
        <v>0.5</v>
      </c>
      <c r="E20" s="209">
        <v>0</v>
      </c>
      <c r="I20" s="188"/>
      <c r="J20" s="188"/>
      <c r="K20" s="188"/>
      <c r="L20" s="188"/>
    </row>
    <row r="21" spans="1:12" x14ac:dyDescent="0.25">
      <c r="E21" s="186" t="s">
        <v>547</v>
      </c>
      <c r="F21" s="188"/>
      <c r="I21" s="188"/>
      <c r="J21" s="188"/>
      <c r="K21" s="188"/>
      <c r="L21" s="188"/>
    </row>
    <row r="22" spans="1:12" x14ac:dyDescent="0.25">
      <c r="F22" s="188"/>
      <c r="I22" s="188"/>
      <c r="J22" s="188"/>
      <c r="K22" s="188"/>
      <c r="L22" s="188"/>
    </row>
    <row r="23" spans="1:12" ht="21" x14ac:dyDescent="0.35">
      <c r="A23" s="205" t="s">
        <v>476</v>
      </c>
      <c r="B23" s="188"/>
      <c r="C23" s="188"/>
      <c r="D23" s="188"/>
      <c r="E23" s="199"/>
      <c r="F23" s="189"/>
      <c r="I23" s="188"/>
      <c r="J23" s="188"/>
      <c r="K23" s="188"/>
      <c r="L23" s="190"/>
    </row>
    <row r="24" spans="1:12" x14ac:dyDescent="0.25">
      <c r="A24" s="211" t="s">
        <v>524</v>
      </c>
      <c r="B24" s="215">
        <v>0</v>
      </c>
      <c r="C24" s="215">
        <v>1000</v>
      </c>
      <c r="D24" s="215">
        <v>3000</v>
      </c>
      <c r="E24" s="215">
        <v>5000</v>
      </c>
      <c r="F24" s="215">
        <v>9000</v>
      </c>
      <c r="G24" s="215">
        <v>12000</v>
      </c>
      <c r="H24" s="215">
        <v>15000</v>
      </c>
      <c r="I24" s="200"/>
      <c r="J24" s="402" t="s">
        <v>550</v>
      </c>
      <c r="K24" s="402"/>
      <c r="L24" s="188"/>
    </row>
    <row r="25" spans="1:12" x14ac:dyDescent="0.25">
      <c r="A25" s="211"/>
      <c r="B25" s="215">
        <v>1000</v>
      </c>
      <c r="C25" s="215">
        <v>3000</v>
      </c>
      <c r="D25" s="215">
        <v>5000</v>
      </c>
      <c r="E25" s="215">
        <v>9000</v>
      </c>
      <c r="F25" s="215">
        <v>12000</v>
      </c>
      <c r="G25" s="215">
        <v>15000</v>
      </c>
      <c r="H25" s="215"/>
      <c r="I25" s="200"/>
      <c r="J25" s="403" t="s">
        <v>551</v>
      </c>
      <c r="K25" s="404"/>
      <c r="L25" s="188"/>
    </row>
    <row r="26" spans="1:12" x14ac:dyDescent="0.25">
      <c r="A26" s="212" t="s">
        <v>477</v>
      </c>
      <c r="B26" s="281">
        <v>100</v>
      </c>
      <c r="C26" s="281">
        <v>350</v>
      </c>
      <c r="D26" s="281">
        <v>500</v>
      </c>
      <c r="E26" s="281">
        <v>600</v>
      </c>
      <c r="F26" s="281">
        <v>850</v>
      </c>
      <c r="G26" s="281">
        <v>1000</v>
      </c>
      <c r="H26" s="281">
        <v>1050</v>
      </c>
      <c r="I26" s="201"/>
      <c r="J26" s="405"/>
      <c r="K26" s="406"/>
      <c r="L26" s="188"/>
    </row>
    <row r="27" spans="1:12" x14ac:dyDescent="0.25">
      <c r="A27" s="188" t="s">
        <v>459</v>
      </c>
      <c r="B27" s="298">
        <v>99.4</v>
      </c>
      <c r="C27" s="210"/>
      <c r="D27" s="210"/>
      <c r="E27" s="210"/>
      <c r="F27" s="210"/>
      <c r="G27" s="210"/>
      <c r="H27" s="210"/>
      <c r="I27" s="188"/>
      <c r="J27" s="188"/>
      <c r="K27" s="188"/>
      <c r="L27" s="188"/>
    </row>
    <row r="28" spans="1:12" x14ac:dyDescent="0.25">
      <c r="A28" s="188" t="s">
        <v>460</v>
      </c>
      <c r="B28" s="299">
        <v>98</v>
      </c>
      <c r="C28" s="210"/>
      <c r="D28" s="210"/>
      <c r="E28" s="210"/>
      <c r="F28" s="210"/>
      <c r="G28" s="210"/>
      <c r="H28" s="210"/>
      <c r="I28" s="188"/>
      <c r="J28" s="188"/>
      <c r="K28" s="188"/>
      <c r="L28" s="188"/>
    </row>
    <row r="29" spans="1:12" x14ac:dyDescent="0.25">
      <c r="A29" s="188" t="s">
        <v>461</v>
      </c>
      <c r="B29" s="300">
        <f>+B26/$B$27*$B$28</f>
        <v>98.591549295774641</v>
      </c>
      <c r="C29" s="203">
        <f t="shared" ref="C29:H29" si="0">+C26/$B$27*$B$28</f>
        <v>345.07042253521126</v>
      </c>
      <c r="D29" s="203">
        <f t="shared" si="0"/>
        <v>492.95774647887322</v>
      </c>
      <c r="E29" s="203">
        <f t="shared" si="0"/>
        <v>591.54929577464782</v>
      </c>
      <c r="F29" s="203">
        <f t="shared" si="0"/>
        <v>838.02816901408448</v>
      </c>
      <c r="G29" s="203">
        <f t="shared" si="0"/>
        <v>985.91549295774644</v>
      </c>
      <c r="H29" s="203">
        <f t="shared" si="0"/>
        <v>1035.2112676056338</v>
      </c>
      <c r="I29" s="188"/>
      <c r="J29" s="188"/>
      <c r="K29" s="188"/>
      <c r="L29" s="188"/>
    </row>
    <row r="31" spans="1:12" ht="21" x14ac:dyDescent="0.35">
      <c r="A31" s="205" t="s">
        <v>478</v>
      </c>
    </row>
    <row r="32" spans="1:12" x14ac:dyDescent="0.25">
      <c r="A32" s="186" t="s">
        <v>525</v>
      </c>
      <c r="B32" s="216">
        <v>0.27</v>
      </c>
    </row>
    <row r="34" spans="1:12" ht="21" x14ac:dyDescent="0.35">
      <c r="A34" s="205" t="s">
        <v>479</v>
      </c>
    </row>
    <row r="35" spans="1:12" x14ac:dyDescent="0.25">
      <c r="A35" s="186" t="s">
        <v>386</v>
      </c>
      <c r="C35" s="191"/>
    </row>
    <row r="36" spans="1:12" x14ac:dyDescent="0.25">
      <c r="A36" s="186" t="s">
        <v>429</v>
      </c>
      <c r="B36" s="272">
        <v>-6857741</v>
      </c>
      <c r="C36" s="113">
        <f>Synthèse!L315-Synthèse!F315</f>
        <v>449999.97490441799</v>
      </c>
      <c r="D36" s="214">
        <f>+'J) Plafonnement effort'!I314+'K) Plafonnement aide'!J314+'L) Plafonnement taux'!Q315</f>
        <v>-6857741.0250951797</v>
      </c>
      <c r="L36" s="193"/>
    </row>
    <row r="37" spans="1:12" x14ac:dyDescent="0.25">
      <c r="A37" s="186" t="s">
        <v>526</v>
      </c>
      <c r="B37" s="272">
        <v>-450000</v>
      </c>
      <c r="C37" s="192"/>
      <c r="D37" s="193"/>
      <c r="L37" s="193"/>
    </row>
    <row r="38" spans="1:12" x14ac:dyDescent="0.25">
      <c r="G38" s="193"/>
      <c r="H38" s="194"/>
      <c r="L38" s="193"/>
    </row>
    <row r="39" spans="1:12" ht="21" x14ac:dyDescent="0.35">
      <c r="A39" s="205" t="s">
        <v>480</v>
      </c>
      <c r="G39" s="193"/>
      <c r="H39" s="194"/>
      <c r="L39" s="193"/>
    </row>
    <row r="40" spans="1:12" x14ac:dyDescent="0.25">
      <c r="A40" s="204"/>
      <c r="B40" s="218" t="s">
        <v>387</v>
      </c>
      <c r="C40" s="218" t="s">
        <v>385</v>
      </c>
      <c r="E40" s="202" t="s">
        <v>456</v>
      </c>
      <c r="F40" s="202"/>
      <c r="G40" s="220">
        <f>+'D) Ecrêtage'!M314</f>
        <v>35263307.270035163</v>
      </c>
      <c r="H40" s="222"/>
      <c r="I40" s="221" t="s">
        <v>457</v>
      </c>
      <c r="J40" s="202"/>
      <c r="K40" s="113">
        <f>+'I) Dépenses thématiques'!I314</f>
        <v>184784775.42292681</v>
      </c>
    </row>
    <row r="41" spans="1:12" x14ac:dyDescent="0.25">
      <c r="A41" s="186" t="s">
        <v>481</v>
      </c>
      <c r="B41" s="217">
        <v>8</v>
      </c>
      <c r="C41" s="198">
        <f>+H42</f>
        <v>0.73388726740960408</v>
      </c>
      <c r="E41" s="202" t="s">
        <v>552</v>
      </c>
      <c r="F41" s="202"/>
      <c r="G41" s="382">
        <v>4</v>
      </c>
      <c r="H41" s="348">
        <v>0.75</v>
      </c>
      <c r="I41" s="221" t="s">
        <v>220</v>
      </c>
      <c r="J41" s="202"/>
      <c r="K41" s="113">
        <f>+'I) Dépenses thématiques'!M314</f>
        <v>7415355.7743551545</v>
      </c>
    </row>
    <row r="42" spans="1:12" x14ac:dyDescent="0.25">
      <c r="A42" s="186" t="s">
        <v>529</v>
      </c>
      <c r="B42" s="217">
        <v>1</v>
      </c>
      <c r="C42" s="198">
        <f>+H42</f>
        <v>0.73388726740960408</v>
      </c>
      <c r="E42" s="202" t="s">
        <v>482</v>
      </c>
      <c r="F42" s="202"/>
      <c r="G42" s="219">
        <f>+G40*G41</f>
        <v>141053229.08014065</v>
      </c>
      <c r="H42" s="297">
        <f>IF((G42/K42)&gt;H41,H41,(G42/K42))</f>
        <v>0.73388726740960408</v>
      </c>
      <c r="I42" s="202" t="s">
        <v>143</v>
      </c>
      <c r="J42" s="202"/>
      <c r="K42" s="113">
        <f>SUM(K40:K41)</f>
        <v>192200131.19728196</v>
      </c>
    </row>
    <row r="43" spans="1:12" x14ac:dyDescent="0.25">
      <c r="E43" s="186" t="s">
        <v>553</v>
      </c>
    </row>
    <row r="44" spans="1:12" ht="21" x14ac:dyDescent="0.35">
      <c r="A44" s="205" t="s">
        <v>484</v>
      </c>
      <c r="H44" s="349"/>
    </row>
    <row r="46" spans="1:12" x14ac:dyDescent="0.25">
      <c r="A46" s="186" t="s">
        <v>563</v>
      </c>
      <c r="B46" s="306">
        <v>54.939824006084386</v>
      </c>
    </row>
    <row r="47" spans="1:12" x14ac:dyDescent="0.25">
      <c r="A47" s="186" t="s">
        <v>530</v>
      </c>
      <c r="B47" s="305">
        <v>45</v>
      </c>
      <c r="C47" s="310" t="s">
        <v>555</v>
      </c>
      <c r="D47" s="383">
        <v>45</v>
      </c>
      <c r="E47" s="310" t="s">
        <v>562</v>
      </c>
      <c r="F47" s="383">
        <v>45</v>
      </c>
    </row>
    <row r="48" spans="1:12" x14ac:dyDescent="0.25">
      <c r="A48" s="186" t="s">
        <v>532</v>
      </c>
      <c r="B48" s="307">
        <v>-6.5</v>
      </c>
      <c r="C48" s="310" t="s">
        <v>555</v>
      </c>
      <c r="D48" s="383">
        <v>-6.5</v>
      </c>
      <c r="E48" s="310" t="s">
        <v>556</v>
      </c>
      <c r="F48" s="383">
        <v>8</v>
      </c>
    </row>
    <row r="49" spans="1:9" x14ac:dyDescent="0.25">
      <c r="A49" s="186" t="s">
        <v>564</v>
      </c>
      <c r="B49" s="380">
        <v>89.94</v>
      </c>
      <c r="C49" s="379"/>
      <c r="E49" s="379"/>
    </row>
    <row r="50" spans="1:9" x14ac:dyDescent="0.25">
      <c r="A50" s="186" t="s">
        <v>531</v>
      </c>
      <c r="B50" s="305">
        <f>+B49+B63</f>
        <v>90.917594759603773</v>
      </c>
    </row>
    <row r="51" spans="1:9" x14ac:dyDescent="0.25">
      <c r="A51" s="186" t="s">
        <v>541</v>
      </c>
      <c r="B51" s="304">
        <v>50</v>
      </c>
      <c r="C51" s="186" t="s">
        <v>565</v>
      </c>
      <c r="I51" s="192"/>
    </row>
    <row r="52" spans="1:9" x14ac:dyDescent="0.25">
      <c r="A52" s="186" t="s">
        <v>542</v>
      </c>
      <c r="B52" s="304">
        <v>85</v>
      </c>
    </row>
    <row r="54" spans="1:9" x14ac:dyDescent="0.25">
      <c r="A54" s="195"/>
      <c r="B54" s="187"/>
    </row>
    <row r="55" spans="1:9" ht="21" x14ac:dyDescent="0.35">
      <c r="A55" s="228" t="s">
        <v>483</v>
      </c>
      <c r="B55" s="188"/>
      <c r="E55" s="188"/>
    </row>
    <row r="56" spans="1:9" ht="45" x14ac:dyDescent="0.25">
      <c r="B56" s="226" t="s">
        <v>448</v>
      </c>
      <c r="C56" s="188"/>
      <c r="D56" s="188"/>
      <c r="E56" s="188"/>
    </row>
    <row r="57" spans="1:9" x14ac:dyDescent="0.25">
      <c r="A57" s="188" t="s">
        <v>557</v>
      </c>
      <c r="B57" s="213">
        <v>735072900</v>
      </c>
      <c r="C57" s="188"/>
      <c r="D57" s="188"/>
      <c r="E57" s="188"/>
    </row>
    <row r="58" spans="1:9" x14ac:dyDescent="0.25">
      <c r="A58" s="188" t="s">
        <v>567</v>
      </c>
      <c r="B58" s="213">
        <v>770526000</v>
      </c>
      <c r="C58" s="200"/>
      <c r="D58" s="188"/>
      <c r="E58" s="188"/>
    </row>
    <row r="59" spans="1:9" x14ac:dyDescent="0.25">
      <c r="A59" s="188" t="s">
        <v>558</v>
      </c>
      <c r="B59" s="213">
        <v>34873950.283385321</v>
      </c>
      <c r="C59" s="188"/>
      <c r="D59" s="188"/>
      <c r="E59" s="188"/>
    </row>
    <row r="60" spans="1:9" x14ac:dyDescent="0.25">
      <c r="A60" s="188" t="s">
        <v>566</v>
      </c>
      <c r="B60" s="213">
        <f>'B) D RI'!U316</f>
        <v>36265640.391085088</v>
      </c>
      <c r="C60" s="200"/>
      <c r="D60" s="188"/>
      <c r="E60" s="188"/>
    </row>
    <row r="61" spans="1:9" x14ac:dyDescent="0.25">
      <c r="A61" s="188" t="s">
        <v>449</v>
      </c>
      <c r="B61" s="224">
        <f>(B58-B57)*100/B57</f>
        <v>4.8230726503452921</v>
      </c>
      <c r="C61" s="188"/>
      <c r="D61" s="188"/>
      <c r="E61" s="188"/>
    </row>
    <row r="62" spans="1:9" x14ac:dyDescent="0.25">
      <c r="A62" s="188" t="s">
        <v>450</v>
      </c>
      <c r="B62" s="224">
        <f>(B60-B59)*100/B59</f>
        <v>3.9906293849446617</v>
      </c>
      <c r="C62" s="200"/>
      <c r="D62" s="188"/>
      <c r="E62" s="188"/>
    </row>
    <row r="63" spans="1:9" x14ac:dyDescent="0.25">
      <c r="A63" s="188" t="s">
        <v>451</v>
      </c>
      <c r="B63" s="225">
        <f>(B58-B57)/B60</f>
        <v>0.97759475960378106</v>
      </c>
      <c r="C63" s="223"/>
      <c r="D63" s="188"/>
      <c r="E63" s="188"/>
    </row>
    <row r="64" spans="1:9" x14ac:dyDescent="0.25">
      <c r="A64" s="188"/>
      <c r="B64" s="188"/>
      <c r="C64" s="188"/>
      <c r="D64" s="188"/>
      <c r="E64" s="188"/>
    </row>
    <row r="65" spans="1:7" ht="21" x14ac:dyDescent="0.35">
      <c r="A65" s="228" t="s">
        <v>510</v>
      </c>
      <c r="B65" s="188"/>
      <c r="C65" s="188"/>
      <c r="D65" s="188"/>
      <c r="E65" s="188"/>
    </row>
    <row r="66" spans="1:7" x14ac:dyDescent="0.25">
      <c r="A66" s="188" t="s">
        <v>511</v>
      </c>
      <c r="B66" s="263">
        <v>2</v>
      </c>
      <c r="C66" s="188">
        <v>2013</v>
      </c>
      <c r="D66" s="280">
        <v>62118300</v>
      </c>
      <c r="E66" s="186">
        <v>2016</v>
      </c>
      <c r="F66" s="280">
        <f>D68*101.5%</f>
        <v>64955763.00176248</v>
      </c>
      <c r="G66" s="324"/>
    </row>
    <row r="67" spans="1:7" x14ac:dyDescent="0.25">
      <c r="A67" s="188" t="s">
        <v>518</v>
      </c>
      <c r="B67" s="272">
        <v>66919051</v>
      </c>
      <c r="C67" s="188">
        <v>2014</v>
      </c>
      <c r="D67" s="280">
        <f>D66*101.5%</f>
        <v>63050074.499999993</v>
      </c>
      <c r="E67" s="188">
        <v>2017</v>
      </c>
      <c r="F67" s="236">
        <f>+F66*1.015</f>
        <v>65930099.446788907</v>
      </c>
    </row>
    <row r="68" spans="1:7" x14ac:dyDescent="0.25">
      <c r="A68" s="188"/>
      <c r="B68" s="188"/>
      <c r="C68" s="188">
        <v>2015</v>
      </c>
      <c r="D68" s="280">
        <f>D67*101.5%</f>
        <v>63995825.617499985</v>
      </c>
      <c r="E68" s="188">
        <v>2018</v>
      </c>
      <c r="F68" s="236">
        <f>+F67*101.5/100</f>
        <v>66919050.938490741</v>
      </c>
    </row>
    <row r="69" spans="1:7" ht="21" x14ac:dyDescent="0.35">
      <c r="A69" s="228" t="s">
        <v>488</v>
      </c>
    </row>
    <row r="70" spans="1:7" x14ac:dyDescent="0.25">
      <c r="A70" s="186" t="s">
        <v>266</v>
      </c>
      <c r="B70" s="186">
        <v>5401</v>
      </c>
    </row>
    <row r="71" spans="1:7" x14ac:dyDescent="0.25">
      <c r="A71" s="186" t="s">
        <v>267</v>
      </c>
      <c r="B71" s="186">
        <v>5402</v>
      </c>
    </row>
    <row r="72" spans="1:7" x14ac:dyDescent="0.25">
      <c r="A72" s="186" t="s">
        <v>117</v>
      </c>
      <c r="B72" s="186">
        <v>5403</v>
      </c>
    </row>
    <row r="73" spans="1:7" x14ac:dyDescent="0.25">
      <c r="A73" s="186" t="s">
        <v>118</v>
      </c>
      <c r="B73" s="186">
        <v>5404</v>
      </c>
    </row>
    <row r="74" spans="1:7" x14ac:dyDescent="0.25">
      <c r="A74" s="186" t="s">
        <v>119</v>
      </c>
      <c r="B74" s="186">
        <v>5405</v>
      </c>
    </row>
    <row r="75" spans="1:7" x14ac:dyDescent="0.25">
      <c r="A75" s="186" t="s">
        <v>120</v>
      </c>
      <c r="B75" s="186">
        <v>5406</v>
      </c>
    </row>
    <row r="76" spans="1:7" x14ac:dyDescent="0.25">
      <c r="A76" s="186" t="s">
        <v>121</v>
      </c>
      <c r="B76" s="186">
        <v>5407</v>
      </c>
    </row>
    <row r="77" spans="1:7" x14ac:dyDescent="0.25">
      <c r="A77" s="186" t="s">
        <v>122</v>
      </c>
      <c r="B77" s="186">
        <v>5408</v>
      </c>
    </row>
    <row r="78" spans="1:7" x14ac:dyDescent="0.25">
      <c r="A78" s="186" t="s">
        <v>123</v>
      </c>
      <c r="B78" s="186">
        <v>5409</v>
      </c>
    </row>
    <row r="79" spans="1:7" x14ac:dyDescent="0.25">
      <c r="A79" s="186" t="s">
        <v>135</v>
      </c>
      <c r="B79" s="186">
        <v>5410</v>
      </c>
    </row>
    <row r="80" spans="1:7" x14ac:dyDescent="0.25">
      <c r="A80" s="186" t="s">
        <v>136</v>
      </c>
      <c r="B80" s="186">
        <v>5411</v>
      </c>
    </row>
    <row r="81" spans="1:2" x14ac:dyDescent="0.25">
      <c r="A81" s="186" t="s">
        <v>137</v>
      </c>
      <c r="B81" s="186">
        <v>5412</v>
      </c>
    </row>
    <row r="82" spans="1:2" x14ac:dyDescent="0.25">
      <c r="A82" s="186" t="s">
        <v>138</v>
      </c>
      <c r="B82" s="186">
        <v>5413</v>
      </c>
    </row>
    <row r="83" spans="1:2" x14ac:dyDescent="0.25">
      <c r="A83" s="186" t="s">
        <v>139</v>
      </c>
      <c r="B83" s="186">
        <v>5414</v>
      </c>
    </row>
    <row r="84" spans="1:2" x14ac:dyDescent="0.25">
      <c r="A84" s="186" t="s">
        <v>77</v>
      </c>
      <c r="B84" s="186">
        <v>5415</v>
      </c>
    </row>
    <row r="85" spans="1:2" x14ac:dyDescent="0.25">
      <c r="A85" s="186" t="s">
        <v>78</v>
      </c>
      <c r="B85" s="186">
        <v>5421</v>
      </c>
    </row>
    <row r="86" spans="1:2" x14ac:dyDescent="0.25">
      <c r="A86" s="186" t="s">
        <v>79</v>
      </c>
      <c r="B86" s="186">
        <v>5422</v>
      </c>
    </row>
    <row r="87" spans="1:2" x14ac:dyDescent="0.25">
      <c r="A87" s="186" t="s">
        <v>80</v>
      </c>
      <c r="B87" s="186">
        <v>5423</v>
      </c>
    </row>
    <row r="88" spans="1:2" x14ac:dyDescent="0.25">
      <c r="A88" s="186" t="s">
        <v>81</v>
      </c>
      <c r="B88" s="186">
        <v>5424</v>
      </c>
    </row>
    <row r="89" spans="1:2" x14ac:dyDescent="0.25">
      <c r="A89" s="186" t="s">
        <v>82</v>
      </c>
      <c r="B89" s="186">
        <v>5425</v>
      </c>
    </row>
    <row r="90" spans="1:2" x14ac:dyDescent="0.25">
      <c r="A90" s="186" t="s">
        <v>76</v>
      </c>
      <c r="B90" s="186">
        <v>5426</v>
      </c>
    </row>
    <row r="91" spans="1:2" x14ac:dyDescent="0.25">
      <c r="A91" s="186" t="s">
        <v>348</v>
      </c>
      <c r="B91" s="186">
        <v>5427</v>
      </c>
    </row>
    <row r="92" spans="1:2" x14ac:dyDescent="0.25">
      <c r="A92" s="186" t="s">
        <v>349</v>
      </c>
      <c r="B92" s="186">
        <v>5428</v>
      </c>
    </row>
    <row r="93" spans="1:2" x14ac:dyDescent="0.25">
      <c r="A93" s="186" t="s">
        <v>369</v>
      </c>
      <c r="B93" s="186">
        <v>5429</v>
      </c>
    </row>
    <row r="94" spans="1:2" x14ac:dyDescent="0.25">
      <c r="A94" s="186" t="s">
        <v>370</v>
      </c>
      <c r="B94" s="186">
        <v>5430</v>
      </c>
    </row>
    <row r="95" spans="1:2" x14ac:dyDescent="0.25">
      <c r="A95" s="186" t="s">
        <v>371</v>
      </c>
      <c r="B95" s="186">
        <v>5431</v>
      </c>
    </row>
    <row r="96" spans="1:2" x14ac:dyDescent="0.25">
      <c r="A96" s="186" t="s">
        <v>372</v>
      </c>
      <c r="B96" s="186">
        <v>5432</v>
      </c>
    </row>
    <row r="97" spans="1:2" x14ac:dyDescent="0.25">
      <c r="A97" s="186" t="s">
        <v>373</v>
      </c>
      <c r="B97" s="186">
        <v>5434</v>
      </c>
    </row>
    <row r="98" spans="1:2" x14ac:dyDescent="0.25">
      <c r="A98" s="186" t="s">
        <v>350</v>
      </c>
      <c r="B98" s="186">
        <v>5435</v>
      </c>
    </row>
    <row r="99" spans="1:2" x14ac:dyDescent="0.25">
      <c r="A99" s="186" t="s">
        <v>351</v>
      </c>
      <c r="B99" s="186">
        <v>5436</v>
      </c>
    </row>
    <row r="100" spans="1:2" x14ac:dyDescent="0.25">
      <c r="A100" s="186" t="s">
        <v>352</v>
      </c>
      <c r="B100" s="186">
        <v>5437</v>
      </c>
    </row>
    <row r="101" spans="1:2" x14ac:dyDescent="0.25">
      <c r="A101" s="186" t="s">
        <v>353</v>
      </c>
      <c r="B101" s="186">
        <v>5451</v>
      </c>
    </row>
    <row r="102" spans="1:2" x14ac:dyDescent="0.25">
      <c r="A102" s="186" t="s">
        <v>354</v>
      </c>
      <c r="B102" s="186">
        <v>5456</v>
      </c>
    </row>
    <row r="103" spans="1:2" x14ac:dyDescent="0.25">
      <c r="A103" s="186" t="s">
        <v>355</v>
      </c>
      <c r="B103" s="186">
        <v>5458</v>
      </c>
    </row>
    <row r="104" spans="1:2" x14ac:dyDescent="0.25">
      <c r="A104" s="186" t="s">
        <v>440</v>
      </c>
      <c r="B104" s="186">
        <v>5464</v>
      </c>
    </row>
    <row r="105" spans="1:2" x14ac:dyDescent="0.25">
      <c r="A105" s="186" t="s">
        <v>356</v>
      </c>
      <c r="B105" s="186">
        <v>5471</v>
      </c>
    </row>
    <row r="106" spans="1:2" x14ac:dyDescent="0.25">
      <c r="A106" s="186" t="s">
        <v>357</v>
      </c>
      <c r="B106" s="186">
        <v>5472</v>
      </c>
    </row>
    <row r="107" spans="1:2" x14ac:dyDescent="0.25">
      <c r="A107" s="186" t="s">
        <v>214</v>
      </c>
      <c r="B107" s="186">
        <v>5473</v>
      </c>
    </row>
    <row r="108" spans="1:2" x14ac:dyDescent="0.25">
      <c r="A108" s="186" t="s">
        <v>215</v>
      </c>
      <c r="B108" s="186">
        <v>5474</v>
      </c>
    </row>
    <row r="109" spans="1:2" x14ac:dyDescent="0.25">
      <c r="A109" s="186" t="s">
        <v>379</v>
      </c>
      <c r="B109" s="186">
        <v>5475</v>
      </c>
    </row>
    <row r="110" spans="1:2" x14ac:dyDescent="0.25">
      <c r="A110" s="186" t="s">
        <v>380</v>
      </c>
      <c r="B110" s="186">
        <v>5476</v>
      </c>
    </row>
    <row r="111" spans="1:2" x14ac:dyDescent="0.25">
      <c r="A111" s="186" t="s">
        <v>381</v>
      </c>
      <c r="B111" s="186">
        <v>5477</v>
      </c>
    </row>
    <row r="112" spans="1:2" x14ac:dyDescent="0.25">
      <c r="A112" s="186" t="s">
        <v>246</v>
      </c>
      <c r="B112" s="186">
        <v>5478</v>
      </c>
    </row>
    <row r="113" spans="1:2" x14ac:dyDescent="0.25">
      <c r="A113" s="186" t="s">
        <v>247</v>
      </c>
      <c r="B113" s="186">
        <v>5479</v>
      </c>
    </row>
    <row r="114" spans="1:2" x14ac:dyDescent="0.25">
      <c r="A114" s="186" t="s">
        <v>248</v>
      </c>
      <c r="B114" s="186">
        <v>5480</v>
      </c>
    </row>
    <row r="115" spans="1:2" x14ac:dyDescent="0.25">
      <c r="A115" s="186" t="s">
        <v>249</v>
      </c>
      <c r="B115" s="186">
        <v>5481</v>
      </c>
    </row>
    <row r="116" spans="1:2" x14ac:dyDescent="0.25">
      <c r="A116" s="186" t="s">
        <v>250</v>
      </c>
      <c r="B116" s="186">
        <v>5482</v>
      </c>
    </row>
    <row r="117" spans="1:2" x14ac:dyDescent="0.25">
      <c r="A117" s="186" t="s">
        <v>145</v>
      </c>
      <c r="B117" s="186">
        <v>5483</v>
      </c>
    </row>
    <row r="118" spans="1:2" x14ac:dyDescent="0.25">
      <c r="A118" s="186" t="s">
        <v>146</v>
      </c>
      <c r="B118" s="186">
        <v>5484</v>
      </c>
    </row>
    <row r="119" spans="1:2" x14ac:dyDescent="0.25">
      <c r="A119" s="186" t="s">
        <v>147</v>
      </c>
      <c r="B119" s="186">
        <v>5485</v>
      </c>
    </row>
    <row r="120" spans="1:2" x14ac:dyDescent="0.25">
      <c r="A120" s="186" t="s">
        <v>5</v>
      </c>
      <c r="B120" s="186">
        <v>5486</v>
      </c>
    </row>
    <row r="121" spans="1:2" x14ac:dyDescent="0.25">
      <c r="A121" s="186" t="s">
        <v>6</v>
      </c>
      <c r="B121" s="186">
        <v>5487</v>
      </c>
    </row>
    <row r="122" spans="1:2" x14ac:dyDescent="0.25">
      <c r="A122" s="186" t="s">
        <v>7</v>
      </c>
      <c r="B122" s="186">
        <v>5488</v>
      </c>
    </row>
    <row r="123" spans="1:2" x14ac:dyDescent="0.25">
      <c r="A123" s="186" t="s">
        <v>8</v>
      </c>
      <c r="B123" s="186">
        <v>5489</v>
      </c>
    </row>
    <row r="124" spans="1:2" x14ac:dyDescent="0.25">
      <c r="A124" s="186" t="s">
        <v>9</v>
      </c>
      <c r="B124" s="186">
        <v>5490</v>
      </c>
    </row>
    <row r="125" spans="1:2" x14ac:dyDescent="0.25">
      <c r="A125" s="186" t="s">
        <v>169</v>
      </c>
      <c r="B125" s="186">
        <v>5491</v>
      </c>
    </row>
    <row r="126" spans="1:2" x14ac:dyDescent="0.25">
      <c r="A126" s="186" t="s">
        <v>170</v>
      </c>
      <c r="B126" s="186">
        <v>5492</v>
      </c>
    </row>
    <row r="127" spans="1:2" x14ac:dyDescent="0.25">
      <c r="A127" s="186" t="s">
        <v>171</v>
      </c>
      <c r="B127" s="186">
        <v>5493</v>
      </c>
    </row>
    <row r="128" spans="1:2" x14ac:dyDescent="0.25">
      <c r="A128" s="186" t="s">
        <v>172</v>
      </c>
      <c r="B128" s="186">
        <v>5494</v>
      </c>
    </row>
    <row r="129" spans="1:2" x14ac:dyDescent="0.25">
      <c r="A129" s="186" t="s">
        <v>173</v>
      </c>
      <c r="B129" s="186">
        <v>5495</v>
      </c>
    </row>
    <row r="130" spans="1:2" x14ac:dyDescent="0.25">
      <c r="A130" s="186" t="s">
        <v>174</v>
      </c>
      <c r="B130" s="186">
        <v>5496</v>
      </c>
    </row>
    <row r="131" spans="1:2" x14ac:dyDescent="0.25">
      <c r="A131" s="186" t="s">
        <v>175</v>
      </c>
      <c r="B131" s="186">
        <v>5497</v>
      </c>
    </row>
    <row r="132" spans="1:2" x14ac:dyDescent="0.25">
      <c r="A132" s="186" t="s">
        <v>176</v>
      </c>
      <c r="B132" s="186">
        <v>5498</v>
      </c>
    </row>
    <row r="133" spans="1:2" x14ac:dyDescent="0.25">
      <c r="A133" s="186" t="s">
        <v>177</v>
      </c>
      <c r="B133" s="186">
        <v>5499</v>
      </c>
    </row>
    <row r="134" spans="1:2" x14ac:dyDescent="0.25">
      <c r="A134" s="186" t="s">
        <v>178</v>
      </c>
      <c r="B134" s="186">
        <v>5500</v>
      </c>
    </row>
    <row r="135" spans="1:2" x14ac:dyDescent="0.25">
      <c r="A135" s="186" t="s">
        <v>179</v>
      </c>
      <c r="B135" s="186">
        <v>5501</v>
      </c>
    </row>
    <row r="136" spans="1:2" x14ac:dyDescent="0.25">
      <c r="A136" s="186" t="s">
        <v>180</v>
      </c>
      <c r="B136" s="186">
        <v>5503</v>
      </c>
    </row>
    <row r="137" spans="1:2" x14ac:dyDescent="0.25">
      <c r="A137" s="186" t="s">
        <v>181</v>
      </c>
      <c r="B137" s="186">
        <v>5511</v>
      </c>
    </row>
    <row r="138" spans="1:2" x14ac:dyDescent="0.25">
      <c r="A138" s="186" t="s">
        <v>182</v>
      </c>
      <c r="B138" s="186">
        <v>5512</v>
      </c>
    </row>
    <row r="139" spans="1:2" x14ac:dyDescent="0.25">
      <c r="A139" s="186" t="s">
        <v>183</v>
      </c>
      <c r="B139" s="186">
        <v>5513</v>
      </c>
    </row>
    <row r="140" spans="1:2" x14ac:dyDescent="0.25">
      <c r="A140" s="186" t="s">
        <v>184</v>
      </c>
      <c r="B140" s="186">
        <v>5514</v>
      </c>
    </row>
    <row r="141" spans="1:2" x14ac:dyDescent="0.25">
      <c r="A141" s="186" t="s">
        <v>185</v>
      </c>
      <c r="B141" s="186">
        <v>5515</v>
      </c>
    </row>
    <row r="142" spans="1:2" x14ac:dyDescent="0.25">
      <c r="A142" s="186" t="s">
        <v>186</v>
      </c>
      <c r="B142" s="186">
        <v>5516</v>
      </c>
    </row>
    <row r="143" spans="1:2" x14ac:dyDescent="0.25">
      <c r="A143" s="186" t="s">
        <v>187</v>
      </c>
      <c r="B143" s="186">
        <v>5518</v>
      </c>
    </row>
    <row r="144" spans="1:2" x14ac:dyDescent="0.25">
      <c r="A144" s="186" t="s">
        <v>188</v>
      </c>
      <c r="B144" s="186">
        <v>5520</v>
      </c>
    </row>
    <row r="145" spans="1:2" x14ac:dyDescent="0.25">
      <c r="A145" s="186" t="s">
        <v>189</v>
      </c>
      <c r="B145" s="186">
        <v>5521</v>
      </c>
    </row>
    <row r="146" spans="1:2" x14ac:dyDescent="0.25">
      <c r="A146" s="186" t="s">
        <v>190</v>
      </c>
      <c r="B146" s="186">
        <v>5522</v>
      </c>
    </row>
    <row r="147" spans="1:2" x14ac:dyDescent="0.25">
      <c r="A147" s="186" t="s">
        <v>191</v>
      </c>
      <c r="B147" s="186">
        <v>5523</v>
      </c>
    </row>
    <row r="148" spans="1:2" x14ac:dyDescent="0.25">
      <c r="A148" s="186" t="s">
        <v>192</v>
      </c>
      <c r="B148" s="186">
        <v>5527</v>
      </c>
    </row>
    <row r="149" spans="1:2" x14ac:dyDescent="0.25">
      <c r="A149" s="186" t="s">
        <v>193</v>
      </c>
      <c r="B149" s="186">
        <v>5529</v>
      </c>
    </row>
    <row r="150" spans="1:2" x14ac:dyDescent="0.25">
      <c r="A150" s="186" t="s">
        <v>194</v>
      </c>
      <c r="B150" s="186">
        <v>5530</v>
      </c>
    </row>
    <row r="151" spans="1:2" x14ac:dyDescent="0.25">
      <c r="A151" s="186" t="s">
        <v>195</v>
      </c>
      <c r="B151" s="186">
        <v>5531</v>
      </c>
    </row>
    <row r="152" spans="1:2" x14ac:dyDescent="0.25">
      <c r="A152" s="186" t="s">
        <v>196</v>
      </c>
      <c r="B152" s="186">
        <v>5533</v>
      </c>
    </row>
    <row r="153" spans="1:2" x14ac:dyDescent="0.25">
      <c r="A153" s="186" t="s">
        <v>197</v>
      </c>
      <c r="B153" s="186">
        <v>5534</v>
      </c>
    </row>
    <row r="154" spans="1:2" x14ac:dyDescent="0.25">
      <c r="A154" s="186" t="s">
        <v>34</v>
      </c>
      <c r="B154" s="186">
        <v>5535</v>
      </c>
    </row>
    <row r="155" spans="1:2" x14ac:dyDescent="0.25">
      <c r="A155" s="186" t="s">
        <v>35</v>
      </c>
      <c r="B155" s="186">
        <v>5537</v>
      </c>
    </row>
    <row r="156" spans="1:2" x14ac:dyDescent="0.25">
      <c r="A156" s="186" t="s">
        <v>36</v>
      </c>
      <c r="B156" s="186">
        <v>5539</v>
      </c>
    </row>
    <row r="157" spans="1:2" x14ac:dyDescent="0.25">
      <c r="A157" s="186" t="s">
        <v>442</v>
      </c>
      <c r="B157" s="186">
        <v>5540</v>
      </c>
    </row>
    <row r="158" spans="1:2" x14ac:dyDescent="0.25">
      <c r="A158" s="186" t="s">
        <v>441</v>
      </c>
      <c r="B158" s="186">
        <v>5541</v>
      </c>
    </row>
    <row r="159" spans="1:2" x14ac:dyDescent="0.25">
      <c r="A159" s="186" t="s">
        <v>37</v>
      </c>
      <c r="B159" s="186">
        <v>5551</v>
      </c>
    </row>
    <row r="160" spans="1:2" x14ac:dyDescent="0.25">
      <c r="A160" s="186" t="s">
        <v>38</v>
      </c>
      <c r="B160" s="186">
        <v>5552</v>
      </c>
    </row>
    <row r="161" spans="1:2" x14ac:dyDescent="0.25">
      <c r="A161" s="186" t="s">
        <v>39</v>
      </c>
      <c r="B161" s="186">
        <v>5553</v>
      </c>
    </row>
    <row r="162" spans="1:2" x14ac:dyDescent="0.25">
      <c r="A162" s="186" t="s">
        <v>40</v>
      </c>
      <c r="B162" s="186">
        <v>5554</v>
      </c>
    </row>
    <row r="163" spans="1:2" x14ac:dyDescent="0.25">
      <c r="A163" s="186" t="s">
        <v>41</v>
      </c>
      <c r="B163" s="186">
        <v>5555</v>
      </c>
    </row>
    <row r="164" spans="1:2" x14ac:dyDescent="0.25">
      <c r="A164" s="186" t="s">
        <v>42</v>
      </c>
      <c r="B164" s="186">
        <v>5556</v>
      </c>
    </row>
    <row r="165" spans="1:2" x14ac:dyDescent="0.25">
      <c r="A165" s="186" t="s">
        <v>43</v>
      </c>
      <c r="B165" s="186">
        <v>5557</v>
      </c>
    </row>
    <row r="166" spans="1:2" x14ac:dyDescent="0.25">
      <c r="A166" s="186" t="s">
        <v>44</v>
      </c>
      <c r="B166" s="186">
        <v>5559</v>
      </c>
    </row>
    <row r="167" spans="1:2" x14ac:dyDescent="0.25">
      <c r="A167" s="186" t="s">
        <v>45</v>
      </c>
      <c r="B167" s="186">
        <v>5560</v>
      </c>
    </row>
    <row r="168" spans="1:2" x14ac:dyDescent="0.25">
      <c r="A168" s="186" t="s">
        <v>46</v>
      </c>
      <c r="B168" s="186">
        <v>5561</v>
      </c>
    </row>
    <row r="169" spans="1:2" x14ac:dyDescent="0.25">
      <c r="A169" s="186" t="s">
        <v>47</v>
      </c>
      <c r="B169" s="186">
        <v>5562</v>
      </c>
    </row>
    <row r="170" spans="1:2" x14ac:dyDescent="0.25">
      <c r="A170" s="186" t="s">
        <v>290</v>
      </c>
      <c r="B170" s="186">
        <v>5563</v>
      </c>
    </row>
    <row r="171" spans="1:2" x14ac:dyDescent="0.25">
      <c r="A171" s="186" t="s">
        <v>291</v>
      </c>
      <c r="B171" s="186">
        <v>5564</v>
      </c>
    </row>
    <row r="172" spans="1:2" x14ac:dyDescent="0.25">
      <c r="A172" s="186" t="s">
        <v>292</v>
      </c>
      <c r="B172" s="186">
        <v>5565</v>
      </c>
    </row>
    <row r="173" spans="1:2" x14ac:dyDescent="0.25">
      <c r="A173" s="186" t="s">
        <v>293</v>
      </c>
      <c r="B173" s="186">
        <v>5566</v>
      </c>
    </row>
    <row r="174" spans="1:2" x14ac:dyDescent="0.25">
      <c r="A174" s="186" t="s">
        <v>124</v>
      </c>
      <c r="B174" s="186">
        <v>5568</v>
      </c>
    </row>
    <row r="175" spans="1:2" x14ac:dyDescent="0.25">
      <c r="A175" s="186" t="s">
        <v>439</v>
      </c>
      <c r="B175" s="186">
        <v>5571</v>
      </c>
    </row>
    <row r="176" spans="1:2" x14ac:dyDescent="0.25">
      <c r="A176" s="186" t="s">
        <v>395</v>
      </c>
      <c r="B176" s="186">
        <v>5581</v>
      </c>
    </row>
    <row r="177" spans="1:2" x14ac:dyDescent="0.25">
      <c r="A177" s="186" t="s">
        <v>396</v>
      </c>
      <c r="B177" s="186">
        <v>5582</v>
      </c>
    </row>
    <row r="178" spans="1:2" x14ac:dyDescent="0.25">
      <c r="A178" s="186" t="s">
        <v>397</v>
      </c>
      <c r="B178" s="186">
        <v>5583</v>
      </c>
    </row>
    <row r="179" spans="1:2" x14ac:dyDescent="0.25">
      <c r="A179" s="186" t="s">
        <v>398</v>
      </c>
      <c r="B179" s="186">
        <v>5584</v>
      </c>
    </row>
    <row r="180" spans="1:2" x14ac:dyDescent="0.25">
      <c r="A180" s="186" t="s">
        <v>399</v>
      </c>
      <c r="B180" s="186">
        <v>5585</v>
      </c>
    </row>
    <row r="181" spans="1:2" x14ac:dyDescent="0.25">
      <c r="A181" s="186" t="s">
        <v>125</v>
      </c>
      <c r="B181" s="186">
        <v>5586</v>
      </c>
    </row>
    <row r="182" spans="1:2" x14ac:dyDescent="0.25">
      <c r="A182" s="186" t="s">
        <v>126</v>
      </c>
      <c r="B182" s="186">
        <v>5587</v>
      </c>
    </row>
    <row r="183" spans="1:2" x14ac:dyDescent="0.25">
      <c r="A183" s="186" t="s">
        <v>127</v>
      </c>
      <c r="B183" s="186">
        <v>5588</v>
      </c>
    </row>
    <row r="184" spans="1:2" x14ac:dyDescent="0.25">
      <c r="A184" s="186" t="s">
        <v>128</v>
      </c>
      <c r="B184" s="186">
        <v>5589</v>
      </c>
    </row>
    <row r="185" spans="1:2" x14ac:dyDescent="0.25">
      <c r="A185" s="186" t="s">
        <v>129</v>
      </c>
      <c r="B185" s="186">
        <v>5590</v>
      </c>
    </row>
    <row r="186" spans="1:2" x14ac:dyDescent="0.25">
      <c r="A186" s="186" t="s">
        <v>402</v>
      </c>
      <c r="B186" s="186">
        <v>5591</v>
      </c>
    </row>
    <row r="187" spans="1:2" x14ac:dyDescent="0.25">
      <c r="A187" s="186" t="s">
        <v>221</v>
      </c>
      <c r="B187" s="186">
        <v>5592</v>
      </c>
    </row>
    <row r="188" spans="1:2" x14ac:dyDescent="0.25">
      <c r="A188" s="186" t="s">
        <v>304</v>
      </c>
      <c r="B188" s="186">
        <v>5601</v>
      </c>
    </row>
    <row r="189" spans="1:2" x14ac:dyDescent="0.25">
      <c r="A189" s="186" t="s">
        <v>148</v>
      </c>
      <c r="B189" s="186">
        <v>5604</v>
      </c>
    </row>
    <row r="190" spans="1:2" x14ac:dyDescent="0.25">
      <c r="A190" s="186" t="s">
        <v>149</v>
      </c>
      <c r="B190" s="186">
        <v>5606</v>
      </c>
    </row>
    <row r="191" spans="1:2" x14ac:dyDescent="0.25">
      <c r="A191" s="186" t="s">
        <v>306</v>
      </c>
      <c r="B191" s="186">
        <v>5607</v>
      </c>
    </row>
    <row r="192" spans="1:2" x14ac:dyDescent="0.25">
      <c r="A192" s="186" t="s">
        <v>133</v>
      </c>
      <c r="B192" s="186">
        <v>5609</v>
      </c>
    </row>
    <row r="193" spans="1:2" x14ac:dyDescent="0.25">
      <c r="A193" s="186" t="s">
        <v>134</v>
      </c>
      <c r="B193" s="186">
        <v>5610</v>
      </c>
    </row>
    <row r="194" spans="1:2" x14ac:dyDescent="0.25">
      <c r="A194" s="186" t="s">
        <v>303</v>
      </c>
      <c r="B194" s="186">
        <v>5611</v>
      </c>
    </row>
    <row r="195" spans="1:2" x14ac:dyDescent="0.25">
      <c r="A195" s="186" t="s">
        <v>438</v>
      </c>
      <c r="B195" s="186">
        <v>5613</v>
      </c>
    </row>
    <row r="196" spans="1:2" x14ac:dyDescent="0.25">
      <c r="A196" s="186" t="s">
        <v>411</v>
      </c>
      <c r="B196" s="186">
        <v>5621</v>
      </c>
    </row>
    <row r="197" spans="1:2" x14ac:dyDescent="0.25">
      <c r="A197" s="186" t="s">
        <v>152</v>
      </c>
      <c r="B197" s="186">
        <v>5622</v>
      </c>
    </row>
    <row r="198" spans="1:2" x14ac:dyDescent="0.25">
      <c r="A198" s="186" t="s">
        <v>153</v>
      </c>
      <c r="B198" s="186">
        <v>5623</v>
      </c>
    </row>
    <row r="199" spans="1:2" x14ac:dyDescent="0.25">
      <c r="A199" s="186" t="s">
        <v>453</v>
      </c>
      <c r="B199" s="186">
        <v>5624</v>
      </c>
    </row>
    <row r="200" spans="1:2" x14ac:dyDescent="0.25">
      <c r="A200" s="186" t="s">
        <v>307</v>
      </c>
      <c r="B200" s="186">
        <v>5625</v>
      </c>
    </row>
    <row r="201" spans="1:2" x14ac:dyDescent="0.25">
      <c r="A201" s="186" t="s">
        <v>260</v>
      </c>
      <c r="B201" s="186">
        <v>5627</v>
      </c>
    </row>
    <row r="202" spans="1:2" x14ac:dyDescent="0.25">
      <c r="A202" s="186" t="s">
        <v>261</v>
      </c>
      <c r="B202" s="186">
        <v>5628</v>
      </c>
    </row>
    <row r="203" spans="1:2" x14ac:dyDescent="0.25">
      <c r="A203" s="186" t="s">
        <v>156</v>
      </c>
      <c r="B203" s="186">
        <v>5629</v>
      </c>
    </row>
    <row r="204" spans="1:2" x14ac:dyDescent="0.25">
      <c r="A204" s="186" t="s">
        <v>157</v>
      </c>
      <c r="B204" s="186">
        <v>5631</v>
      </c>
    </row>
    <row r="205" spans="1:2" x14ac:dyDescent="0.25">
      <c r="A205" s="186" t="s">
        <v>158</v>
      </c>
      <c r="B205" s="186">
        <v>5632</v>
      </c>
    </row>
    <row r="206" spans="1:2" x14ac:dyDescent="0.25">
      <c r="A206" s="186" t="s">
        <v>159</v>
      </c>
      <c r="B206" s="186">
        <v>5633</v>
      </c>
    </row>
    <row r="207" spans="1:2" x14ac:dyDescent="0.25">
      <c r="A207" s="186" t="s">
        <v>160</v>
      </c>
      <c r="B207" s="186">
        <v>5634</v>
      </c>
    </row>
    <row r="208" spans="1:2" x14ac:dyDescent="0.25">
      <c r="A208" s="186" t="s">
        <v>161</v>
      </c>
      <c r="B208" s="186">
        <v>5635</v>
      </c>
    </row>
    <row r="209" spans="1:2" x14ac:dyDescent="0.25">
      <c r="A209" s="186" t="s">
        <v>162</v>
      </c>
      <c r="B209" s="186">
        <v>5636</v>
      </c>
    </row>
    <row r="210" spans="1:2" x14ac:dyDescent="0.25">
      <c r="A210" s="186" t="s">
        <v>163</v>
      </c>
      <c r="B210" s="186">
        <v>5637</v>
      </c>
    </row>
    <row r="211" spans="1:2" x14ac:dyDescent="0.25">
      <c r="A211" s="186" t="s">
        <v>164</v>
      </c>
      <c r="B211" s="186">
        <v>5638</v>
      </c>
    </row>
    <row r="212" spans="1:2" x14ac:dyDescent="0.25">
      <c r="A212" s="186" t="s">
        <v>165</v>
      </c>
      <c r="B212" s="186">
        <v>5639</v>
      </c>
    </row>
    <row r="213" spans="1:2" x14ac:dyDescent="0.25">
      <c r="A213" s="186" t="s">
        <v>166</v>
      </c>
      <c r="B213" s="186">
        <v>5640</v>
      </c>
    </row>
    <row r="214" spans="1:2" x14ac:dyDescent="0.25">
      <c r="A214" s="186" t="s">
        <v>167</v>
      </c>
      <c r="B214" s="186">
        <v>5642</v>
      </c>
    </row>
    <row r="215" spans="1:2" x14ac:dyDescent="0.25">
      <c r="A215" s="186" t="s">
        <v>168</v>
      </c>
      <c r="B215" s="186">
        <v>5643</v>
      </c>
    </row>
    <row r="216" spans="1:2" x14ac:dyDescent="0.25">
      <c r="A216" s="186" t="s">
        <v>318</v>
      </c>
      <c r="B216" s="186">
        <v>5644</v>
      </c>
    </row>
    <row r="217" spans="1:2" x14ac:dyDescent="0.25">
      <c r="A217" s="186" t="s">
        <v>319</v>
      </c>
      <c r="B217" s="186">
        <v>5645</v>
      </c>
    </row>
    <row r="218" spans="1:2" x14ac:dyDescent="0.25">
      <c r="A218" s="186" t="s">
        <v>320</v>
      </c>
      <c r="B218" s="186">
        <v>5646</v>
      </c>
    </row>
    <row r="219" spans="1:2" x14ac:dyDescent="0.25">
      <c r="A219" s="186" t="s">
        <v>321</v>
      </c>
      <c r="B219" s="186">
        <v>5648</v>
      </c>
    </row>
    <row r="220" spans="1:2" x14ac:dyDescent="0.25">
      <c r="A220" s="186" t="s">
        <v>322</v>
      </c>
      <c r="B220" s="186">
        <v>5649</v>
      </c>
    </row>
    <row r="221" spans="1:2" x14ac:dyDescent="0.25">
      <c r="A221" s="186" t="s">
        <v>323</v>
      </c>
      <c r="B221" s="186">
        <v>5650</v>
      </c>
    </row>
    <row r="222" spans="1:2" x14ac:dyDescent="0.25">
      <c r="A222" s="186" t="s">
        <v>324</v>
      </c>
      <c r="B222" s="186">
        <v>5651</v>
      </c>
    </row>
    <row r="223" spans="1:2" x14ac:dyDescent="0.25">
      <c r="A223" s="186" t="s">
        <v>203</v>
      </c>
      <c r="B223" s="186">
        <v>5652</v>
      </c>
    </row>
    <row r="224" spans="1:2" x14ac:dyDescent="0.25">
      <c r="A224" s="186" t="s">
        <v>204</v>
      </c>
      <c r="B224" s="186">
        <v>5653</v>
      </c>
    </row>
    <row r="225" spans="1:2" x14ac:dyDescent="0.25">
      <c r="A225" s="186" t="s">
        <v>205</v>
      </c>
      <c r="B225" s="186">
        <v>5654</v>
      </c>
    </row>
    <row r="226" spans="1:2" x14ac:dyDescent="0.25">
      <c r="A226" s="186" t="s">
        <v>206</v>
      </c>
      <c r="B226" s="186">
        <v>5655</v>
      </c>
    </row>
    <row r="227" spans="1:2" x14ac:dyDescent="0.25">
      <c r="A227" s="186" t="s">
        <v>207</v>
      </c>
      <c r="B227" s="186">
        <v>5661</v>
      </c>
    </row>
    <row r="228" spans="1:2" x14ac:dyDescent="0.25">
      <c r="A228" s="186" t="s">
        <v>208</v>
      </c>
      <c r="B228" s="186">
        <v>5663</v>
      </c>
    </row>
    <row r="229" spans="1:2" x14ac:dyDescent="0.25">
      <c r="A229" s="186" t="s">
        <v>102</v>
      </c>
      <c r="B229" s="186">
        <v>5665</v>
      </c>
    </row>
    <row r="230" spans="1:2" x14ac:dyDescent="0.25">
      <c r="A230" s="186" t="s">
        <v>103</v>
      </c>
      <c r="B230" s="186">
        <v>5669</v>
      </c>
    </row>
    <row r="231" spans="1:2" x14ac:dyDescent="0.25">
      <c r="A231" s="186" t="s">
        <v>104</v>
      </c>
      <c r="B231" s="186">
        <v>5671</v>
      </c>
    </row>
    <row r="232" spans="1:2" x14ac:dyDescent="0.25">
      <c r="A232" s="186" t="s">
        <v>105</v>
      </c>
      <c r="B232" s="186">
        <v>5673</v>
      </c>
    </row>
    <row r="233" spans="1:2" x14ac:dyDescent="0.25">
      <c r="A233" s="186" t="s">
        <v>106</v>
      </c>
      <c r="B233" s="186">
        <v>5674</v>
      </c>
    </row>
    <row r="234" spans="1:2" x14ac:dyDescent="0.25">
      <c r="A234" s="186" t="s">
        <v>107</v>
      </c>
      <c r="B234" s="186">
        <v>5675</v>
      </c>
    </row>
    <row r="235" spans="1:2" x14ac:dyDescent="0.25">
      <c r="A235" s="186" t="s">
        <v>108</v>
      </c>
      <c r="B235" s="186">
        <v>5678</v>
      </c>
    </row>
    <row r="236" spans="1:2" x14ac:dyDescent="0.25">
      <c r="A236" s="186" t="s">
        <v>109</v>
      </c>
      <c r="B236" s="186">
        <v>5680</v>
      </c>
    </row>
    <row r="237" spans="1:2" x14ac:dyDescent="0.25">
      <c r="A237" s="186" t="s">
        <v>110</v>
      </c>
      <c r="B237" s="186">
        <v>5683</v>
      </c>
    </row>
    <row r="238" spans="1:2" x14ac:dyDescent="0.25">
      <c r="A238" s="186" t="s">
        <v>111</v>
      </c>
      <c r="B238" s="186">
        <v>5684</v>
      </c>
    </row>
    <row r="239" spans="1:2" x14ac:dyDescent="0.25">
      <c r="A239" s="186" t="s">
        <v>112</v>
      </c>
      <c r="B239" s="186">
        <v>5688</v>
      </c>
    </row>
    <row r="240" spans="1:2" x14ac:dyDescent="0.25">
      <c r="A240" s="186" t="s">
        <v>113</v>
      </c>
      <c r="B240" s="186">
        <v>5690</v>
      </c>
    </row>
    <row r="241" spans="1:2" x14ac:dyDescent="0.25">
      <c r="A241" s="186" t="s">
        <v>114</v>
      </c>
      <c r="B241" s="186">
        <v>5692</v>
      </c>
    </row>
    <row r="242" spans="1:2" x14ac:dyDescent="0.25">
      <c r="A242" s="186" t="s">
        <v>455</v>
      </c>
      <c r="B242" s="186">
        <v>5693</v>
      </c>
    </row>
    <row r="243" spans="1:2" x14ac:dyDescent="0.25">
      <c r="A243" s="186" t="s">
        <v>115</v>
      </c>
      <c r="B243" s="186">
        <v>5701</v>
      </c>
    </row>
    <row r="244" spans="1:2" x14ac:dyDescent="0.25">
      <c r="A244" s="186" t="s">
        <v>454</v>
      </c>
      <c r="B244" s="186">
        <v>5702</v>
      </c>
    </row>
    <row r="245" spans="1:2" x14ac:dyDescent="0.25">
      <c r="A245" s="186" t="s">
        <v>116</v>
      </c>
      <c r="B245" s="186">
        <v>5703</v>
      </c>
    </row>
    <row r="246" spans="1:2" x14ac:dyDescent="0.25">
      <c r="A246" s="186" t="s">
        <v>226</v>
      </c>
      <c r="B246" s="186">
        <v>5704</v>
      </c>
    </row>
    <row r="247" spans="1:2" x14ac:dyDescent="0.25">
      <c r="A247" s="186" t="s">
        <v>227</v>
      </c>
      <c r="B247" s="186">
        <v>5705</v>
      </c>
    </row>
    <row r="248" spans="1:2" x14ac:dyDescent="0.25">
      <c r="A248" s="186" t="s">
        <v>228</v>
      </c>
      <c r="B248" s="186">
        <v>5706</v>
      </c>
    </row>
    <row r="249" spans="1:2" x14ac:dyDescent="0.25">
      <c r="A249" s="186" t="s">
        <v>229</v>
      </c>
      <c r="B249" s="186">
        <v>5707</v>
      </c>
    </row>
    <row r="250" spans="1:2" x14ac:dyDescent="0.25">
      <c r="A250" s="186" t="s">
        <v>230</v>
      </c>
      <c r="B250" s="186">
        <v>5708</v>
      </c>
    </row>
    <row r="251" spans="1:2" x14ac:dyDescent="0.25">
      <c r="A251" s="186" t="s">
        <v>231</v>
      </c>
      <c r="B251" s="186">
        <v>5709</v>
      </c>
    </row>
    <row r="252" spans="1:2" x14ac:dyDescent="0.25">
      <c r="A252" s="186" t="s">
        <v>232</v>
      </c>
      <c r="B252" s="186">
        <v>5710</v>
      </c>
    </row>
    <row r="253" spans="1:2" x14ac:dyDescent="0.25">
      <c r="A253" s="186" t="s">
        <v>233</v>
      </c>
      <c r="B253" s="186">
        <v>5711</v>
      </c>
    </row>
    <row r="254" spans="1:2" x14ac:dyDescent="0.25">
      <c r="A254" s="186" t="s">
        <v>234</v>
      </c>
      <c r="B254" s="186">
        <v>5712</v>
      </c>
    </row>
    <row r="255" spans="1:2" x14ac:dyDescent="0.25">
      <c r="A255" s="186" t="s">
        <v>235</v>
      </c>
      <c r="B255" s="186">
        <v>5713</v>
      </c>
    </row>
    <row r="256" spans="1:2" x14ac:dyDescent="0.25">
      <c r="A256" s="186" t="s">
        <v>236</v>
      </c>
      <c r="B256" s="186">
        <v>5714</v>
      </c>
    </row>
    <row r="257" spans="1:2" x14ac:dyDescent="0.25">
      <c r="A257" s="186" t="s">
        <v>237</v>
      </c>
      <c r="B257" s="186">
        <v>5715</v>
      </c>
    </row>
    <row r="258" spans="1:2" x14ac:dyDescent="0.25">
      <c r="A258" s="186" t="s">
        <v>238</v>
      </c>
      <c r="B258" s="186">
        <v>5716</v>
      </c>
    </row>
    <row r="259" spans="1:2" x14ac:dyDescent="0.25">
      <c r="A259" s="186" t="s">
        <v>239</v>
      </c>
      <c r="B259" s="186">
        <v>5717</v>
      </c>
    </row>
    <row r="260" spans="1:2" x14ac:dyDescent="0.25">
      <c r="A260" s="186" t="s">
        <v>240</v>
      </c>
      <c r="B260" s="186">
        <v>5718</v>
      </c>
    </row>
    <row r="261" spans="1:2" x14ac:dyDescent="0.25">
      <c r="A261" s="186" t="s">
        <v>241</v>
      </c>
      <c r="B261" s="186">
        <v>5719</v>
      </c>
    </row>
    <row r="262" spans="1:2" x14ac:dyDescent="0.25">
      <c r="A262" s="186" t="s">
        <v>242</v>
      </c>
      <c r="B262" s="186">
        <v>5720</v>
      </c>
    </row>
    <row r="263" spans="1:2" x14ac:dyDescent="0.25">
      <c r="A263" s="186" t="s">
        <v>243</v>
      </c>
      <c r="B263" s="186">
        <v>5721</v>
      </c>
    </row>
    <row r="264" spans="1:2" x14ac:dyDescent="0.25">
      <c r="A264" s="186" t="s">
        <v>244</v>
      </c>
      <c r="B264" s="186">
        <v>5722</v>
      </c>
    </row>
    <row r="265" spans="1:2" x14ac:dyDescent="0.25">
      <c r="A265" s="186" t="s">
        <v>245</v>
      </c>
      <c r="B265" s="186">
        <v>5723</v>
      </c>
    </row>
    <row r="266" spans="1:2" x14ac:dyDescent="0.25">
      <c r="A266" s="186" t="s">
        <v>74</v>
      </c>
      <c r="B266" s="186">
        <v>5724</v>
      </c>
    </row>
    <row r="267" spans="1:2" x14ac:dyDescent="0.25">
      <c r="A267" s="186" t="s">
        <v>75</v>
      </c>
      <c r="B267" s="186">
        <v>5725</v>
      </c>
    </row>
    <row r="268" spans="1:2" x14ac:dyDescent="0.25">
      <c r="A268" s="186" t="s">
        <v>325</v>
      </c>
      <c r="B268" s="186">
        <v>5726</v>
      </c>
    </row>
    <row r="269" spans="1:2" x14ac:dyDescent="0.25">
      <c r="A269" s="186" t="s">
        <v>326</v>
      </c>
      <c r="B269" s="186">
        <v>5727</v>
      </c>
    </row>
    <row r="270" spans="1:2" x14ac:dyDescent="0.25">
      <c r="A270" s="186" t="s">
        <v>327</v>
      </c>
      <c r="B270" s="186">
        <v>5728</v>
      </c>
    </row>
    <row r="271" spans="1:2" x14ac:dyDescent="0.25">
      <c r="A271" s="186" t="s">
        <v>328</v>
      </c>
      <c r="B271" s="186">
        <v>5729</v>
      </c>
    </row>
    <row r="272" spans="1:2" x14ac:dyDescent="0.25">
      <c r="A272" s="186" t="s">
        <v>329</v>
      </c>
      <c r="B272" s="186">
        <v>5730</v>
      </c>
    </row>
    <row r="273" spans="1:2" x14ac:dyDescent="0.25">
      <c r="A273" s="186" t="s">
        <v>330</v>
      </c>
      <c r="B273" s="186">
        <v>5731</v>
      </c>
    </row>
    <row r="274" spans="1:2" x14ac:dyDescent="0.25">
      <c r="A274" s="186" t="s">
        <v>331</v>
      </c>
      <c r="B274" s="186">
        <v>5732</v>
      </c>
    </row>
    <row r="275" spans="1:2" x14ac:dyDescent="0.25">
      <c r="A275" s="186" t="s">
        <v>332</v>
      </c>
      <c r="B275" s="186">
        <v>5741</v>
      </c>
    </row>
    <row r="276" spans="1:2" x14ac:dyDescent="0.25">
      <c r="A276" s="186" t="s">
        <v>333</v>
      </c>
      <c r="B276" s="186">
        <v>5742</v>
      </c>
    </row>
    <row r="277" spans="1:2" x14ac:dyDescent="0.25">
      <c r="A277" s="186" t="s">
        <v>270</v>
      </c>
      <c r="B277" s="186">
        <v>5743</v>
      </c>
    </row>
    <row r="278" spans="1:2" x14ac:dyDescent="0.25">
      <c r="A278" s="186" t="s">
        <v>271</v>
      </c>
      <c r="B278" s="186">
        <v>5744</v>
      </c>
    </row>
    <row r="279" spans="1:2" x14ac:dyDescent="0.25">
      <c r="A279" s="186" t="s">
        <v>272</v>
      </c>
      <c r="B279" s="186">
        <v>5745</v>
      </c>
    </row>
    <row r="280" spans="1:2" x14ac:dyDescent="0.25">
      <c r="A280" s="186" t="s">
        <v>273</v>
      </c>
      <c r="B280" s="186">
        <v>5746</v>
      </c>
    </row>
    <row r="281" spans="1:2" x14ac:dyDescent="0.25">
      <c r="A281" s="186" t="s">
        <v>274</v>
      </c>
      <c r="B281" s="186">
        <v>5747</v>
      </c>
    </row>
    <row r="282" spans="1:2" x14ac:dyDescent="0.25">
      <c r="A282" s="186" t="s">
        <v>275</v>
      </c>
      <c r="B282" s="186">
        <v>5748</v>
      </c>
    </row>
    <row r="283" spans="1:2" x14ac:dyDescent="0.25">
      <c r="A283" s="186" t="s">
        <v>276</v>
      </c>
      <c r="B283" s="186">
        <v>5749</v>
      </c>
    </row>
    <row r="284" spans="1:2" x14ac:dyDescent="0.25">
      <c r="A284" s="186" t="s">
        <v>277</v>
      </c>
      <c r="B284" s="186">
        <v>5750</v>
      </c>
    </row>
    <row r="285" spans="1:2" x14ac:dyDescent="0.25">
      <c r="A285" s="186" t="s">
        <v>338</v>
      </c>
      <c r="B285" s="186">
        <v>5752</v>
      </c>
    </row>
    <row r="286" spans="1:2" x14ac:dyDescent="0.25">
      <c r="A286" s="186" t="s">
        <v>339</v>
      </c>
      <c r="B286" s="186">
        <v>5754</v>
      </c>
    </row>
    <row r="287" spans="1:2" x14ac:dyDescent="0.25">
      <c r="A287" s="186" t="s">
        <v>340</v>
      </c>
      <c r="B287" s="186">
        <v>5755</v>
      </c>
    </row>
    <row r="288" spans="1:2" x14ac:dyDescent="0.25">
      <c r="A288" s="186" t="s">
        <v>341</v>
      </c>
      <c r="B288" s="186">
        <v>5756</v>
      </c>
    </row>
    <row r="289" spans="1:2" x14ac:dyDescent="0.25">
      <c r="A289" s="186" t="s">
        <v>342</v>
      </c>
      <c r="B289" s="186">
        <v>5757</v>
      </c>
    </row>
    <row r="290" spans="1:2" x14ac:dyDescent="0.25">
      <c r="A290" s="186" t="s">
        <v>222</v>
      </c>
      <c r="B290" s="186">
        <v>5758</v>
      </c>
    </row>
    <row r="291" spans="1:2" x14ac:dyDescent="0.25">
      <c r="A291" s="186" t="s">
        <v>223</v>
      </c>
      <c r="B291" s="186">
        <v>5759</v>
      </c>
    </row>
    <row r="292" spans="1:2" x14ac:dyDescent="0.25">
      <c r="A292" s="186" t="s">
        <v>224</v>
      </c>
      <c r="B292" s="186">
        <v>5760</v>
      </c>
    </row>
    <row r="293" spans="1:2" x14ac:dyDescent="0.25">
      <c r="A293" s="186" t="s">
        <v>140</v>
      </c>
      <c r="B293" s="186">
        <v>5761</v>
      </c>
    </row>
    <row r="294" spans="1:2" x14ac:dyDescent="0.25">
      <c r="A294" s="186" t="s">
        <v>141</v>
      </c>
      <c r="B294" s="186">
        <v>5762</v>
      </c>
    </row>
    <row r="295" spans="1:2" x14ac:dyDescent="0.25">
      <c r="A295" s="186" t="s">
        <v>142</v>
      </c>
      <c r="B295" s="186">
        <v>5763</v>
      </c>
    </row>
    <row r="296" spans="1:2" x14ac:dyDescent="0.25">
      <c r="A296" s="186" t="s">
        <v>343</v>
      </c>
      <c r="B296" s="186">
        <v>5764</v>
      </c>
    </row>
    <row r="297" spans="1:2" x14ac:dyDescent="0.25">
      <c r="A297" s="186" t="s">
        <v>344</v>
      </c>
      <c r="B297" s="186">
        <v>5765</v>
      </c>
    </row>
    <row r="298" spans="1:2" x14ac:dyDescent="0.25">
      <c r="A298" s="186" t="s">
        <v>345</v>
      </c>
      <c r="B298" s="186">
        <v>5766</v>
      </c>
    </row>
    <row r="299" spans="1:2" x14ac:dyDescent="0.25">
      <c r="A299" s="186" t="s">
        <v>284</v>
      </c>
      <c r="B299" s="186">
        <v>5785</v>
      </c>
    </row>
    <row r="300" spans="1:2" x14ac:dyDescent="0.25">
      <c r="A300" s="186" t="s">
        <v>285</v>
      </c>
      <c r="B300" s="186">
        <v>5788</v>
      </c>
    </row>
    <row r="301" spans="1:2" x14ac:dyDescent="0.25">
      <c r="A301" s="186" t="s">
        <v>286</v>
      </c>
      <c r="B301" s="186">
        <v>5790</v>
      </c>
    </row>
    <row r="302" spans="1:2" x14ac:dyDescent="0.25">
      <c r="A302" s="186" t="s">
        <v>287</v>
      </c>
      <c r="B302" s="186">
        <v>5792</v>
      </c>
    </row>
    <row r="303" spans="1:2" x14ac:dyDescent="0.25">
      <c r="A303" s="186" t="s">
        <v>288</v>
      </c>
      <c r="B303" s="186">
        <v>5798</v>
      </c>
    </row>
    <row r="304" spans="1:2" x14ac:dyDescent="0.25">
      <c r="A304" s="186" t="s">
        <v>289</v>
      </c>
      <c r="B304" s="186">
        <v>5799</v>
      </c>
    </row>
    <row r="305" spans="1:2" x14ac:dyDescent="0.25">
      <c r="A305" s="186" t="s">
        <v>392</v>
      </c>
      <c r="B305" s="186">
        <v>5803</v>
      </c>
    </row>
    <row r="306" spans="1:2" x14ac:dyDescent="0.25">
      <c r="A306" s="186" t="s">
        <v>443</v>
      </c>
      <c r="B306" s="186">
        <v>5804</v>
      </c>
    </row>
    <row r="307" spans="1:2" x14ac:dyDescent="0.25">
      <c r="A307" s="186" t="s">
        <v>445</v>
      </c>
      <c r="B307" s="186">
        <v>5805</v>
      </c>
    </row>
    <row r="308" spans="1:2" x14ac:dyDescent="0.25">
      <c r="A308" s="186" t="s">
        <v>554</v>
      </c>
      <c r="B308" s="186">
        <v>5806</v>
      </c>
    </row>
    <row r="309" spans="1:2" x14ac:dyDescent="0.25">
      <c r="A309" s="186" t="s">
        <v>393</v>
      </c>
      <c r="B309" s="186">
        <v>5812</v>
      </c>
    </row>
    <row r="310" spans="1:2" x14ac:dyDescent="0.25">
      <c r="A310" s="186" t="s">
        <v>394</v>
      </c>
      <c r="B310" s="186">
        <v>5813</v>
      </c>
    </row>
    <row r="311" spans="1:2" x14ac:dyDescent="0.25">
      <c r="A311" s="186" t="s">
        <v>10</v>
      </c>
      <c r="B311" s="186">
        <v>5816</v>
      </c>
    </row>
    <row r="312" spans="1:2" x14ac:dyDescent="0.25">
      <c r="A312" s="186" t="s">
        <v>11</v>
      </c>
      <c r="B312" s="186">
        <v>5817</v>
      </c>
    </row>
    <row r="313" spans="1:2" x14ac:dyDescent="0.25">
      <c r="A313" s="186" t="s">
        <v>12</v>
      </c>
      <c r="B313" s="186">
        <v>5819</v>
      </c>
    </row>
    <row r="314" spans="1:2" x14ac:dyDescent="0.25">
      <c r="A314" s="186" t="s">
        <v>13</v>
      </c>
      <c r="B314" s="186">
        <v>5821</v>
      </c>
    </row>
    <row r="315" spans="1:2" x14ac:dyDescent="0.25">
      <c r="A315" s="186" t="s">
        <v>14</v>
      </c>
      <c r="B315" s="186">
        <v>5822</v>
      </c>
    </row>
    <row r="316" spans="1:2" x14ac:dyDescent="0.25">
      <c r="A316" s="186" t="s">
        <v>15</v>
      </c>
      <c r="B316" s="186">
        <v>5827</v>
      </c>
    </row>
    <row r="317" spans="1:2" x14ac:dyDescent="0.25">
      <c r="A317" s="186" t="s">
        <v>538</v>
      </c>
      <c r="B317" s="186">
        <v>5828</v>
      </c>
    </row>
    <row r="318" spans="1:2" x14ac:dyDescent="0.25">
      <c r="A318" s="186" t="s">
        <v>16</v>
      </c>
      <c r="B318" s="186">
        <v>5830</v>
      </c>
    </row>
    <row r="319" spans="1:2" x14ac:dyDescent="0.25">
      <c r="A319" s="186" t="s">
        <v>444</v>
      </c>
      <c r="B319" s="186">
        <v>5831</v>
      </c>
    </row>
    <row r="320" spans="1:2" x14ac:dyDescent="0.25">
      <c r="A320" s="186" t="s">
        <v>17</v>
      </c>
      <c r="B320" s="186">
        <v>5841</v>
      </c>
    </row>
    <row r="321" spans="1:2" x14ac:dyDescent="0.25">
      <c r="A321" s="186" t="s">
        <v>18</v>
      </c>
      <c r="B321" s="186">
        <v>5842</v>
      </c>
    </row>
    <row r="322" spans="1:2" x14ac:dyDescent="0.25">
      <c r="A322" s="186" t="s">
        <v>19</v>
      </c>
      <c r="B322" s="186">
        <v>5843</v>
      </c>
    </row>
    <row r="323" spans="1:2" x14ac:dyDescent="0.25">
      <c r="A323" s="186" t="s">
        <v>20</v>
      </c>
      <c r="B323" s="186">
        <v>5851</v>
      </c>
    </row>
    <row r="324" spans="1:2" x14ac:dyDescent="0.25">
      <c r="A324" s="186" t="s">
        <v>21</v>
      </c>
      <c r="B324" s="186">
        <v>5852</v>
      </c>
    </row>
    <row r="325" spans="1:2" x14ac:dyDescent="0.25">
      <c r="A325" s="186" t="s">
        <v>22</v>
      </c>
      <c r="B325" s="186">
        <v>5853</v>
      </c>
    </row>
    <row r="326" spans="1:2" x14ac:dyDescent="0.25">
      <c r="A326" s="186" t="s">
        <v>23</v>
      </c>
      <c r="B326" s="186">
        <v>5854</v>
      </c>
    </row>
    <row r="327" spans="1:2" x14ac:dyDescent="0.25">
      <c r="A327" s="186" t="s">
        <v>24</v>
      </c>
      <c r="B327" s="186">
        <v>5855</v>
      </c>
    </row>
    <row r="328" spans="1:2" x14ac:dyDescent="0.25">
      <c r="A328" s="186" t="s">
        <v>25</v>
      </c>
      <c r="B328" s="186">
        <v>5856</v>
      </c>
    </row>
    <row r="329" spans="1:2" x14ac:dyDescent="0.25">
      <c r="A329" s="186" t="s">
        <v>26</v>
      </c>
      <c r="B329" s="186">
        <v>5857</v>
      </c>
    </row>
    <row r="330" spans="1:2" x14ac:dyDescent="0.25">
      <c r="A330" s="186" t="s">
        <v>27</v>
      </c>
      <c r="B330" s="186">
        <v>5858</v>
      </c>
    </row>
    <row r="331" spans="1:2" x14ac:dyDescent="0.25">
      <c r="A331" s="186" t="s">
        <v>28</v>
      </c>
      <c r="B331" s="186">
        <v>5859</v>
      </c>
    </row>
    <row r="332" spans="1:2" x14ac:dyDescent="0.25">
      <c r="A332" s="186" t="s">
        <v>29</v>
      </c>
      <c r="B332" s="186">
        <v>5860</v>
      </c>
    </row>
    <row r="333" spans="1:2" x14ac:dyDescent="0.25">
      <c r="A333" s="186" t="s">
        <v>30</v>
      </c>
      <c r="B333" s="186">
        <v>5861</v>
      </c>
    </row>
    <row r="334" spans="1:2" x14ac:dyDescent="0.25">
      <c r="A334" s="186" t="s">
        <v>31</v>
      </c>
      <c r="B334" s="186">
        <v>5862</v>
      </c>
    </row>
    <row r="335" spans="1:2" x14ac:dyDescent="0.25">
      <c r="A335" s="186" t="s">
        <v>32</v>
      </c>
      <c r="B335" s="186">
        <v>5863</v>
      </c>
    </row>
    <row r="336" spans="1:2" x14ac:dyDescent="0.25">
      <c r="A336" s="186" t="s">
        <v>33</v>
      </c>
      <c r="B336" s="186">
        <v>5871</v>
      </c>
    </row>
    <row r="337" spans="1:2" x14ac:dyDescent="0.25">
      <c r="A337" s="186" t="s">
        <v>209</v>
      </c>
      <c r="B337" s="186">
        <v>5872</v>
      </c>
    </row>
    <row r="338" spans="1:2" x14ac:dyDescent="0.25">
      <c r="A338" s="186" t="s">
        <v>210</v>
      </c>
      <c r="B338" s="186">
        <v>5873</v>
      </c>
    </row>
    <row r="339" spans="1:2" x14ac:dyDescent="0.25">
      <c r="A339" s="186" t="s">
        <v>211</v>
      </c>
      <c r="B339" s="186">
        <v>5881</v>
      </c>
    </row>
    <row r="340" spans="1:2" x14ac:dyDescent="0.25">
      <c r="A340" s="186" t="s">
        <v>212</v>
      </c>
      <c r="B340" s="186">
        <v>5882</v>
      </c>
    </row>
    <row r="341" spans="1:2" x14ac:dyDescent="0.25">
      <c r="A341" s="186" t="s">
        <v>213</v>
      </c>
      <c r="B341" s="186">
        <v>5883</v>
      </c>
    </row>
    <row r="342" spans="1:2" x14ac:dyDescent="0.25">
      <c r="A342" s="186" t="s">
        <v>53</v>
      </c>
      <c r="B342" s="186">
        <v>5884</v>
      </c>
    </row>
    <row r="343" spans="1:2" x14ac:dyDescent="0.25">
      <c r="A343" s="186" t="s">
        <v>54</v>
      </c>
      <c r="B343" s="186">
        <v>5885</v>
      </c>
    </row>
    <row r="344" spans="1:2" x14ac:dyDescent="0.25">
      <c r="A344" s="186" t="s">
        <v>55</v>
      </c>
      <c r="B344" s="186">
        <v>5886</v>
      </c>
    </row>
    <row r="345" spans="1:2" x14ac:dyDescent="0.25">
      <c r="A345" s="186" t="s">
        <v>539</v>
      </c>
      <c r="B345" s="186">
        <v>5888</v>
      </c>
    </row>
    <row r="346" spans="1:2" x14ac:dyDescent="0.25">
      <c r="A346" s="186" t="s">
        <v>56</v>
      </c>
      <c r="B346" s="186">
        <v>5889</v>
      </c>
    </row>
    <row r="347" spans="1:2" x14ac:dyDescent="0.25">
      <c r="A347" s="186" t="s">
        <v>57</v>
      </c>
      <c r="B347" s="186">
        <v>5890</v>
      </c>
    </row>
    <row r="348" spans="1:2" x14ac:dyDescent="0.25">
      <c r="A348" s="186" t="s">
        <v>58</v>
      </c>
      <c r="B348" s="186">
        <v>5891</v>
      </c>
    </row>
    <row r="349" spans="1:2" x14ac:dyDescent="0.25">
      <c r="A349" s="186" t="s">
        <v>59</v>
      </c>
      <c r="B349" s="186">
        <v>5902</v>
      </c>
    </row>
    <row r="350" spans="1:2" x14ac:dyDescent="0.25">
      <c r="A350" s="186" t="s">
        <v>60</v>
      </c>
      <c r="B350" s="186">
        <v>5903</v>
      </c>
    </row>
    <row r="351" spans="1:2" x14ac:dyDescent="0.25">
      <c r="A351" s="186" t="s">
        <v>61</v>
      </c>
      <c r="B351" s="186">
        <v>5904</v>
      </c>
    </row>
    <row r="352" spans="1:2" x14ac:dyDescent="0.25">
      <c r="A352" s="186" t="s">
        <v>62</v>
      </c>
      <c r="B352" s="186">
        <v>5905</v>
      </c>
    </row>
    <row r="353" spans="1:2" x14ac:dyDescent="0.25">
      <c r="A353" s="186" t="s">
        <v>63</v>
      </c>
      <c r="B353" s="186">
        <v>5907</v>
      </c>
    </row>
    <row r="354" spans="1:2" x14ac:dyDescent="0.25">
      <c r="A354" s="186" t="s">
        <v>64</v>
      </c>
      <c r="B354" s="186">
        <v>5908</v>
      </c>
    </row>
    <row r="355" spans="1:2" x14ac:dyDescent="0.25">
      <c r="A355" s="186" t="s">
        <v>65</v>
      </c>
      <c r="B355" s="186">
        <v>5909</v>
      </c>
    </row>
    <row r="356" spans="1:2" x14ac:dyDescent="0.25">
      <c r="A356" s="186" t="s">
        <v>66</v>
      </c>
      <c r="B356" s="186">
        <v>5910</v>
      </c>
    </row>
    <row r="357" spans="1:2" x14ac:dyDescent="0.25">
      <c r="A357" s="186" t="s">
        <v>67</v>
      </c>
      <c r="B357" s="186">
        <v>5911</v>
      </c>
    </row>
    <row r="358" spans="1:2" x14ac:dyDescent="0.25">
      <c r="A358" s="186" t="s">
        <v>68</v>
      </c>
      <c r="B358" s="186">
        <v>5912</v>
      </c>
    </row>
    <row r="359" spans="1:2" x14ac:dyDescent="0.25">
      <c r="A359" s="186" t="s">
        <v>69</v>
      </c>
      <c r="B359" s="186">
        <v>5913</v>
      </c>
    </row>
    <row r="360" spans="1:2" x14ac:dyDescent="0.25">
      <c r="A360" s="186" t="s">
        <v>70</v>
      </c>
      <c r="B360" s="186">
        <v>5914</v>
      </c>
    </row>
    <row r="361" spans="1:2" x14ac:dyDescent="0.25">
      <c r="A361" s="186" t="s">
        <v>400</v>
      </c>
      <c r="B361" s="186">
        <v>5919</v>
      </c>
    </row>
    <row r="362" spans="1:2" x14ac:dyDescent="0.25">
      <c r="A362" s="186" t="s">
        <v>401</v>
      </c>
      <c r="B362" s="186">
        <v>5921</v>
      </c>
    </row>
    <row r="363" spans="1:2" x14ac:dyDescent="0.25">
      <c r="A363" s="186" t="s">
        <v>278</v>
      </c>
      <c r="B363" s="186">
        <v>5922</v>
      </c>
    </row>
    <row r="364" spans="1:2" x14ac:dyDescent="0.25">
      <c r="A364" s="186" t="s">
        <v>279</v>
      </c>
      <c r="B364" s="186">
        <v>5923</v>
      </c>
    </row>
    <row r="365" spans="1:2" x14ac:dyDescent="0.25">
      <c r="A365" s="186" t="s">
        <v>280</v>
      </c>
      <c r="B365" s="186">
        <v>5924</v>
      </c>
    </row>
    <row r="366" spans="1:2" x14ac:dyDescent="0.25">
      <c r="A366" s="186" t="s">
        <v>405</v>
      </c>
      <c r="B366" s="186">
        <v>5925</v>
      </c>
    </row>
    <row r="367" spans="1:2" x14ac:dyDescent="0.25">
      <c r="A367" s="186" t="s">
        <v>406</v>
      </c>
      <c r="B367" s="186">
        <v>5926</v>
      </c>
    </row>
    <row r="368" spans="1:2" x14ac:dyDescent="0.25">
      <c r="A368" s="186" t="s">
        <v>407</v>
      </c>
      <c r="B368" s="186">
        <v>5928</v>
      </c>
    </row>
    <row r="369" spans="1:2" x14ac:dyDescent="0.25">
      <c r="A369" s="186" t="s">
        <v>408</v>
      </c>
      <c r="B369" s="186">
        <v>5929</v>
      </c>
    </row>
    <row r="370" spans="1:2" x14ac:dyDescent="0.25">
      <c r="A370" s="186" t="s">
        <v>409</v>
      </c>
      <c r="B370" s="186">
        <v>5930</v>
      </c>
    </row>
    <row r="371" spans="1:2" x14ac:dyDescent="0.25">
      <c r="A371" s="186" t="s">
        <v>410</v>
      </c>
      <c r="B371" s="186">
        <v>5931</v>
      </c>
    </row>
    <row r="372" spans="1:2" x14ac:dyDescent="0.25">
      <c r="A372" s="186" t="s">
        <v>281</v>
      </c>
      <c r="B372" s="186">
        <v>5932</v>
      </c>
    </row>
    <row r="373" spans="1:2" x14ac:dyDescent="0.25">
      <c r="A373" s="186" t="s">
        <v>403</v>
      </c>
      <c r="B373" s="186">
        <v>5933</v>
      </c>
    </row>
    <row r="374" spans="1:2" x14ac:dyDescent="0.25">
      <c r="A374" s="186" t="s">
        <v>404</v>
      </c>
      <c r="B374" s="186">
        <v>5934</v>
      </c>
    </row>
    <row r="375" spans="1:2" x14ac:dyDescent="0.25">
      <c r="A375" s="186" t="s">
        <v>305</v>
      </c>
      <c r="B375" s="186">
        <v>5935</v>
      </c>
    </row>
    <row r="376" spans="1:2" x14ac:dyDescent="0.25">
      <c r="A376" s="186" t="s">
        <v>282</v>
      </c>
      <c r="B376" s="186">
        <v>5937</v>
      </c>
    </row>
    <row r="377" spans="1:2" x14ac:dyDescent="0.25">
      <c r="A377" s="186" t="s">
        <v>155</v>
      </c>
      <c r="B377" s="186">
        <v>5938</v>
      </c>
    </row>
    <row r="378" spans="1:2" x14ac:dyDescent="0.25">
      <c r="A378" s="186" t="s">
        <v>154</v>
      </c>
      <c r="B378" s="186">
        <v>5939</v>
      </c>
    </row>
    <row r="379" spans="1:2" x14ac:dyDescent="0.25">
      <c r="B379" s="188"/>
    </row>
    <row r="380" spans="1:2" x14ac:dyDescent="0.25">
      <c r="B380" s="188"/>
    </row>
    <row r="381" spans="1:2" x14ac:dyDescent="0.25">
      <c r="B381" s="188"/>
    </row>
    <row r="382" spans="1:2" x14ac:dyDescent="0.25">
      <c r="B382" s="188"/>
    </row>
    <row r="383" spans="1:2" x14ac:dyDescent="0.25">
      <c r="B383" s="188"/>
    </row>
    <row r="384" spans="1:2" x14ac:dyDescent="0.25">
      <c r="B384" s="188"/>
    </row>
    <row r="385" spans="2:2" x14ac:dyDescent="0.25">
      <c r="B385" s="188"/>
    </row>
    <row r="386" spans="2:2" x14ac:dyDescent="0.25">
      <c r="B386" s="188"/>
    </row>
    <row r="387" spans="2:2" x14ac:dyDescent="0.25">
      <c r="B387" s="188"/>
    </row>
    <row r="388" spans="2:2" x14ac:dyDescent="0.25">
      <c r="B388" s="188"/>
    </row>
    <row r="389" spans="2:2" x14ac:dyDescent="0.25">
      <c r="B389" s="188"/>
    </row>
    <row r="390" spans="2:2" x14ac:dyDescent="0.25">
      <c r="B390" s="188"/>
    </row>
    <row r="391" spans="2:2" x14ac:dyDescent="0.25">
      <c r="B391" s="188"/>
    </row>
    <row r="392" spans="2:2" x14ac:dyDescent="0.25">
      <c r="B392" s="188"/>
    </row>
    <row r="393" spans="2:2" x14ac:dyDescent="0.25">
      <c r="B393" s="188"/>
    </row>
    <row r="394" spans="2:2" x14ac:dyDescent="0.25">
      <c r="B394" s="188"/>
    </row>
    <row r="395" spans="2:2" x14ac:dyDescent="0.25">
      <c r="B395" s="188"/>
    </row>
    <row r="396" spans="2:2" x14ac:dyDescent="0.25">
      <c r="B396" s="188"/>
    </row>
    <row r="397" spans="2:2" x14ac:dyDescent="0.25">
      <c r="B397" s="188"/>
    </row>
    <row r="398" spans="2:2" x14ac:dyDescent="0.25">
      <c r="B398" s="188"/>
    </row>
    <row r="399" spans="2:2" x14ac:dyDescent="0.25">
      <c r="B399" s="188"/>
    </row>
    <row r="400" spans="2:2" x14ac:dyDescent="0.25">
      <c r="B400" s="188"/>
    </row>
    <row r="401" spans="2:2" x14ac:dyDescent="0.25">
      <c r="B401" s="188"/>
    </row>
    <row r="402" spans="2:2" x14ac:dyDescent="0.25">
      <c r="B402" s="188"/>
    </row>
    <row r="403" spans="2:2" x14ac:dyDescent="0.25">
      <c r="B403" s="188"/>
    </row>
    <row r="404" spans="2:2" x14ac:dyDescent="0.25">
      <c r="B404" s="188"/>
    </row>
    <row r="405" spans="2:2" x14ac:dyDescent="0.25">
      <c r="B405" s="188"/>
    </row>
    <row r="406" spans="2:2" x14ac:dyDescent="0.25">
      <c r="B406" s="188"/>
    </row>
    <row r="407" spans="2:2" x14ac:dyDescent="0.25">
      <c r="B407" s="188"/>
    </row>
    <row r="408" spans="2:2" x14ac:dyDescent="0.25">
      <c r="B408" s="188"/>
    </row>
    <row r="409" spans="2:2" x14ac:dyDescent="0.25">
      <c r="B409" s="188"/>
    </row>
    <row r="410" spans="2:2" x14ac:dyDescent="0.25">
      <c r="B410" s="188"/>
    </row>
    <row r="411" spans="2:2" x14ac:dyDescent="0.25">
      <c r="B411" s="188"/>
    </row>
    <row r="412" spans="2:2" x14ac:dyDescent="0.25">
      <c r="B412" s="188"/>
    </row>
    <row r="413" spans="2:2" x14ac:dyDescent="0.25">
      <c r="B413" s="188"/>
    </row>
    <row r="414" spans="2:2" x14ac:dyDescent="0.25">
      <c r="B414" s="188"/>
    </row>
    <row r="415" spans="2:2" x14ac:dyDescent="0.25">
      <c r="B415" s="188"/>
    </row>
    <row r="416" spans="2:2" x14ac:dyDescent="0.25">
      <c r="B416" s="188"/>
    </row>
    <row r="417" spans="2:2" x14ac:dyDescent="0.25">
      <c r="B417" s="188"/>
    </row>
    <row r="418" spans="2:2" x14ac:dyDescent="0.25">
      <c r="B418" s="188"/>
    </row>
    <row r="419" spans="2:2" x14ac:dyDescent="0.25">
      <c r="B419" s="188"/>
    </row>
    <row r="420" spans="2:2" x14ac:dyDescent="0.25">
      <c r="B420" s="188"/>
    </row>
    <row r="421" spans="2:2" x14ac:dyDescent="0.25">
      <c r="B421" s="188"/>
    </row>
    <row r="422" spans="2:2" x14ac:dyDescent="0.25">
      <c r="B422" s="188"/>
    </row>
    <row r="423" spans="2:2" x14ac:dyDescent="0.25">
      <c r="B423" s="188"/>
    </row>
    <row r="424" spans="2:2" x14ac:dyDescent="0.25">
      <c r="B424" s="188"/>
    </row>
    <row r="425" spans="2:2" x14ac:dyDescent="0.25">
      <c r="B425" s="188"/>
    </row>
    <row r="426" spans="2:2" x14ac:dyDescent="0.25">
      <c r="B426" s="188"/>
    </row>
    <row r="427" spans="2:2" x14ac:dyDescent="0.25">
      <c r="B427" s="188"/>
    </row>
    <row r="428" spans="2:2" x14ac:dyDescent="0.25">
      <c r="B428" s="188"/>
    </row>
    <row r="429" spans="2:2" x14ac:dyDescent="0.25">
      <c r="B429" s="188"/>
    </row>
    <row r="430" spans="2:2" x14ac:dyDescent="0.25">
      <c r="B430" s="188"/>
    </row>
    <row r="431" spans="2:2" x14ac:dyDescent="0.25">
      <c r="B431" s="188"/>
    </row>
    <row r="432" spans="2:2" x14ac:dyDescent="0.25">
      <c r="B432" s="188"/>
    </row>
    <row r="433" spans="2:2" x14ac:dyDescent="0.25">
      <c r="B433" s="188"/>
    </row>
    <row r="434" spans="2:2" x14ac:dyDescent="0.25">
      <c r="B434" s="188"/>
    </row>
    <row r="435" spans="2:2" x14ac:dyDescent="0.25">
      <c r="B435" s="188"/>
    </row>
    <row r="436" spans="2:2" x14ac:dyDescent="0.25">
      <c r="B436" s="188"/>
    </row>
    <row r="437" spans="2:2" x14ac:dyDescent="0.25">
      <c r="B437" s="188"/>
    </row>
    <row r="438" spans="2:2" x14ac:dyDescent="0.25">
      <c r="B438" s="188"/>
    </row>
    <row r="439" spans="2:2" x14ac:dyDescent="0.25">
      <c r="B439" s="188"/>
    </row>
    <row r="440" spans="2:2" x14ac:dyDescent="0.25">
      <c r="B440" s="188"/>
    </row>
    <row r="441" spans="2:2" x14ac:dyDescent="0.25">
      <c r="B441" s="188"/>
    </row>
    <row r="442" spans="2:2" x14ac:dyDescent="0.25">
      <c r="B442" s="188"/>
    </row>
    <row r="443" spans="2:2" x14ac:dyDescent="0.25">
      <c r="B443" s="188"/>
    </row>
    <row r="444" spans="2:2" x14ac:dyDescent="0.25">
      <c r="B444" s="188"/>
    </row>
    <row r="445" spans="2:2" x14ac:dyDescent="0.25">
      <c r="B445" s="188"/>
    </row>
    <row r="446" spans="2:2" x14ac:dyDescent="0.25">
      <c r="B446" s="188"/>
    </row>
    <row r="447" spans="2:2" x14ac:dyDescent="0.25">
      <c r="B447" s="188"/>
    </row>
    <row r="448" spans="2:2" x14ac:dyDescent="0.25">
      <c r="B448" s="188"/>
    </row>
    <row r="449" spans="2:2" x14ac:dyDescent="0.25">
      <c r="B449" s="188"/>
    </row>
    <row r="450" spans="2:2" x14ac:dyDescent="0.25">
      <c r="B450" s="188"/>
    </row>
    <row r="451" spans="2:2" x14ac:dyDescent="0.25">
      <c r="B451" s="188"/>
    </row>
    <row r="452" spans="2:2" x14ac:dyDescent="0.25">
      <c r="B452" s="188"/>
    </row>
    <row r="453" spans="2:2" x14ac:dyDescent="0.25">
      <c r="B453" s="188"/>
    </row>
    <row r="454" spans="2:2" x14ac:dyDescent="0.25">
      <c r="B454" s="188"/>
    </row>
    <row r="455" spans="2:2" x14ac:dyDescent="0.25">
      <c r="B455" s="188"/>
    </row>
    <row r="456" spans="2:2" x14ac:dyDescent="0.25">
      <c r="B456" s="188"/>
    </row>
    <row r="457" spans="2:2" x14ac:dyDescent="0.25">
      <c r="B457" s="188"/>
    </row>
    <row r="458" spans="2:2" x14ac:dyDescent="0.25">
      <c r="B458" s="188"/>
    </row>
    <row r="459" spans="2:2" x14ac:dyDescent="0.25">
      <c r="B459" s="188"/>
    </row>
    <row r="460" spans="2:2" x14ac:dyDescent="0.25">
      <c r="B460" s="188"/>
    </row>
    <row r="461" spans="2:2" x14ac:dyDescent="0.25">
      <c r="B461" s="188"/>
    </row>
    <row r="462" spans="2:2" x14ac:dyDescent="0.25">
      <c r="B462" s="188"/>
    </row>
    <row r="463" spans="2:2" x14ac:dyDescent="0.25">
      <c r="B463" s="188"/>
    </row>
    <row r="464" spans="2:2" x14ac:dyDescent="0.25">
      <c r="B464" s="188"/>
    </row>
    <row r="465" spans="2:2" x14ac:dyDescent="0.25">
      <c r="B465" s="188"/>
    </row>
    <row r="466" spans="2:2" x14ac:dyDescent="0.25">
      <c r="B466" s="188"/>
    </row>
    <row r="467" spans="2:2" x14ac:dyDescent="0.25">
      <c r="B467" s="188"/>
    </row>
    <row r="468" spans="2:2" x14ac:dyDescent="0.25">
      <c r="B468" s="188"/>
    </row>
    <row r="469" spans="2:2" x14ac:dyDescent="0.25">
      <c r="B469" s="188"/>
    </row>
    <row r="470" spans="2:2" x14ac:dyDescent="0.25">
      <c r="B470" s="188"/>
    </row>
    <row r="471" spans="2:2" x14ac:dyDescent="0.25">
      <c r="B471" s="188"/>
    </row>
    <row r="472" spans="2:2" x14ac:dyDescent="0.25">
      <c r="B472" s="188"/>
    </row>
    <row r="473" spans="2:2" x14ac:dyDescent="0.25">
      <c r="B473" s="188"/>
    </row>
    <row r="474" spans="2:2" x14ac:dyDescent="0.25">
      <c r="B474" s="188"/>
    </row>
    <row r="475" spans="2:2" x14ac:dyDescent="0.25">
      <c r="B475" s="188"/>
    </row>
    <row r="476" spans="2:2" x14ac:dyDescent="0.25">
      <c r="B476" s="188"/>
    </row>
    <row r="477" spans="2:2" x14ac:dyDescent="0.25">
      <c r="B477" s="188"/>
    </row>
    <row r="478" spans="2:2" x14ac:dyDescent="0.25">
      <c r="B478" s="188"/>
    </row>
    <row r="479" spans="2:2" x14ac:dyDescent="0.25">
      <c r="B479" s="188"/>
    </row>
    <row r="480" spans="2:2" x14ac:dyDescent="0.25">
      <c r="B480" s="188"/>
    </row>
    <row r="481" spans="2:2" x14ac:dyDescent="0.25">
      <c r="B481" s="188"/>
    </row>
    <row r="482" spans="2:2" x14ac:dyDescent="0.25">
      <c r="B482" s="188"/>
    </row>
    <row r="483" spans="2:2" x14ac:dyDescent="0.25">
      <c r="B483" s="188"/>
    </row>
    <row r="484" spans="2:2" x14ac:dyDescent="0.25">
      <c r="B484" s="188"/>
    </row>
    <row r="485" spans="2:2" x14ac:dyDescent="0.25">
      <c r="B485" s="188"/>
    </row>
    <row r="486" spans="2:2" x14ac:dyDescent="0.25">
      <c r="B486" s="188"/>
    </row>
    <row r="487" spans="2:2" x14ac:dyDescent="0.25">
      <c r="B487" s="188"/>
    </row>
    <row r="488" spans="2:2" x14ac:dyDescent="0.25">
      <c r="B488" s="188"/>
    </row>
    <row r="489" spans="2:2" x14ac:dyDescent="0.25">
      <c r="B489" s="188"/>
    </row>
    <row r="490" spans="2:2" x14ac:dyDescent="0.25">
      <c r="B490" s="188"/>
    </row>
    <row r="491" spans="2:2" x14ac:dyDescent="0.25">
      <c r="B491" s="188"/>
    </row>
    <row r="492" spans="2:2" x14ac:dyDescent="0.25">
      <c r="B492" s="188"/>
    </row>
    <row r="493" spans="2:2" x14ac:dyDescent="0.25">
      <c r="B493" s="188"/>
    </row>
    <row r="494" spans="2:2" x14ac:dyDescent="0.25">
      <c r="B494" s="188"/>
    </row>
    <row r="495" spans="2:2" x14ac:dyDescent="0.25">
      <c r="B495" s="188"/>
    </row>
    <row r="496" spans="2:2" x14ac:dyDescent="0.25">
      <c r="B496" s="188"/>
    </row>
    <row r="497" spans="2:2" x14ac:dyDescent="0.25">
      <c r="B497" s="188"/>
    </row>
    <row r="498" spans="2:2" x14ac:dyDescent="0.25">
      <c r="B498" s="188"/>
    </row>
    <row r="499" spans="2:2" x14ac:dyDescent="0.25">
      <c r="B499" s="188"/>
    </row>
    <row r="500" spans="2:2" x14ac:dyDescent="0.25">
      <c r="B500" s="188"/>
    </row>
    <row r="501" spans="2:2" x14ac:dyDescent="0.25">
      <c r="B501" s="188"/>
    </row>
    <row r="502" spans="2:2" x14ac:dyDescent="0.25">
      <c r="B502" s="188"/>
    </row>
    <row r="503" spans="2:2" x14ac:dyDescent="0.25">
      <c r="B503" s="188"/>
    </row>
    <row r="504" spans="2:2" x14ac:dyDescent="0.25">
      <c r="B504" s="188"/>
    </row>
    <row r="505" spans="2:2" x14ac:dyDescent="0.25">
      <c r="B505" s="188"/>
    </row>
    <row r="506" spans="2:2" x14ac:dyDescent="0.25">
      <c r="B506" s="188"/>
    </row>
    <row r="507" spans="2:2" x14ac:dyDescent="0.25">
      <c r="B507" s="188"/>
    </row>
    <row r="508" spans="2:2" x14ac:dyDescent="0.25">
      <c r="B508" s="188"/>
    </row>
    <row r="509" spans="2:2" x14ac:dyDescent="0.25">
      <c r="B509" s="188"/>
    </row>
    <row r="510" spans="2:2" x14ac:dyDescent="0.25">
      <c r="B510" s="188"/>
    </row>
    <row r="511" spans="2:2" x14ac:dyDescent="0.25">
      <c r="B511" s="188"/>
    </row>
    <row r="512" spans="2:2" x14ac:dyDescent="0.25">
      <c r="B512" s="188"/>
    </row>
    <row r="513" spans="2:2" x14ac:dyDescent="0.25">
      <c r="B513" s="188"/>
    </row>
    <row r="514" spans="2:2" x14ac:dyDescent="0.25">
      <c r="B514" s="188"/>
    </row>
    <row r="515" spans="2:2" x14ac:dyDescent="0.25">
      <c r="B515" s="188"/>
    </row>
    <row r="516" spans="2:2" x14ac:dyDescent="0.25">
      <c r="B516" s="188"/>
    </row>
    <row r="517" spans="2:2" x14ac:dyDescent="0.25">
      <c r="B517" s="188"/>
    </row>
    <row r="518" spans="2:2" x14ac:dyDescent="0.25">
      <c r="B518" s="188"/>
    </row>
    <row r="519" spans="2:2" x14ac:dyDescent="0.25">
      <c r="B519" s="188"/>
    </row>
    <row r="520" spans="2:2" x14ac:dyDescent="0.25">
      <c r="B520" s="188"/>
    </row>
    <row r="521" spans="2:2" x14ac:dyDescent="0.25">
      <c r="B521" s="188"/>
    </row>
    <row r="522" spans="2:2" x14ac:dyDescent="0.25">
      <c r="B522" s="188"/>
    </row>
    <row r="523" spans="2:2" x14ac:dyDescent="0.25">
      <c r="B523" s="188"/>
    </row>
    <row r="524" spans="2:2" x14ac:dyDescent="0.25">
      <c r="B524" s="188"/>
    </row>
    <row r="525" spans="2:2" x14ac:dyDescent="0.25">
      <c r="B525" s="188"/>
    </row>
    <row r="526" spans="2:2" x14ac:dyDescent="0.25">
      <c r="B526" s="188"/>
    </row>
    <row r="527" spans="2:2" x14ac:dyDescent="0.25">
      <c r="B527" s="188"/>
    </row>
    <row r="528" spans="2:2" x14ac:dyDescent="0.25">
      <c r="B528" s="188"/>
    </row>
    <row r="529" spans="2:2" x14ac:dyDescent="0.25">
      <c r="B529" s="188"/>
    </row>
    <row r="530" spans="2:2" x14ac:dyDescent="0.25">
      <c r="B530" s="188"/>
    </row>
    <row r="531" spans="2:2" x14ac:dyDescent="0.25">
      <c r="B531" s="188"/>
    </row>
    <row r="532" spans="2:2" x14ac:dyDescent="0.25">
      <c r="B532" s="188"/>
    </row>
    <row r="533" spans="2:2" x14ac:dyDescent="0.25">
      <c r="B533" s="188"/>
    </row>
    <row r="534" spans="2:2" x14ac:dyDescent="0.25">
      <c r="B534" s="188"/>
    </row>
    <row r="535" spans="2:2" x14ac:dyDescent="0.25">
      <c r="B535" s="188"/>
    </row>
    <row r="536" spans="2:2" x14ac:dyDescent="0.25">
      <c r="B536" s="188"/>
    </row>
    <row r="537" spans="2:2" x14ac:dyDescent="0.25">
      <c r="B537" s="188"/>
    </row>
    <row r="538" spans="2:2" x14ac:dyDescent="0.25">
      <c r="B538" s="188"/>
    </row>
    <row r="539" spans="2:2" x14ac:dyDescent="0.25">
      <c r="B539" s="188"/>
    </row>
    <row r="540" spans="2:2" x14ac:dyDescent="0.25">
      <c r="B540" s="188"/>
    </row>
    <row r="541" spans="2:2" x14ac:dyDescent="0.25">
      <c r="B541" s="188"/>
    </row>
    <row r="542" spans="2:2" x14ac:dyDescent="0.25">
      <c r="B542" s="188"/>
    </row>
    <row r="543" spans="2:2" x14ac:dyDescent="0.25">
      <c r="B543" s="188"/>
    </row>
    <row r="544" spans="2:2" x14ac:dyDescent="0.25">
      <c r="B544" s="188"/>
    </row>
    <row r="545" spans="2:2" x14ac:dyDescent="0.25">
      <c r="B545" s="188"/>
    </row>
  </sheetData>
  <protectedRanges>
    <protectedRange sqref="B26:H26" name="Plage2"/>
    <protectedRange sqref="A379:A408 B11:B12 B16:E17 B28 B32 B36:B37 B41:B42 G41 B57:B59 B66:B67 B5:B8 B20:B21 D20:F20 B47:F49" name="Plage1"/>
    <protectedRange sqref="A70:A378" name="Plage1_3"/>
    <protectedRange sqref="B70:B378" name="Plage1_4"/>
  </protectedRanges>
  <sortState ref="A56:A373">
    <sortCondition ref="A56"/>
  </sortState>
  <mergeCells count="5">
    <mergeCell ref="G15:I15"/>
    <mergeCell ref="G16:I16"/>
    <mergeCell ref="G17:I17"/>
    <mergeCell ref="J24:K24"/>
    <mergeCell ref="J25:K26"/>
  </mergeCells>
  <phoneticPr fontId="7" type="noConversion"/>
  <printOptions horizontalCentered="1"/>
  <pageMargins left="0" right="0" top="0" bottom="0" header="0.51181102362204722" footer="0.51181102362204722"/>
  <pageSetup paperSize="9"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00B050"/>
  </sheetPr>
  <dimension ref="A1:I344"/>
  <sheetViews>
    <sheetView workbookViewId="0">
      <selection activeCell="B32" sqref="B32"/>
    </sheetView>
  </sheetViews>
  <sheetFormatPr baseColWidth="10" defaultColWidth="11" defaultRowHeight="15" x14ac:dyDescent="0.25"/>
  <cols>
    <col min="1" max="1" width="9.375" style="18" customWidth="1"/>
    <col min="2" max="2" width="22.25" style="18" customWidth="1"/>
    <col min="3" max="3" width="13.375" style="18" customWidth="1"/>
    <col min="4" max="4" width="11.125" style="18" bestFit="1" customWidth="1"/>
    <col min="5" max="5" width="13" style="18" customWidth="1"/>
    <col min="6" max="7" width="12.375" style="18" customWidth="1"/>
    <col min="8" max="9" width="13" style="18" bestFit="1" customWidth="1"/>
    <col min="10" max="10" width="3.5" style="18" customWidth="1"/>
    <col min="11" max="16384" width="11" style="18"/>
  </cols>
  <sheetData>
    <row r="1" spans="1:9" ht="21" x14ac:dyDescent="0.25">
      <c r="A1" s="59" t="s">
        <v>334</v>
      </c>
      <c r="B1" s="50"/>
      <c r="C1" s="82"/>
      <c r="D1" s="82"/>
      <c r="E1" s="82"/>
      <c r="F1" s="82"/>
      <c r="G1" s="82"/>
      <c r="H1" s="82"/>
      <c r="I1" s="82"/>
    </row>
    <row r="3" spans="1:9" x14ac:dyDescent="0.25">
      <c r="A3" s="137" t="s">
        <v>51</v>
      </c>
      <c r="B3" s="138"/>
      <c r="C3" s="139" t="s">
        <v>468</v>
      </c>
      <c r="D3" s="139" t="s">
        <v>415</v>
      </c>
      <c r="E3" s="82"/>
      <c r="F3" s="82"/>
      <c r="G3" s="82"/>
      <c r="H3" s="82"/>
      <c r="I3" s="82"/>
    </row>
    <row r="4" spans="1:9" x14ac:dyDescent="0.25">
      <c r="A4" s="89" t="s">
        <v>99</v>
      </c>
      <c r="B4" s="90"/>
      <c r="C4" s="15">
        <f>E325</f>
        <v>663184115.4373951</v>
      </c>
      <c r="D4" s="43"/>
      <c r="E4" s="82"/>
      <c r="F4" s="82"/>
      <c r="G4" s="82"/>
      <c r="H4" s="82"/>
      <c r="I4" s="82"/>
    </row>
    <row r="5" spans="1:9" x14ac:dyDescent="0.25">
      <c r="A5" s="95" t="s">
        <v>432</v>
      </c>
      <c r="B5" s="53"/>
      <c r="C5" s="14">
        <v>0</v>
      </c>
      <c r="D5" s="41">
        <f>C5/$C$325</f>
        <v>0</v>
      </c>
      <c r="E5" s="82"/>
      <c r="F5" s="82"/>
      <c r="G5" s="82"/>
      <c r="H5" s="82"/>
      <c r="I5" s="82"/>
    </row>
    <row r="6" spans="1:9" x14ac:dyDescent="0.25">
      <c r="A6" s="95" t="s">
        <v>431</v>
      </c>
      <c r="B6" s="53"/>
      <c r="C6" s="14">
        <f>Paramètres!B36</f>
        <v>-6857741</v>
      </c>
      <c r="D6" s="302">
        <f>C6/$C$325</f>
        <v>-0.19447242845050255</v>
      </c>
      <c r="E6" s="82"/>
      <c r="F6" s="82"/>
      <c r="G6" s="82"/>
      <c r="H6" s="82"/>
      <c r="I6" s="82"/>
    </row>
    <row r="7" spans="1:9" x14ac:dyDescent="0.25">
      <c r="A7" s="95" t="s">
        <v>100</v>
      </c>
      <c r="B7" s="53"/>
      <c r="C7" s="14">
        <f>'I) Dépenses thématiques'!O314</f>
        <v>-141053229.08014044</v>
      </c>
      <c r="D7" s="302">
        <f>C7/$C$325</f>
        <v>-3.9999999999999942</v>
      </c>
      <c r="E7" s="82"/>
      <c r="F7" s="82"/>
      <c r="G7" s="82"/>
      <c r="H7" s="82"/>
      <c r="I7" s="82"/>
    </row>
    <row r="8" spans="1:9" x14ac:dyDescent="0.25">
      <c r="A8" s="97" t="s">
        <v>283</v>
      </c>
      <c r="B8" s="127"/>
      <c r="C8" s="24">
        <f>Paramètres!B37</f>
        <v>-450000</v>
      </c>
      <c r="D8" s="302">
        <f>C8/$C$325</f>
        <v>-1.2761139973458629E-2</v>
      </c>
      <c r="E8" s="82"/>
      <c r="F8" s="82"/>
      <c r="G8" s="82"/>
      <c r="H8" s="82"/>
      <c r="I8" s="82"/>
    </row>
    <row r="9" spans="1:9" x14ac:dyDescent="0.25">
      <c r="A9" s="97" t="s">
        <v>363</v>
      </c>
      <c r="B9" s="127"/>
      <c r="C9" s="24">
        <f>SUM(C5:C8)</f>
        <v>-148360970.08014044</v>
      </c>
      <c r="D9" s="112">
        <f>SUM(D5:D8)</f>
        <v>-4.2072335684239555</v>
      </c>
      <c r="E9" s="82"/>
      <c r="F9" s="82"/>
      <c r="G9" s="82"/>
      <c r="H9" s="82"/>
      <c r="I9" s="82"/>
    </row>
    <row r="10" spans="1:9" x14ac:dyDescent="0.25">
      <c r="A10" s="89" t="s">
        <v>437</v>
      </c>
      <c r="B10" s="90"/>
      <c r="C10" s="24">
        <f>-SUM(C4:C8)</f>
        <v>-514823145.35725462</v>
      </c>
      <c r="D10" s="112">
        <f>C10/$C$325</f>
        <v>-14.599400487733698</v>
      </c>
      <c r="E10" s="82"/>
      <c r="F10" s="82"/>
      <c r="G10" s="82"/>
      <c r="H10" s="82"/>
      <c r="I10" s="82"/>
    </row>
    <row r="11" spans="1:9" x14ac:dyDescent="0.25">
      <c r="A11" s="89" t="s">
        <v>362</v>
      </c>
      <c r="B11" s="91"/>
      <c r="C11" s="24">
        <f>C9+C10</f>
        <v>-663184115.4373951</v>
      </c>
      <c r="D11" s="112">
        <f>D10+D9</f>
        <v>-18.806634056157655</v>
      </c>
      <c r="E11" s="82"/>
      <c r="F11" s="82"/>
      <c r="G11" s="82"/>
      <c r="H11" s="82"/>
      <c r="I11" s="82"/>
    </row>
    <row r="14" spans="1:9" ht="60" customHeight="1" x14ac:dyDescent="0.25">
      <c r="A14" s="436" t="s">
        <v>50</v>
      </c>
      <c r="B14" s="436" t="s">
        <v>101</v>
      </c>
      <c r="C14" s="436" t="s">
        <v>433</v>
      </c>
      <c r="D14" s="451" t="s">
        <v>310</v>
      </c>
      <c r="E14" s="74" t="s">
        <v>99</v>
      </c>
      <c r="F14" s="74" t="s">
        <v>361</v>
      </c>
      <c r="G14" s="74" t="s">
        <v>436</v>
      </c>
      <c r="H14" s="74" t="s">
        <v>302</v>
      </c>
      <c r="I14" s="74" t="s">
        <v>414</v>
      </c>
    </row>
    <row r="15" spans="1:9" x14ac:dyDescent="0.25">
      <c r="A15" s="437"/>
      <c r="B15" s="437"/>
      <c r="C15" s="437"/>
      <c r="D15" s="458"/>
      <c r="E15" s="322">
        <f>-D9+F15+G15</f>
        <v>18.806634056157669</v>
      </c>
      <c r="F15" s="159">
        <f>F325/C325</f>
        <v>11.329607473231938</v>
      </c>
      <c r="G15" s="159">
        <f>G325/C325</f>
        <v>3.2697930145017744</v>
      </c>
      <c r="H15" s="159"/>
      <c r="I15" s="159"/>
    </row>
    <row r="16" spans="1:9" x14ac:dyDescent="0.25">
      <c r="A16" s="54">
        <f>'A) Base RI'!A7</f>
        <v>5401</v>
      </c>
      <c r="B16" s="356" t="str">
        <f>'A) Base RI'!B7</f>
        <v>Aigle</v>
      </c>
      <c r="C16" s="39">
        <f>'D) Ecrêtage'!M5</f>
        <v>274204.16723456793</v>
      </c>
      <c r="D16" s="19">
        <f>'A) Base RI'!U7</f>
        <v>9740</v>
      </c>
      <c r="E16" s="14">
        <f>C16*E$15</f>
        <v>5156857.4298539786</v>
      </c>
      <c r="F16" s="19">
        <f>'F) Population'!K8</f>
        <v>4760985.9154929575</v>
      </c>
      <c r="G16" s="14">
        <f>'G) Solidarité'!I5</f>
        <v>3036458.674821787</v>
      </c>
      <c r="H16" s="19">
        <f>F16+G16</f>
        <v>7797444.590314744</v>
      </c>
      <c r="I16" s="66">
        <f>E16-H16</f>
        <v>-2640587.1604607655</v>
      </c>
    </row>
    <row r="17" spans="1:9" x14ac:dyDescent="0.25">
      <c r="A17" s="57">
        <f>'A) Base RI'!A8</f>
        <v>5402</v>
      </c>
      <c r="B17" s="40" t="str">
        <f>'A) Base RI'!B8</f>
        <v>Bex</v>
      </c>
      <c r="C17" s="39">
        <f>'D) Ecrêtage'!M6</f>
        <v>168618.65154929578</v>
      </c>
      <c r="D17" s="19">
        <f>'A) Base RI'!U8</f>
        <v>7424</v>
      </c>
      <c r="E17" s="14">
        <f t="shared" ref="E17:E80" si="0">C17*E$15</f>
        <v>3171149.2747303694</v>
      </c>
      <c r="F17" s="19">
        <f>'F) Population'!K9</f>
        <v>3208563.38028169</v>
      </c>
      <c r="G17" s="14">
        <f>'G) Solidarité'!I6</f>
        <v>3372486.4847581983</v>
      </c>
      <c r="H17" s="19">
        <f t="shared" ref="H17:H80" si="1">F17+G17</f>
        <v>6581049.8650398888</v>
      </c>
      <c r="I17" s="66">
        <f t="shared" ref="I17:I80" si="2">E17-H17</f>
        <v>-3409900.5903095193</v>
      </c>
    </row>
    <row r="18" spans="1:9" x14ac:dyDescent="0.25">
      <c r="A18" s="57">
        <f>'A) Base RI'!A9</f>
        <v>5403</v>
      </c>
      <c r="B18" s="40" t="str">
        <f>'A) Base RI'!B9</f>
        <v>Chessel</v>
      </c>
      <c r="C18" s="39">
        <f>'D) Ecrêtage'!M7</f>
        <v>8336.8572368421064</v>
      </c>
      <c r="D18" s="19">
        <f>'A) Base RI'!U9</f>
        <v>395</v>
      </c>
      <c r="E18" s="14">
        <f t="shared" si="0"/>
        <v>156788.22323171928</v>
      </c>
      <c r="F18" s="19">
        <f>'F) Population'!K10</f>
        <v>38943.661971830981</v>
      </c>
      <c r="G18" s="14">
        <f>'G) Solidarité'!I7</f>
        <v>220215.88948126687</v>
      </c>
      <c r="H18" s="19">
        <f t="shared" si="1"/>
        <v>259159.55145309784</v>
      </c>
      <c r="I18" s="66">
        <f t="shared" si="2"/>
        <v>-102371.32822137856</v>
      </c>
    </row>
    <row r="19" spans="1:9" x14ac:dyDescent="0.25">
      <c r="A19" s="57">
        <f>'A) Base RI'!A10</f>
        <v>5404</v>
      </c>
      <c r="B19" s="40" t="str">
        <f>'A) Base RI'!B10</f>
        <v>Corbeyrier</v>
      </c>
      <c r="C19" s="39">
        <f>'D) Ecrêtage'!M8</f>
        <v>11349.824285714287</v>
      </c>
      <c r="D19" s="19">
        <f>'A) Base RI'!U10</f>
        <v>440</v>
      </c>
      <c r="E19" s="14">
        <f t="shared" si="0"/>
        <v>213451.9919431197</v>
      </c>
      <c r="F19" s="19">
        <f>'F) Population'!K11</f>
        <v>43380.281690140844</v>
      </c>
      <c r="G19" s="14">
        <f>'G) Solidarité'!I8</f>
        <v>167786.4598430864</v>
      </c>
      <c r="H19" s="19">
        <f t="shared" si="1"/>
        <v>211166.74153322724</v>
      </c>
      <c r="I19" s="66">
        <f t="shared" si="2"/>
        <v>2285.2504098924692</v>
      </c>
    </row>
    <row r="20" spans="1:9" x14ac:dyDescent="0.25">
      <c r="A20" s="57">
        <f>'A) Base RI'!A11</f>
        <v>5405</v>
      </c>
      <c r="B20" s="40" t="str">
        <f>'A) Base RI'!B11</f>
        <v>Gryon</v>
      </c>
      <c r="C20" s="39">
        <f>'D) Ecrêtage'!M9</f>
        <v>64864.951911111115</v>
      </c>
      <c r="D20" s="19">
        <f>'A) Base RI'!U11</f>
        <v>1342</v>
      </c>
      <c r="E20" s="14">
        <f t="shared" si="0"/>
        <v>1219891.4136625319</v>
      </c>
      <c r="F20" s="19">
        <f>'F) Population'!K12</f>
        <v>216605.63380281691</v>
      </c>
      <c r="G20" s="14">
        <f>'G) Solidarité'!I9</f>
        <v>0</v>
      </c>
      <c r="H20" s="19">
        <f t="shared" si="1"/>
        <v>216605.63380281691</v>
      </c>
      <c r="I20" s="66">
        <f t="shared" si="2"/>
        <v>1003285.7798597149</v>
      </c>
    </row>
    <row r="21" spans="1:9" x14ac:dyDescent="0.25">
      <c r="A21" s="57">
        <f>'A) Base RI'!A12</f>
        <v>5406</v>
      </c>
      <c r="B21" s="40" t="str">
        <f>'A) Base RI'!B12</f>
        <v>Lavey-Morcles</v>
      </c>
      <c r="C21" s="39">
        <f>'D) Ecrêtage'!M10</f>
        <v>20248.886901408452</v>
      </c>
      <c r="D21" s="19">
        <f>'A) Base RI'!U12</f>
        <v>922</v>
      </c>
      <c r="E21" s="14">
        <f t="shared" si="0"/>
        <v>380813.40599931317</v>
      </c>
      <c r="F21" s="19">
        <f>'F) Population'!K13</f>
        <v>90901.408450704213</v>
      </c>
      <c r="G21" s="14">
        <f>'G) Solidarité'!I10</f>
        <v>432749.07066663657</v>
      </c>
      <c r="H21" s="19">
        <f t="shared" si="1"/>
        <v>523650.47911734076</v>
      </c>
      <c r="I21" s="66">
        <f t="shared" si="2"/>
        <v>-142837.07311802759</v>
      </c>
    </row>
    <row r="22" spans="1:9" x14ac:dyDescent="0.25">
      <c r="A22" s="57">
        <f>'A) Base RI'!A13</f>
        <v>5407</v>
      </c>
      <c r="B22" s="40" t="str">
        <f>'A) Base RI'!B13</f>
        <v>Leysin</v>
      </c>
      <c r="C22" s="39">
        <f>'D) Ecrêtage'!M11</f>
        <v>82610.97474358973</v>
      </c>
      <c r="D22" s="19">
        <f>'A) Base RI'!U13</f>
        <v>4088</v>
      </c>
      <c r="E22" s="14">
        <f t="shared" si="0"/>
        <v>1553634.3710251758</v>
      </c>
      <c r="F22" s="19">
        <f>'F) Population'!K14</f>
        <v>1325070.4225352113</v>
      </c>
      <c r="G22" s="14">
        <f>'G) Solidarité'!I11</f>
        <v>2489668.9589630663</v>
      </c>
      <c r="H22" s="19">
        <f t="shared" si="1"/>
        <v>3814739.3814982777</v>
      </c>
      <c r="I22" s="66">
        <f t="shared" si="2"/>
        <v>-2261105.0104731019</v>
      </c>
    </row>
    <row r="23" spans="1:9" x14ac:dyDescent="0.25">
      <c r="A23" s="57">
        <f>'A) Base RI'!A14</f>
        <v>5408</v>
      </c>
      <c r="B23" s="40" t="str">
        <f>'A) Base RI'!B14</f>
        <v>Noville</v>
      </c>
      <c r="C23" s="39">
        <f>'D) Ecrêtage'!M12</f>
        <v>33419.560339702759</v>
      </c>
      <c r="D23" s="19">
        <f>'A) Base RI'!U14</f>
        <v>1056</v>
      </c>
      <c r="E23" s="14">
        <f t="shared" si="0"/>
        <v>628509.44162647007</v>
      </c>
      <c r="F23" s="19">
        <f>'F) Population'!K15</f>
        <v>117915.49295774648</v>
      </c>
      <c r="G23" s="14">
        <f>'G) Solidarité'!I12</f>
        <v>354559.79227163497</v>
      </c>
      <c r="H23" s="19">
        <f t="shared" si="1"/>
        <v>472475.28522938146</v>
      </c>
      <c r="I23" s="66">
        <f t="shared" si="2"/>
        <v>156034.15639708861</v>
      </c>
    </row>
    <row r="24" spans="1:9" x14ac:dyDescent="0.25">
      <c r="A24" s="57">
        <f>'A) Base RI'!A15</f>
        <v>5409</v>
      </c>
      <c r="B24" s="40" t="str">
        <f>'A) Base RI'!B15</f>
        <v>Ollon</v>
      </c>
      <c r="C24" s="39">
        <f>'D) Ecrêtage'!M13</f>
        <v>366034.73937782802</v>
      </c>
      <c r="D24" s="19">
        <f>'A) Base RI'!U15</f>
        <v>7473</v>
      </c>
      <c r="E24" s="14">
        <f t="shared" si="0"/>
        <v>6883881.3953198576</v>
      </c>
      <c r="F24" s="19">
        <f>'F) Population'!K16</f>
        <v>3237549.295774648</v>
      </c>
      <c r="G24" s="14">
        <f>'G) Solidarité'!I13</f>
        <v>0</v>
      </c>
      <c r="H24" s="19">
        <f t="shared" si="1"/>
        <v>3237549.295774648</v>
      </c>
      <c r="I24" s="66">
        <f t="shared" si="2"/>
        <v>3646332.0995452097</v>
      </c>
    </row>
    <row r="25" spans="1:9" x14ac:dyDescent="0.25">
      <c r="A25" s="57">
        <f>'A) Base RI'!A16</f>
        <v>5410</v>
      </c>
      <c r="B25" s="40" t="str">
        <f>'A) Base RI'!B16</f>
        <v>Ormont-Dessous</v>
      </c>
      <c r="C25" s="39">
        <f>'D) Ecrêtage'!M14</f>
        <v>36452.210276008496</v>
      </c>
      <c r="D25" s="19">
        <f>'A) Base RI'!U16</f>
        <v>1105</v>
      </c>
      <c r="E25" s="14">
        <f t="shared" si="0"/>
        <v>685543.37919900194</v>
      </c>
      <c r="F25" s="19">
        <f>'F) Population'!K17</f>
        <v>134823.94366197183</v>
      </c>
      <c r="G25" s="14">
        <f>'G) Solidarité'!I14</f>
        <v>334596.36376748764</v>
      </c>
      <c r="H25" s="19">
        <f t="shared" si="1"/>
        <v>469420.30742945947</v>
      </c>
      <c r="I25" s="66">
        <f t="shared" si="2"/>
        <v>216123.07176954247</v>
      </c>
    </row>
    <row r="26" spans="1:9" x14ac:dyDescent="0.25">
      <c r="A26" s="57">
        <f>'A) Base RI'!A17</f>
        <v>5411</v>
      </c>
      <c r="B26" s="40" t="str">
        <f>'A) Base RI'!B17</f>
        <v>Ormont-Dessus</v>
      </c>
      <c r="C26" s="39">
        <f>'D) Ecrêtage'!M15</f>
        <v>74047.924868421047</v>
      </c>
      <c r="D26" s="19">
        <f>'A) Base RI'!U17</f>
        <v>1479</v>
      </c>
      <c r="E26" s="14">
        <f t="shared" si="0"/>
        <v>1392592.2256182516</v>
      </c>
      <c r="F26" s="19">
        <f>'F) Population'!K18</f>
        <v>263880.28169014084</v>
      </c>
      <c r="G26" s="14">
        <f>'G) Solidarité'!I15</f>
        <v>0</v>
      </c>
      <c r="H26" s="19">
        <f t="shared" si="1"/>
        <v>263880.28169014084</v>
      </c>
      <c r="I26" s="66">
        <f t="shared" si="2"/>
        <v>1128711.9439281109</v>
      </c>
    </row>
    <row r="27" spans="1:9" x14ac:dyDescent="0.25">
      <c r="A27" s="57">
        <f>'A) Base RI'!A18</f>
        <v>5412</v>
      </c>
      <c r="B27" s="40" t="str">
        <f>'A) Base RI'!B18</f>
        <v>Rennaz</v>
      </c>
      <c r="C27" s="39">
        <f>'D) Ecrêtage'!M16</f>
        <v>26224.228148148151</v>
      </c>
      <c r="D27" s="19">
        <f>'A) Base RI'!U18</f>
        <v>843</v>
      </c>
      <c r="E27" s="14">
        <f t="shared" si="0"/>
        <v>493189.46218741161</v>
      </c>
      <c r="F27" s="19">
        <f>'F) Population'!K19</f>
        <v>83112.676056338023</v>
      </c>
      <c r="G27" s="14">
        <f>'G) Solidarité'!I16</f>
        <v>217533.85013080586</v>
      </c>
      <c r="H27" s="19">
        <f t="shared" si="1"/>
        <v>300646.52618714387</v>
      </c>
      <c r="I27" s="66">
        <f t="shared" si="2"/>
        <v>192542.93600026774</v>
      </c>
    </row>
    <row r="28" spans="1:9" x14ac:dyDescent="0.25">
      <c r="A28" s="57">
        <f>'A) Base RI'!A19</f>
        <v>5413</v>
      </c>
      <c r="B28" s="40" t="str">
        <f>'A) Base RI'!B19</f>
        <v>Roche</v>
      </c>
      <c r="C28" s="39">
        <f>'D) Ecrêtage'!M17</f>
        <v>38924.228382352943</v>
      </c>
      <c r="D28" s="19">
        <f>'A) Base RI'!U19</f>
        <v>1597</v>
      </c>
      <c r="E28" s="14">
        <f t="shared" si="0"/>
        <v>732033.71910521784</v>
      </c>
      <c r="F28" s="19">
        <f>'F) Population'!K20</f>
        <v>304598.59154929576</v>
      </c>
      <c r="G28" s="14">
        <f>'G) Solidarité'!I17</f>
        <v>616551.62526818027</v>
      </c>
      <c r="H28" s="19">
        <f t="shared" si="1"/>
        <v>921150.21681747609</v>
      </c>
      <c r="I28" s="66">
        <f t="shared" si="2"/>
        <v>-189116.49771225825</v>
      </c>
    </row>
    <row r="29" spans="1:9" x14ac:dyDescent="0.25">
      <c r="A29" s="57">
        <f>'A) Base RI'!A20</f>
        <v>5414</v>
      </c>
      <c r="B29" s="40" t="str">
        <f>'A) Base RI'!B20</f>
        <v>Villeneuve</v>
      </c>
      <c r="C29" s="39">
        <f>'D) Ecrêtage'!M18</f>
        <v>159863.47130434786</v>
      </c>
      <c r="D29" s="19">
        <f>'A) Base RI'!U20</f>
        <v>5457</v>
      </c>
      <c r="E29" s="14">
        <f t="shared" si="0"/>
        <v>3006493.8037679326</v>
      </c>
      <c r="F29" s="19">
        <f>'F) Population'!K21</f>
        <v>2044985.9154929577</v>
      </c>
      <c r="G29" s="14">
        <f>'G) Solidarité'!I18</f>
        <v>1659286.4194182709</v>
      </c>
      <c r="H29" s="19">
        <f t="shared" si="1"/>
        <v>3704272.3349112286</v>
      </c>
      <c r="I29" s="66">
        <f t="shared" si="2"/>
        <v>-697778.53114329604</v>
      </c>
    </row>
    <row r="30" spans="1:9" x14ac:dyDescent="0.25">
      <c r="A30" s="57">
        <f>'A) Base RI'!A21</f>
        <v>5415</v>
      </c>
      <c r="B30" s="40" t="str">
        <f>'A) Base RI'!B21</f>
        <v>Yvorne</v>
      </c>
      <c r="C30" s="39">
        <f>'D) Ecrêtage'!M19</f>
        <v>35726.744476885644</v>
      </c>
      <c r="D30" s="19">
        <f>'A) Base RI'!U21</f>
        <v>1061</v>
      </c>
      <c r="E30" s="14">
        <f t="shared" si="0"/>
        <v>671899.8093946405</v>
      </c>
      <c r="F30" s="19">
        <f>'F) Population'!K22</f>
        <v>119640.84507042254</v>
      </c>
      <c r="G30" s="14">
        <f>'G) Solidarité'!I19</f>
        <v>231048.8671887391</v>
      </c>
      <c r="H30" s="19">
        <f t="shared" si="1"/>
        <v>350689.71225916164</v>
      </c>
      <c r="I30" s="66">
        <f t="shared" si="2"/>
        <v>321210.09713547886</v>
      </c>
    </row>
    <row r="31" spans="1:9" x14ac:dyDescent="0.25">
      <c r="A31" s="57">
        <f>'A) Base RI'!A22</f>
        <v>5421</v>
      </c>
      <c r="B31" s="40" t="str">
        <f>'A) Base RI'!B22</f>
        <v>Apples</v>
      </c>
      <c r="C31" s="39">
        <f>'D) Ecrêtage'!M20</f>
        <v>59005.563421052633</v>
      </c>
      <c r="D31" s="19">
        <f>'A) Base RI'!U22</f>
        <v>1412</v>
      </c>
      <c r="E31" s="14">
        <f t="shared" si="0"/>
        <v>1109696.0385371398</v>
      </c>
      <c r="F31" s="19">
        <f>'F) Population'!K23</f>
        <v>240760.56338028167</v>
      </c>
      <c r="G31" s="14">
        <f>'G) Solidarité'!I20</f>
        <v>114554.13743563021</v>
      </c>
      <c r="H31" s="19">
        <f t="shared" si="1"/>
        <v>355314.70081591187</v>
      </c>
      <c r="I31" s="66">
        <f t="shared" si="2"/>
        <v>754381.3377212279</v>
      </c>
    </row>
    <row r="32" spans="1:9" x14ac:dyDescent="0.25">
      <c r="A32" s="57">
        <f>'A) Base RI'!A23</f>
        <v>5422</v>
      </c>
      <c r="B32" s="40" t="str">
        <f>'A) Base RI'!B23</f>
        <v>Aubonne</v>
      </c>
      <c r="C32" s="39">
        <f>'D) Ecrêtage'!M21</f>
        <v>212504.17047865759</v>
      </c>
      <c r="D32" s="19">
        <f>'A) Base RI'!U23</f>
        <v>3272</v>
      </c>
      <c r="E32" s="14">
        <f t="shared" si="0"/>
        <v>3996488.1695994572</v>
      </c>
      <c r="F32" s="19">
        <f>'F) Population'!K24</f>
        <v>922816.90140845068</v>
      </c>
      <c r="G32" s="14">
        <f>'G) Solidarité'!I21</f>
        <v>0</v>
      </c>
      <c r="H32" s="19">
        <f t="shared" si="1"/>
        <v>922816.90140845068</v>
      </c>
      <c r="I32" s="66">
        <f t="shared" si="2"/>
        <v>3073671.2681910065</v>
      </c>
    </row>
    <row r="33" spans="1:9" x14ac:dyDescent="0.25">
      <c r="A33" s="57">
        <f>'A) Base RI'!A24</f>
        <v>5423</v>
      </c>
      <c r="B33" s="40" t="str">
        <f>'A) Base RI'!B24</f>
        <v>Ballens</v>
      </c>
      <c r="C33" s="39">
        <f>'D) Ecrêtage'!M22</f>
        <v>15358.055362318841</v>
      </c>
      <c r="D33" s="19">
        <f>'A) Base RI'!U24</f>
        <v>508</v>
      </c>
      <c r="E33" s="14">
        <f t="shared" si="0"/>
        <v>288833.32701334043</v>
      </c>
      <c r="F33" s="19">
        <f>'F) Population'!K25</f>
        <v>50084.507042253521</v>
      </c>
      <c r="G33" s="14">
        <f>'G) Solidarité'!I22</f>
        <v>145425.81450739296</v>
      </c>
      <c r="H33" s="19">
        <f t="shared" si="1"/>
        <v>195510.3215496465</v>
      </c>
      <c r="I33" s="66">
        <f t="shared" si="2"/>
        <v>93323.005463693931</v>
      </c>
    </row>
    <row r="34" spans="1:9" x14ac:dyDescent="0.25">
      <c r="A34" s="57">
        <f>'A) Base RI'!A25</f>
        <v>5424</v>
      </c>
      <c r="B34" s="40" t="str">
        <f>'A) Base RI'!B25</f>
        <v>Berolle</v>
      </c>
      <c r="C34" s="39">
        <f>'D) Ecrêtage'!M23</f>
        <v>9058.2428571428572</v>
      </c>
      <c r="D34" s="19">
        <f>'A) Base RI'!U25</f>
        <v>301</v>
      </c>
      <c r="E34" s="14">
        <f t="shared" si="0"/>
        <v>170355.05860608982</v>
      </c>
      <c r="F34" s="19">
        <f>'F) Population'!K26</f>
        <v>29676.056338028167</v>
      </c>
      <c r="G34" s="14">
        <f>'G) Solidarité'!I23</f>
        <v>108292.95806242863</v>
      </c>
      <c r="H34" s="19">
        <f t="shared" si="1"/>
        <v>137969.0144004568</v>
      </c>
      <c r="I34" s="66">
        <f t="shared" si="2"/>
        <v>32386.044205633021</v>
      </c>
    </row>
    <row r="35" spans="1:9" x14ac:dyDescent="0.25">
      <c r="A35" s="57">
        <f>'A) Base RI'!A26</f>
        <v>5425</v>
      </c>
      <c r="B35" s="40" t="str">
        <f>'A) Base RI'!B26</f>
        <v>Bière</v>
      </c>
      <c r="C35" s="39">
        <f>'D) Ecrêtage'!M24</f>
        <v>39413.041470588236</v>
      </c>
      <c r="D35" s="19">
        <f>'A) Base RI'!U26</f>
        <v>1546</v>
      </c>
      <c r="E35" s="14">
        <f t="shared" si="0"/>
        <v>741226.64797751931</v>
      </c>
      <c r="F35" s="19">
        <f>'F) Population'!K27</f>
        <v>287000</v>
      </c>
      <c r="G35" s="14">
        <f>'G) Solidarité'!I24</f>
        <v>564928.49743058346</v>
      </c>
      <c r="H35" s="19">
        <f t="shared" si="1"/>
        <v>851928.49743058346</v>
      </c>
      <c r="I35" s="66">
        <f t="shared" si="2"/>
        <v>-110701.84945306415</v>
      </c>
    </row>
    <row r="36" spans="1:9" x14ac:dyDescent="0.25">
      <c r="A36" s="57">
        <f>'A) Base RI'!A27</f>
        <v>5426</v>
      </c>
      <c r="B36" s="40" t="str">
        <f>'A) Base RI'!B27</f>
        <v>Bougy-Villars</v>
      </c>
      <c r="C36" s="39">
        <f>'D) Ecrêtage'!M25</f>
        <v>39109.793972366126</v>
      </c>
      <c r="D36" s="19">
        <f>'A) Base RI'!U27</f>
        <v>467</v>
      </c>
      <c r="E36" s="14">
        <f t="shared" si="0"/>
        <v>735523.58325001074</v>
      </c>
      <c r="F36" s="19">
        <f>'F) Population'!K28</f>
        <v>46042.25352112676</v>
      </c>
      <c r="G36" s="14">
        <f>'G) Solidarité'!I25</f>
        <v>0</v>
      </c>
      <c r="H36" s="19">
        <f t="shared" si="1"/>
        <v>46042.25352112676</v>
      </c>
      <c r="I36" s="66">
        <f t="shared" si="2"/>
        <v>689481.32972888392</v>
      </c>
    </row>
    <row r="37" spans="1:9" x14ac:dyDescent="0.25">
      <c r="A37" s="57">
        <f>'A) Base RI'!A28</f>
        <v>5427</v>
      </c>
      <c r="B37" s="40" t="str">
        <f>'A) Base RI'!B28</f>
        <v>Féchy</v>
      </c>
      <c r="C37" s="39">
        <f>'D) Ecrêtage'!M26</f>
        <v>64993.710901769446</v>
      </c>
      <c r="D37" s="19">
        <f>'A) Base RI'!U28</f>
        <v>887</v>
      </c>
      <c r="E37" s="14">
        <f t="shared" si="0"/>
        <v>1222312.9368812833</v>
      </c>
      <c r="F37" s="19">
        <f>'F) Population'!K29</f>
        <v>87450.704225352107</v>
      </c>
      <c r="G37" s="14">
        <f>'G) Solidarité'!I26</f>
        <v>0</v>
      </c>
      <c r="H37" s="19">
        <f t="shared" si="1"/>
        <v>87450.704225352107</v>
      </c>
      <c r="I37" s="66">
        <f t="shared" si="2"/>
        <v>1134862.2326559313</v>
      </c>
    </row>
    <row r="38" spans="1:9" x14ac:dyDescent="0.25">
      <c r="A38" s="57">
        <f>'A) Base RI'!A29</f>
        <v>5428</v>
      </c>
      <c r="B38" s="40" t="str">
        <f>'A) Base RI'!B29</f>
        <v>Gimel</v>
      </c>
      <c r="C38" s="39">
        <f>'D) Ecrêtage'!M27</f>
        <v>58004.622727272719</v>
      </c>
      <c r="D38" s="19">
        <f>'A) Base RI'!U29</f>
        <v>1948</v>
      </c>
      <c r="E38" s="14">
        <f t="shared" si="0"/>
        <v>1090871.7131973042</v>
      </c>
      <c r="F38" s="19">
        <f>'F) Population'!K30</f>
        <v>425718.30985915492</v>
      </c>
      <c r="G38" s="14">
        <f>'G) Solidarité'!I27</f>
        <v>616902.7468108288</v>
      </c>
      <c r="H38" s="19">
        <f t="shared" si="1"/>
        <v>1042621.0566699838</v>
      </c>
      <c r="I38" s="66">
        <f t="shared" si="2"/>
        <v>48250.656527320389</v>
      </c>
    </row>
    <row r="39" spans="1:9" x14ac:dyDescent="0.25">
      <c r="A39" s="57">
        <f>'A) Base RI'!A30</f>
        <v>5429</v>
      </c>
      <c r="B39" s="40" t="str">
        <f>'A) Base RI'!B30</f>
        <v>Longirod</v>
      </c>
      <c r="C39" s="39">
        <f>'D) Ecrêtage'!M28</f>
        <v>12171.349506172839</v>
      </c>
      <c r="D39" s="19">
        <f>'A) Base RI'!U30</f>
        <v>460</v>
      </c>
      <c r="E39" s="14">
        <f t="shared" si="0"/>
        <v>228902.11613218795</v>
      </c>
      <c r="F39" s="19">
        <f>'F) Population'!K31</f>
        <v>45352.112676056335</v>
      </c>
      <c r="G39" s="14">
        <f>'G) Solidarité'!I28</f>
        <v>226878.50796660219</v>
      </c>
      <c r="H39" s="19">
        <f t="shared" si="1"/>
        <v>272230.62064265856</v>
      </c>
      <c r="I39" s="66">
        <f t="shared" si="2"/>
        <v>-43328.504510470608</v>
      </c>
    </row>
    <row r="40" spans="1:9" x14ac:dyDescent="0.25">
      <c r="A40" s="57">
        <f>'A) Base RI'!A31</f>
        <v>5430</v>
      </c>
      <c r="B40" s="40" t="str">
        <f>'A) Base RI'!B31</f>
        <v>Marchissy</v>
      </c>
      <c r="C40" s="39">
        <f>'D) Ecrêtage'!M29</f>
        <v>10573.165189873416</v>
      </c>
      <c r="D40" s="19">
        <f>'A) Base RI'!U31</f>
        <v>430</v>
      </c>
      <c r="E40" s="14">
        <f t="shared" si="0"/>
        <v>198845.64854125417</v>
      </c>
      <c r="F40" s="19">
        <f>'F) Population'!K32</f>
        <v>42394.366197183095</v>
      </c>
      <c r="G40" s="14">
        <f>'G) Solidarité'!I29</f>
        <v>221757.35284986181</v>
      </c>
      <c r="H40" s="19">
        <f t="shared" si="1"/>
        <v>264151.71904704493</v>
      </c>
      <c r="I40" s="66">
        <f t="shared" si="2"/>
        <v>-65306.070505790762</v>
      </c>
    </row>
    <row r="41" spans="1:9" x14ac:dyDescent="0.25">
      <c r="A41" s="57">
        <f>'A) Base RI'!A32</f>
        <v>5431</v>
      </c>
      <c r="B41" s="40" t="str">
        <f>'A) Base RI'!B32</f>
        <v>Mollens</v>
      </c>
      <c r="C41" s="39">
        <f>'D) Ecrêtage'!M30</f>
        <v>11206.031081081082</v>
      </c>
      <c r="D41" s="19">
        <f>'A) Base RI'!U32</f>
        <v>295</v>
      </c>
      <c r="E41" s="14">
        <f t="shared" si="0"/>
        <v>210747.72576382084</v>
      </c>
      <c r="F41" s="19">
        <f>'F) Population'!K33</f>
        <v>29084.507042253517</v>
      </c>
      <c r="G41" s="14">
        <f>'G) Solidarité'!I30</f>
        <v>47182.195950462599</v>
      </c>
      <c r="H41" s="19">
        <f t="shared" si="1"/>
        <v>76266.70299271612</v>
      </c>
      <c r="I41" s="66">
        <f t="shared" si="2"/>
        <v>134481.0227711047</v>
      </c>
    </row>
    <row r="42" spans="1:9" x14ac:dyDescent="0.25">
      <c r="A42" s="57">
        <f>'A) Base RI'!A33</f>
        <v>5432</v>
      </c>
      <c r="B42" s="40" t="str">
        <f>'A) Base RI'!B33</f>
        <v>Montherod</v>
      </c>
      <c r="C42" s="39">
        <f>'D) Ecrêtage'!M31</f>
        <v>17725.419230769232</v>
      </c>
      <c r="D42" s="19">
        <f>'A) Base RI'!U33</f>
        <v>522</v>
      </c>
      <c r="E42" s="14">
        <f t="shared" si="0"/>
        <v>333355.47296505672</v>
      </c>
      <c r="F42" s="19">
        <f>'F) Population'!K34</f>
        <v>51464.788732394365</v>
      </c>
      <c r="G42" s="14">
        <f>'G) Solidarité'!I31</f>
        <v>143792.60703866466</v>
      </c>
      <c r="H42" s="19">
        <f t="shared" si="1"/>
        <v>195257.39577105903</v>
      </c>
      <c r="I42" s="66">
        <f t="shared" si="2"/>
        <v>138098.07719399768</v>
      </c>
    </row>
    <row r="43" spans="1:9" x14ac:dyDescent="0.25">
      <c r="A43" s="57">
        <f>'A) Base RI'!A34</f>
        <v>5434</v>
      </c>
      <c r="B43" s="40" t="str">
        <f>'A) Base RI'!B34</f>
        <v>Saint-George</v>
      </c>
      <c r="C43" s="39">
        <f>'D) Ecrêtage'!M32</f>
        <v>35895.731094890507</v>
      </c>
      <c r="D43" s="19">
        <f>'A) Base RI'!U34</f>
        <v>991</v>
      </c>
      <c r="E43" s="14">
        <f t="shared" si="0"/>
        <v>675077.87887984561</v>
      </c>
      <c r="F43" s="19">
        <f>'F) Population'!K35</f>
        <v>97704.225352112669</v>
      </c>
      <c r="G43" s="14">
        <f>'G) Solidarité'!I32</f>
        <v>168539.52111038569</v>
      </c>
      <c r="H43" s="19">
        <f t="shared" si="1"/>
        <v>266243.74646249833</v>
      </c>
      <c r="I43" s="66">
        <f t="shared" si="2"/>
        <v>408834.13241734728</v>
      </c>
    </row>
    <row r="44" spans="1:9" x14ac:dyDescent="0.25">
      <c r="A44" s="57">
        <f>'A) Base RI'!A35</f>
        <v>5435</v>
      </c>
      <c r="B44" s="40" t="str">
        <f>'A) Base RI'!B35</f>
        <v>Saint-Livres</v>
      </c>
      <c r="C44" s="39">
        <f>'D) Ecrêtage'!M33</f>
        <v>22398.12956521739</v>
      </c>
      <c r="D44" s="19">
        <f>'A) Base RI'!U35</f>
        <v>689</v>
      </c>
      <c r="E44" s="14">
        <f t="shared" si="0"/>
        <v>421233.42627544934</v>
      </c>
      <c r="F44" s="19">
        <f>'F) Population'!K36</f>
        <v>67929.57746478873</v>
      </c>
      <c r="G44" s="14">
        <f>'G) Solidarité'!I33</f>
        <v>167471.75723654087</v>
      </c>
      <c r="H44" s="19">
        <f t="shared" si="1"/>
        <v>235401.33470132959</v>
      </c>
      <c r="I44" s="66">
        <f t="shared" si="2"/>
        <v>185832.09157411975</v>
      </c>
    </row>
    <row r="45" spans="1:9" x14ac:dyDescent="0.25">
      <c r="A45" s="57">
        <f>'A) Base RI'!A36</f>
        <v>5436</v>
      </c>
      <c r="B45" s="40" t="str">
        <f>'A) Base RI'!B36</f>
        <v>Saint-Oyens</v>
      </c>
      <c r="C45" s="39">
        <f>'D) Ecrêtage'!M34</f>
        <v>10474.604814814815</v>
      </c>
      <c r="D45" s="19">
        <f>'A) Base RI'!U36</f>
        <v>350</v>
      </c>
      <c r="E45" s="14">
        <f t="shared" si="0"/>
        <v>196992.05963508939</v>
      </c>
      <c r="F45" s="19">
        <f>'F) Population'!K37</f>
        <v>34507.042253521126</v>
      </c>
      <c r="G45" s="14">
        <f>'G) Solidarité'!I34</f>
        <v>140868.29448993094</v>
      </c>
      <c r="H45" s="19">
        <f t="shared" si="1"/>
        <v>175375.33674345206</v>
      </c>
      <c r="I45" s="66">
        <f t="shared" si="2"/>
        <v>21616.722891637328</v>
      </c>
    </row>
    <row r="46" spans="1:9" x14ac:dyDescent="0.25">
      <c r="A46" s="57">
        <f>'A) Base RI'!A37</f>
        <v>5437</v>
      </c>
      <c r="B46" s="40" t="str">
        <f>'A) Base RI'!B37</f>
        <v>Saubraz</v>
      </c>
      <c r="C46" s="39">
        <f>'D) Ecrêtage'!M35</f>
        <v>10138.793125</v>
      </c>
      <c r="D46" s="19">
        <f>'A) Base RI'!U37</f>
        <v>420</v>
      </c>
      <c r="E46" s="14">
        <f t="shared" si="0"/>
        <v>190676.57207296224</v>
      </c>
      <c r="F46" s="19">
        <f>'F) Population'!K38</f>
        <v>41408.450704225346</v>
      </c>
      <c r="G46" s="14">
        <f>'G) Solidarité'!I35</f>
        <v>226928.79065533963</v>
      </c>
      <c r="H46" s="19">
        <f t="shared" si="1"/>
        <v>268337.241359565</v>
      </c>
      <c r="I46" s="66">
        <f t="shared" si="2"/>
        <v>-77660.669286602759</v>
      </c>
    </row>
    <row r="47" spans="1:9" x14ac:dyDescent="0.25">
      <c r="A47" s="57">
        <f>'A) Base RI'!A38</f>
        <v>5451</v>
      </c>
      <c r="B47" s="40" t="str">
        <f>'A) Base RI'!B38</f>
        <v>Avenches</v>
      </c>
      <c r="C47" s="39">
        <f>'D) Ecrêtage'!M36</f>
        <v>109207.82382352941</v>
      </c>
      <c r="D47" s="19">
        <f>'A) Base RI'!U38</f>
        <v>4129</v>
      </c>
      <c r="E47" s="14">
        <f t="shared" si="0"/>
        <v>2053831.578718455</v>
      </c>
      <c r="F47" s="19">
        <f>'F) Population'!K39</f>
        <v>1345281.690140845</v>
      </c>
      <c r="G47" s="14">
        <f>'G) Solidarité'!I36</f>
        <v>1436049.9305352839</v>
      </c>
      <c r="H47" s="19">
        <f t="shared" si="1"/>
        <v>2781331.6206761291</v>
      </c>
      <c r="I47" s="66">
        <f t="shared" si="2"/>
        <v>-727500.04195767408</v>
      </c>
    </row>
    <row r="48" spans="1:9" x14ac:dyDescent="0.25">
      <c r="A48" s="57">
        <f>'A) Base RI'!A39</f>
        <v>5456</v>
      </c>
      <c r="B48" s="40" t="str">
        <f>'A) Base RI'!B39</f>
        <v>Cudrefin</v>
      </c>
      <c r="C48" s="39">
        <f>'D) Ecrêtage'!M37</f>
        <v>51373.818644067804</v>
      </c>
      <c r="D48" s="19">
        <f>'A) Base RI'!U39</f>
        <v>1555</v>
      </c>
      <c r="E48" s="14">
        <f t="shared" si="0"/>
        <v>966168.60730639333</v>
      </c>
      <c r="F48" s="19">
        <f>'F) Population'!K40</f>
        <v>290105.63380281691</v>
      </c>
      <c r="G48" s="14">
        <f>'G) Solidarité'!I37</f>
        <v>264916.79828878358</v>
      </c>
      <c r="H48" s="19">
        <f t="shared" si="1"/>
        <v>555022.43209160049</v>
      </c>
      <c r="I48" s="66">
        <f t="shared" si="2"/>
        <v>411146.17521479283</v>
      </c>
    </row>
    <row r="49" spans="1:9" x14ac:dyDescent="0.25">
      <c r="A49" s="57">
        <f>'A) Base RI'!A40</f>
        <v>5458</v>
      </c>
      <c r="B49" s="40" t="str">
        <f>'A) Base RI'!B40</f>
        <v>Faoug</v>
      </c>
      <c r="C49" s="39">
        <f>'D) Ecrêtage'!M38</f>
        <v>31692.092968750003</v>
      </c>
      <c r="D49" s="19">
        <f>'A) Base RI'!U40</f>
        <v>870</v>
      </c>
      <c r="E49" s="14">
        <f t="shared" si="0"/>
        <v>596021.59493700881</v>
      </c>
      <c r="F49" s="19">
        <f>'F) Population'!K41</f>
        <v>85774.647887323939</v>
      </c>
      <c r="G49" s="14">
        <f>'G) Solidarité'!I38</f>
        <v>126232.62908103396</v>
      </c>
      <c r="H49" s="19">
        <f t="shared" si="1"/>
        <v>212007.27696835791</v>
      </c>
      <c r="I49" s="66">
        <f t="shared" si="2"/>
        <v>384014.3179686509</v>
      </c>
    </row>
    <row r="50" spans="1:9" x14ac:dyDescent="0.25">
      <c r="A50" s="57">
        <f>'A) Base RI'!A41</f>
        <v>5464</v>
      </c>
      <c r="B50" s="40" t="str">
        <f>'A) Base RI'!B41</f>
        <v>Vully-les-Lacs</v>
      </c>
      <c r="C50" s="39">
        <f>'D) Ecrêtage'!M39</f>
        <v>96310.385124378095</v>
      </c>
      <c r="D50" s="19">
        <f>'A) Base RI'!U41</f>
        <v>2935</v>
      </c>
      <c r="E50" s="14">
        <f t="shared" si="0"/>
        <v>1811274.1688417902</v>
      </c>
      <c r="F50" s="19">
        <f>'F) Population'!K42</f>
        <v>766302.81690140849</v>
      </c>
      <c r="G50" s="14">
        <f>'G) Solidarité'!I39</f>
        <v>656547.77924690885</v>
      </c>
      <c r="H50" s="19">
        <f t="shared" si="1"/>
        <v>1422850.5961483172</v>
      </c>
      <c r="I50" s="66">
        <f t="shared" si="2"/>
        <v>388423.57269347296</v>
      </c>
    </row>
    <row r="51" spans="1:9" x14ac:dyDescent="0.25">
      <c r="A51" s="57">
        <f>'A) Base RI'!A42</f>
        <v>5471</v>
      </c>
      <c r="B51" s="40" t="str">
        <f>'A) Base RI'!B42</f>
        <v>Bettens</v>
      </c>
      <c r="C51" s="39">
        <f>'D) Ecrêtage'!M40</f>
        <v>16449.086587301586</v>
      </c>
      <c r="D51" s="19">
        <f>'A) Base RI'!U42</f>
        <v>584</v>
      </c>
      <c r="E51" s="14">
        <f t="shared" si="0"/>
        <v>309351.95200543234</v>
      </c>
      <c r="F51" s="19">
        <f>'F) Population'!K43</f>
        <v>57577.464788732388</v>
      </c>
      <c r="G51" s="14">
        <f>'G) Solidarité'!I40</f>
        <v>195640.47609464775</v>
      </c>
      <c r="H51" s="19">
        <f t="shared" si="1"/>
        <v>253217.94088338013</v>
      </c>
      <c r="I51" s="66">
        <f t="shared" si="2"/>
        <v>56134.011122052209</v>
      </c>
    </row>
    <row r="52" spans="1:9" x14ac:dyDescent="0.25">
      <c r="A52" s="57">
        <f>'A) Base RI'!A43</f>
        <v>5472</v>
      </c>
      <c r="B52" s="40" t="str">
        <f>'A) Base RI'!B43</f>
        <v>Bournens</v>
      </c>
      <c r="C52" s="39">
        <f>'D) Ecrêtage'!M41</f>
        <v>14191.801124999998</v>
      </c>
      <c r="D52" s="19">
        <f>'A) Base RI'!U43</f>
        <v>370</v>
      </c>
      <c r="E52" s="14">
        <f t="shared" si="0"/>
        <v>266900.01035564172</v>
      </c>
      <c r="F52" s="19">
        <f>'F) Population'!K44</f>
        <v>36478.873239436616</v>
      </c>
      <c r="G52" s="14">
        <f>'G) Solidarité'!I41</f>
        <v>65672.339158260744</v>
      </c>
      <c r="H52" s="19">
        <f t="shared" si="1"/>
        <v>102151.21239769735</v>
      </c>
      <c r="I52" s="66">
        <f t="shared" si="2"/>
        <v>164748.79795794436</v>
      </c>
    </row>
    <row r="53" spans="1:9" x14ac:dyDescent="0.25">
      <c r="A53" s="57">
        <f>'A) Base RI'!A44</f>
        <v>5473</v>
      </c>
      <c r="B53" s="40" t="str">
        <f>'A) Base RI'!B44</f>
        <v>Boussens</v>
      </c>
      <c r="C53" s="39">
        <f>'D) Ecrêtage'!M42</f>
        <v>32757.052898550723</v>
      </c>
      <c r="D53" s="19">
        <f>'A) Base RI'!U44</f>
        <v>980</v>
      </c>
      <c r="E53" s="14">
        <f t="shared" si="0"/>
        <v>616049.90662124229</v>
      </c>
      <c r="F53" s="19">
        <f>'F) Population'!K45</f>
        <v>96619.718309859149</v>
      </c>
      <c r="G53" s="14">
        <f>'G) Solidarité'!I42</f>
        <v>221135.00971765639</v>
      </c>
      <c r="H53" s="19">
        <f t="shared" si="1"/>
        <v>317754.72802751552</v>
      </c>
      <c r="I53" s="66">
        <f t="shared" si="2"/>
        <v>298295.17859372677</v>
      </c>
    </row>
    <row r="54" spans="1:9" x14ac:dyDescent="0.25">
      <c r="A54" s="57">
        <f>'A) Base RI'!A45</f>
        <v>5474</v>
      </c>
      <c r="B54" s="40" t="str">
        <f>'A) Base RI'!B45</f>
        <v>La Chaux (Cossonay)</v>
      </c>
      <c r="C54" s="39">
        <f>'D) Ecrêtage'!M43</f>
        <v>12924.858852813852</v>
      </c>
      <c r="D54" s="19">
        <f>'A) Base RI'!U45</f>
        <v>421</v>
      </c>
      <c r="E54" s="14">
        <f t="shared" si="0"/>
        <v>243073.09067235992</v>
      </c>
      <c r="F54" s="19">
        <f>'F) Population'!K46</f>
        <v>41507.042253521126</v>
      </c>
      <c r="G54" s="14">
        <f>'G) Solidarité'!I43</f>
        <v>145428.86548543858</v>
      </c>
      <c r="H54" s="19">
        <f t="shared" si="1"/>
        <v>186935.90773895971</v>
      </c>
      <c r="I54" s="66">
        <f t="shared" si="2"/>
        <v>56137.18293340021</v>
      </c>
    </row>
    <row r="55" spans="1:9" x14ac:dyDescent="0.25">
      <c r="A55" s="57">
        <f>'A) Base RI'!A46</f>
        <v>5475</v>
      </c>
      <c r="B55" s="40" t="str">
        <f>'A) Base RI'!B46</f>
        <v>Chavannes-le-Veyron</v>
      </c>
      <c r="C55" s="39">
        <f>'D) Ecrêtage'!M44</f>
        <v>2672.7945454545452</v>
      </c>
      <c r="D55" s="19">
        <f>'A) Base RI'!U46</f>
        <v>143</v>
      </c>
      <c r="E55" s="14">
        <f t="shared" si="0"/>
        <v>50266.26892365791</v>
      </c>
      <c r="F55" s="19">
        <f>'F) Population'!K47</f>
        <v>14098.591549295774</v>
      </c>
      <c r="G55" s="14">
        <f>'G) Solidarité'!I44</f>
        <v>90000.806075067128</v>
      </c>
      <c r="H55" s="19">
        <f t="shared" si="1"/>
        <v>104099.3976243629</v>
      </c>
      <c r="I55" s="66">
        <f t="shared" si="2"/>
        <v>-53833.12870070499</v>
      </c>
    </row>
    <row r="56" spans="1:9" x14ac:dyDescent="0.25">
      <c r="A56" s="57">
        <f>'A) Base RI'!A47</f>
        <v>5476</v>
      </c>
      <c r="B56" s="40" t="str">
        <f>'A) Base RI'!B47</f>
        <v>Chevilly</v>
      </c>
      <c r="C56" s="39">
        <f>'D) Ecrêtage'!M45</f>
        <v>10247.952162162162</v>
      </c>
      <c r="D56" s="19">
        <f>'A) Base RI'!U47</f>
        <v>299</v>
      </c>
      <c r="E56" s="14">
        <f t="shared" si="0"/>
        <v>192729.48613879355</v>
      </c>
      <c r="F56" s="19">
        <f>'F) Population'!K48</f>
        <v>29478.873239436616</v>
      </c>
      <c r="G56" s="14">
        <f>'G) Solidarité'!I45</f>
        <v>72060.99889165604</v>
      </c>
      <c r="H56" s="19">
        <f t="shared" si="1"/>
        <v>101539.87213109265</v>
      </c>
      <c r="I56" s="66">
        <f t="shared" si="2"/>
        <v>91189.614007700904</v>
      </c>
    </row>
    <row r="57" spans="1:9" x14ac:dyDescent="0.25">
      <c r="A57" s="57">
        <f>'A) Base RI'!A48</f>
        <v>5477</v>
      </c>
      <c r="B57" s="40" t="str">
        <f>'A) Base RI'!B48</f>
        <v>Cossonay</v>
      </c>
      <c r="C57" s="39">
        <f>'D) Ecrêtage'!M46</f>
        <v>125937.08528138528</v>
      </c>
      <c r="D57" s="19">
        <f>'A) Base RI'!U48</f>
        <v>3632</v>
      </c>
      <c r="E57" s="14">
        <f t="shared" si="0"/>
        <v>2368452.6769861332</v>
      </c>
      <c r="F57" s="19">
        <f>'F) Population'!K49</f>
        <v>1100281.690140845</v>
      </c>
      <c r="G57" s="14">
        <f>'G) Solidarité'!I46</f>
        <v>739838.47635831416</v>
      </c>
      <c r="H57" s="19">
        <f t="shared" si="1"/>
        <v>1840120.1664991593</v>
      </c>
      <c r="I57" s="66">
        <f t="shared" si="2"/>
        <v>528332.51048697392</v>
      </c>
    </row>
    <row r="58" spans="1:9" x14ac:dyDescent="0.25">
      <c r="A58" s="57">
        <f>'A) Base RI'!A49</f>
        <v>5478</v>
      </c>
      <c r="B58" s="40" t="str">
        <f>'A) Base RI'!B49</f>
        <v>Cottens</v>
      </c>
      <c r="C58" s="39">
        <f>'D) Ecrêtage'!M47</f>
        <v>14465.317702702703</v>
      </c>
      <c r="D58" s="19">
        <f>'A) Base RI'!U49</f>
        <v>483</v>
      </c>
      <c r="E58" s="14">
        <f t="shared" si="0"/>
        <v>272043.93654078909</v>
      </c>
      <c r="F58" s="19">
        <f>'F) Population'!K50</f>
        <v>47619.718309859149</v>
      </c>
      <c r="G58" s="14">
        <f>'G) Solidarité'!I47</f>
        <v>162024.09549738056</v>
      </c>
      <c r="H58" s="19">
        <f t="shared" si="1"/>
        <v>209643.8138072397</v>
      </c>
      <c r="I58" s="66">
        <f t="shared" si="2"/>
        <v>62400.12273354939</v>
      </c>
    </row>
    <row r="59" spans="1:9" x14ac:dyDescent="0.25">
      <c r="A59" s="57">
        <f>'A) Base RI'!A50</f>
        <v>5479</v>
      </c>
      <c r="B59" s="40" t="str">
        <f>'A) Base RI'!B50</f>
        <v>Cuarnens</v>
      </c>
      <c r="C59" s="39">
        <f>'D) Ecrêtage'!M48</f>
        <v>11562.819350649352</v>
      </c>
      <c r="D59" s="19">
        <f>'A) Base RI'!U50</f>
        <v>481</v>
      </c>
      <c r="E59" s="14">
        <f t="shared" si="0"/>
        <v>217457.712185121</v>
      </c>
      <c r="F59" s="19">
        <f>'F) Population'!K51</f>
        <v>47422.535211267605</v>
      </c>
      <c r="G59" s="14">
        <f>'G) Solidarité'!I48</f>
        <v>241908.38315687978</v>
      </c>
      <c r="H59" s="19">
        <f t="shared" si="1"/>
        <v>289330.9183681474</v>
      </c>
      <c r="I59" s="66">
        <f t="shared" si="2"/>
        <v>-71873.206183026399</v>
      </c>
    </row>
    <row r="60" spans="1:9" x14ac:dyDescent="0.25">
      <c r="A60" s="57">
        <f>'A) Base RI'!A51</f>
        <v>5480</v>
      </c>
      <c r="B60" s="40" t="str">
        <f>'A) Base RI'!B51</f>
        <v>Daillens</v>
      </c>
      <c r="C60" s="39">
        <f>'D) Ecrêtage'!M49</f>
        <v>34852.093380281687</v>
      </c>
      <c r="D60" s="19">
        <f>'A) Base RI'!U51</f>
        <v>958</v>
      </c>
      <c r="E60" s="14">
        <f t="shared" si="0"/>
        <v>655450.5662939928</v>
      </c>
      <c r="F60" s="19">
        <f>'F) Population'!K52</f>
        <v>94450.704225352107</v>
      </c>
      <c r="G60" s="14">
        <f>'G) Solidarité'!I49</f>
        <v>171987.68595852223</v>
      </c>
      <c r="H60" s="19">
        <f t="shared" si="1"/>
        <v>266438.39018387435</v>
      </c>
      <c r="I60" s="66">
        <f t="shared" si="2"/>
        <v>389012.17611011845</v>
      </c>
    </row>
    <row r="61" spans="1:9" x14ac:dyDescent="0.25">
      <c r="A61" s="57">
        <f>'A) Base RI'!A52</f>
        <v>5481</v>
      </c>
      <c r="B61" s="40" t="str">
        <f>'A) Base RI'!B52</f>
        <v>Dizy</v>
      </c>
      <c r="C61" s="39">
        <f>'D) Ecrêtage'!M50</f>
        <v>8900.2526582278479</v>
      </c>
      <c r="D61" s="19">
        <f>'A) Base RI'!U52</f>
        <v>222</v>
      </c>
      <c r="E61" s="14">
        <f t="shared" si="0"/>
        <v>167383.79475063566</v>
      </c>
      <c r="F61" s="19">
        <f>'F) Population'!K53</f>
        <v>21887.32394366197</v>
      </c>
      <c r="G61" s="14">
        <f>'G) Solidarité'!I50</f>
        <v>28838.680436973322</v>
      </c>
      <c r="H61" s="19">
        <f t="shared" si="1"/>
        <v>50726.004380635291</v>
      </c>
      <c r="I61" s="66">
        <f t="shared" si="2"/>
        <v>116657.79037000037</v>
      </c>
    </row>
    <row r="62" spans="1:9" x14ac:dyDescent="0.25">
      <c r="A62" s="57">
        <f>'A) Base RI'!A53</f>
        <v>5482</v>
      </c>
      <c r="B62" s="40" t="str">
        <f>'A) Base RI'!B53</f>
        <v>Eclépens</v>
      </c>
      <c r="C62" s="39">
        <f>'D) Ecrêtage'!M51</f>
        <v>26792.007391304349</v>
      </c>
      <c r="D62" s="19">
        <f>'A) Base RI'!U53</f>
        <v>1043</v>
      </c>
      <c r="E62" s="14">
        <f t="shared" si="0"/>
        <v>503867.47863813239</v>
      </c>
      <c r="F62" s="19">
        <f>'F) Population'!K54</f>
        <v>113429.57746478873</v>
      </c>
      <c r="G62" s="14">
        <f>'G) Solidarité'!I51</f>
        <v>172701.53104855356</v>
      </c>
      <c r="H62" s="19">
        <f t="shared" si="1"/>
        <v>286131.10851334227</v>
      </c>
      <c r="I62" s="66">
        <f t="shared" si="2"/>
        <v>217736.37012479012</v>
      </c>
    </row>
    <row r="63" spans="1:9" x14ac:dyDescent="0.25">
      <c r="A63" s="57">
        <f>'A) Base RI'!A54</f>
        <v>5483</v>
      </c>
      <c r="B63" s="40" t="str">
        <f>'A) Base RI'!B54</f>
        <v>Ferreyres</v>
      </c>
      <c r="C63" s="39">
        <f>'D) Ecrêtage'!M52</f>
        <v>9773.8555263157887</v>
      </c>
      <c r="D63" s="19">
        <f>'A) Base RI'!U54</f>
        <v>316</v>
      </c>
      <c r="E63" s="14">
        <f t="shared" si="0"/>
        <v>183813.32420117536</v>
      </c>
      <c r="F63" s="19">
        <f>'F) Population'!K55</f>
        <v>31154.929577464787</v>
      </c>
      <c r="G63" s="14">
        <f>'G) Solidarité'!I52</f>
        <v>104670.43345154147</v>
      </c>
      <c r="H63" s="19">
        <f t="shared" si="1"/>
        <v>135825.36302900626</v>
      </c>
      <c r="I63" s="66">
        <f t="shared" si="2"/>
        <v>47987.961172169104</v>
      </c>
    </row>
    <row r="64" spans="1:9" x14ac:dyDescent="0.25">
      <c r="A64" s="57">
        <f>'A) Base RI'!A55</f>
        <v>5484</v>
      </c>
      <c r="B64" s="40" t="str">
        <f>'A) Base RI'!B55</f>
        <v>Gollion</v>
      </c>
      <c r="C64" s="39">
        <f>'D) Ecrêtage'!M53</f>
        <v>29063.721351351356</v>
      </c>
      <c r="D64" s="19">
        <f>'A) Base RI'!U55</f>
        <v>902</v>
      </c>
      <c r="E64" s="14">
        <f t="shared" si="0"/>
        <v>546590.77176500123</v>
      </c>
      <c r="F64" s="19">
        <f>'F) Population'!K56</f>
        <v>88929.57746478873</v>
      </c>
      <c r="G64" s="14">
        <f>'G) Solidarité'!I53</f>
        <v>257818.40016127616</v>
      </c>
      <c r="H64" s="19">
        <f t="shared" si="1"/>
        <v>346747.97762606491</v>
      </c>
      <c r="I64" s="66">
        <f t="shared" si="2"/>
        <v>199842.79413893633</v>
      </c>
    </row>
    <row r="65" spans="1:9" x14ac:dyDescent="0.25">
      <c r="A65" s="57">
        <f>'A) Base RI'!A56</f>
        <v>5485</v>
      </c>
      <c r="B65" s="40" t="str">
        <f>'A) Base RI'!B56</f>
        <v>Grancy</v>
      </c>
      <c r="C65" s="39">
        <f>'D) Ecrêtage'!M54</f>
        <v>15073.947999999999</v>
      </c>
      <c r="D65" s="19">
        <f>'A) Base RI'!U56</f>
        <v>408</v>
      </c>
      <c r="E65" s="14">
        <f t="shared" si="0"/>
        <v>283490.22381754976</v>
      </c>
      <c r="F65" s="19">
        <f>'F) Population'!K57</f>
        <v>40225.352112676053</v>
      </c>
      <c r="G65" s="14">
        <f>'G) Solidarité'!I54</f>
        <v>66687.187212429912</v>
      </c>
      <c r="H65" s="19">
        <f t="shared" si="1"/>
        <v>106912.53932510596</v>
      </c>
      <c r="I65" s="66">
        <f t="shared" si="2"/>
        <v>176577.6844924438</v>
      </c>
    </row>
    <row r="66" spans="1:9" x14ac:dyDescent="0.25">
      <c r="A66" s="57">
        <f>'A) Base RI'!A57</f>
        <v>5486</v>
      </c>
      <c r="B66" s="40" t="str">
        <f>'A) Base RI'!B57</f>
        <v>L'Isle</v>
      </c>
      <c r="C66" s="39">
        <f>'D) Ecrêtage'!M55</f>
        <v>29834.586052631581</v>
      </c>
      <c r="D66" s="19">
        <f>'A) Base RI'!U57</f>
        <v>1033</v>
      </c>
      <c r="E66" s="14">
        <f t="shared" si="0"/>
        <v>561088.14210878767</v>
      </c>
      <c r="F66" s="19">
        <f>'F) Population'!K58</f>
        <v>109978.87323943662</v>
      </c>
      <c r="G66" s="14">
        <f>'G) Solidarité'!I55</f>
        <v>390904.24479389464</v>
      </c>
      <c r="H66" s="19">
        <f t="shared" si="1"/>
        <v>500883.11803333124</v>
      </c>
      <c r="I66" s="66">
        <f t="shared" si="2"/>
        <v>60205.024075456429</v>
      </c>
    </row>
    <row r="67" spans="1:9" x14ac:dyDescent="0.25">
      <c r="A67" s="57">
        <f>'A) Base RI'!A58</f>
        <v>5487</v>
      </c>
      <c r="B67" s="40" t="str">
        <f>'A) Base RI'!B58</f>
        <v>Lussery-Villars</v>
      </c>
      <c r="C67" s="39">
        <f>'D) Ecrêtage'!M56</f>
        <v>13143.798970588234</v>
      </c>
      <c r="D67" s="19">
        <f>'A) Base RI'!U58</f>
        <v>462</v>
      </c>
      <c r="E67" s="14">
        <f t="shared" si="0"/>
        <v>247190.6173475548</v>
      </c>
      <c r="F67" s="19">
        <f>'F) Population'!K59</f>
        <v>45549.295774647886</v>
      </c>
      <c r="G67" s="14">
        <f>'G) Solidarité'!I56</f>
        <v>143637.29835922245</v>
      </c>
      <c r="H67" s="19">
        <f t="shared" si="1"/>
        <v>189186.59413387033</v>
      </c>
      <c r="I67" s="66">
        <f t="shared" si="2"/>
        <v>58004.023213684472</v>
      </c>
    </row>
    <row r="68" spans="1:9" x14ac:dyDescent="0.25">
      <c r="A68" s="57">
        <f>'A) Base RI'!A59</f>
        <v>5488</v>
      </c>
      <c r="B68" s="40" t="str">
        <f>'A) Base RI'!B59</f>
        <v>Mauraz</v>
      </c>
      <c r="C68" s="39">
        <f>'D) Ecrêtage'!M57</f>
        <v>1604.8968918918922</v>
      </c>
      <c r="D68" s="19">
        <f>'A) Base RI'!U59</f>
        <v>53</v>
      </c>
      <c r="E68" s="14">
        <f t="shared" si="0"/>
        <v>30182.708543675653</v>
      </c>
      <c r="F68" s="19">
        <f>'F) Population'!K60</f>
        <v>5225.3521126760561</v>
      </c>
      <c r="G68" s="14">
        <f>'G) Solidarité'!I57</f>
        <v>17394.603670850065</v>
      </c>
      <c r="H68" s="19">
        <f t="shared" si="1"/>
        <v>22619.955783526122</v>
      </c>
      <c r="I68" s="66">
        <f t="shared" si="2"/>
        <v>7562.7527601495312</v>
      </c>
    </row>
    <row r="69" spans="1:9" x14ac:dyDescent="0.25">
      <c r="A69" s="57">
        <f>'A) Base RI'!A60</f>
        <v>5489</v>
      </c>
      <c r="B69" s="40" t="str">
        <f>'A) Base RI'!B60</f>
        <v>Mex</v>
      </c>
      <c r="C69" s="39">
        <f>'D) Ecrêtage'!M58</f>
        <v>45606.023081106548</v>
      </c>
      <c r="D69" s="19">
        <f>'A) Base RI'!U60</f>
        <v>710</v>
      </c>
      <c r="E69" s="14">
        <f t="shared" si="0"/>
        <v>857695.78684305109</v>
      </c>
      <c r="F69" s="19">
        <f>'F) Population'!K61</f>
        <v>70000</v>
      </c>
      <c r="G69" s="14">
        <f>'G) Solidarité'!I58</f>
        <v>0</v>
      </c>
      <c r="H69" s="19">
        <f t="shared" si="1"/>
        <v>70000</v>
      </c>
      <c r="I69" s="66">
        <f t="shared" si="2"/>
        <v>787695.78684305109</v>
      </c>
    </row>
    <row r="70" spans="1:9" x14ac:dyDescent="0.25">
      <c r="A70" s="57">
        <f>'A) Base RI'!A61</f>
        <v>5490</v>
      </c>
      <c r="B70" s="40" t="str">
        <f>'A) Base RI'!B61</f>
        <v>Moiry</v>
      </c>
      <c r="C70" s="39">
        <f>'D) Ecrêtage'!M59</f>
        <v>7445.9272839506175</v>
      </c>
      <c r="D70" s="19">
        <f>'A) Base RI'!U61</f>
        <v>304</v>
      </c>
      <c r="E70" s="14">
        <f t="shared" si="0"/>
        <v>140032.82963801926</v>
      </c>
      <c r="F70" s="19">
        <f>'F) Population'!K62</f>
        <v>29971.830985915491</v>
      </c>
      <c r="G70" s="14">
        <f>'G) Solidarité'!I59</f>
        <v>165576.02320418254</v>
      </c>
      <c r="H70" s="19">
        <f t="shared" si="1"/>
        <v>195547.85419009803</v>
      </c>
      <c r="I70" s="66">
        <f t="shared" si="2"/>
        <v>-55515.024552078772</v>
      </c>
    </row>
    <row r="71" spans="1:9" x14ac:dyDescent="0.25">
      <c r="A71" s="57">
        <f>'A) Base RI'!A62</f>
        <v>5491</v>
      </c>
      <c r="B71" s="40" t="str">
        <f>'A) Base RI'!B62</f>
        <v>Mont-la-Ville</v>
      </c>
      <c r="C71" s="39">
        <f>'D) Ecrêtage'!M60</f>
        <v>8756.4323684210522</v>
      </c>
      <c r="D71" s="19">
        <f>'A) Base RI'!U62</f>
        <v>402</v>
      </c>
      <c r="E71" s="14">
        <f t="shared" si="0"/>
        <v>164679.01919038873</v>
      </c>
      <c r="F71" s="19">
        <f>'F) Population'!K63</f>
        <v>39633.802816901407</v>
      </c>
      <c r="G71" s="14">
        <f>'G) Solidarité'!I60</f>
        <v>217857.37048841719</v>
      </c>
      <c r="H71" s="19">
        <f t="shared" si="1"/>
        <v>257491.1733053186</v>
      </c>
      <c r="I71" s="66">
        <f t="shared" si="2"/>
        <v>-92812.154114929872</v>
      </c>
    </row>
    <row r="72" spans="1:9" x14ac:dyDescent="0.25">
      <c r="A72" s="57">
        <f>'A) Base RI'!A63</f>
        <v>5492</v>
      </c>
      <c r="B72" s="40" t="str">
        <f>'A) Base RI'!B63</f>
        <v>Montricher</v>
      </c>
      <c r="C72" s="39">
        <f>'D) Ecrêtage'!M61</f>
        <v>159210.58735959791</v>
      </c>
      <c r="D72" s="19">
        <f>'A) Base RI'!U63</f>
        <v>951</v>
      </c>
      <c r="E72" s="14">
        <f t="shared" si="0"/>
        <v>2994215.2543378798</v>
      </c>
      <c r="F72" s="19">
        <f>'F) Population'!K64</f>
        <v>93760.563380281688</v>
      </c>
      <c r="G72" s="14">
        <f>'G) Solidarité'!I61</f>
        <v>0</v>
      </c>
      <c r="H72" s="19">
        <f t="shared" si="1"/>
        <v>93760.563380281688</v>
      </c>
      <c r="I72" s="66">
        <f t="shared" si="2"/>
        <v>2900454.6909575979</v>
      </c>
    </row>
    <row r="73" spans="1:9" x14ac:dyDescent="0.25">
      <c r="A73" s="57">
        <f>'A) Base RI'!A64</f>
        <v>5493</v>
      </c>
      <c r="B73" s="40" t="str">
        <f>'A) Base RI'!B64</f>
        <v>Orny</v>
      </c>
      <c r="C73" s="39">
        <f>'D) Ecrêtage'!M62</f>
        <v>9079.112581664911</v>
      </c>
      <c r="D73" s="19">
        <f>'A) Base RI'!U64</f>
        <v>371</v>
      </c>
      <c r="E73" s="14">
        <f t="shared" si="0"/>
        <v>170747.54787802888</v>
      </c>
      <c r="F73" s="19">
        <f>'F) Population'!K65</f>
        <v>36577.464788732395</v>
      </c>
      <c r="G73" s="14">
        <f>'G) Solidarité'!I62</f>
        <v>164291.4975190562</v>
      </c>
      <c r="H73" s="19">
        <f t="shared" si="1"/>
        <v>200868.96230778861</v>
      </c>
      <c r="I73" s="66">
        <f t="shared" si="2"/>
        <v>-30121.414429759723</v>
      </c>
    </row>
    <row r="74" spans="1:9" x14ac:dyDescent="0.25">
      <c r="A74" s="57">
        <f>'A) Base RI'!A65</f>
        <v>5494</v>
      </c>
      <c r="B74" s="40" t="str">
        <f>'A) Base RI'!B65</f>
        <v>Pampigny</v>
      </c>
      <c r="C74" s="39">
        <f>'D) Ecrêtage'!M63</f>
        <v>36797.992425396827</v>
      </c>
      <c r="D74" s="19">
        <f>'A) Base RI'!U65</f>
        <v>1116</v>
      </c>
      <c r="E74" s="14">
        <f t="shared" si="0"/>
        <v>692046.37754569994</v>
      </c>
      <c r="F74" s="19">
        <f>'F) Population'!K66</f>
        <v>138619.71830985916</v>
      </c>
      <c r="G74" s="14">
        <f>'G) Solidarité'!I63</f>
        <v>308848.67335915304</v>
      </c>
      <c r="H74" s="19">
        <f t="shared" si="1"/>
        <v>447468.3916690122</v>
      </c>
      <c r="I74" s="66">
        <f t="shared" si="2"/>
        <v>244577.98587668774</v>
      </c>
    </row>
    <row r="75" spans="1:9" x14ac:dyDescent="0.25">
      <c r="A75" s="57">
        <f>'A) Base RI'!A66</f>
        <v>5495</v>
      </c>
      <c r="B75" s="40" t="str">
        <f>'A) Base RI'!B66</f>
        <v>Penthalaz</v>
      </c>
      <c r="C75" s="39">
        <f>'D) Ecrêtage'!M64</f>
        <v>99436.02810810809</v>
      </c>
      <c r="D75" s="19">
        <f>'A) Base RI'!U66</f>
        <v>3252</v>
      </c>
      <c r="E75" s="14">
        <f t="shared" si="0"/>
        <v>1870056.9926269969</v>
      </c>
      <c r="F75" s="19">
        <f>'F) Population'!K67</f>
        <v>912957.74647887319</v>
      </c>
      <c r="G75" s="14">
        <f>'G) Solidarité'!I64</f>
        <v>1046300.4240649103</v>
      </c>
      <c r="H75" s="19">
        <f t="shared" si="1"/>
        <v>1959258.1705437833</v>
      </c>
      <c r="I75" s="66">
        <f t="shared" si="2"/>
        <v>-89201.177916786401</v>
      </c>
    </row>
    <row r="76" spans="1:9" x14ac:dyDescent="0.25">
      <c r="A76" s="57">
        <f>'A) Base RI'!A67</f>
        <v>5496</v>
      </c>
      <c r="B76" s="40" t="str">
        <f>'A) Base RI'!B67</f>
        <v>Penthaz</v>
      </c>
      <c r="C76" s="39">
        <f>'D) Ecrêtage'!M65</f>
        <v>52905.64732394366</v>
      </c>
      <c r="D76" s="19">
        <f>'A) Base RI'!U67</f>
        <v>1703</v>
      </c>
      <c r="E76" s="14">
        <f t="shared" si="0"/>
        <v>994977.14872554573</v>
      </c>
      <c r="F76" s="19">
        <f>'F) Population'!K68</f>
        <v>341176.05633802817</v>
      </c>
      <c r="G76" s="14">
        <f>'G) Solidarité'!I65</f>
        <v>487649.35819426802</v>
      </c>
      <c r="H76" s="19">
        <f t="shared" si="1"/>
        <v>828825.41453229613</v>
      </c>
      <c r="I76" s="66">
        <f t="shared" si="2"/>
        <v>166151.73419324961</v>
      </c>
    </row>
    <row r="77" spans="1:9" x14ac:dyDescent="0.25">
      <c r="A77" s="57">
        <f>'A) Base RI'!A68</f>
        <v>5497</v>
      </c>
      <c r="B77" s="40" t="str">
        <f>'A) Base RI'!B68</f>
        <v>Pompaples</v>
      </c>
      <c r="C77" s="39">
        <f>'D) Ecrêtage'!M66</f>
        <v>22272.608181818188</v>
      </c>
      <c r="D77" s="19">
        <f>'A) Base RI'!U68</f>
        <v>859</v>
      </c>
      <c r="E77" s="14">
        <f t="shared" si="0"/>
        <v>418872.79155163787</v>
      </c>
      <c r="F77" s="19">
        <f>'F) Population'!K69</f>
        <v>84690.140845070418</v>
      </c>
      <c r="G77" s="14">
        <f>'G) Solidarité'!I66</f>
        <v>289206.93315762607</v>
      </c>
      <c r="H77" s="19">
        <f t="shared" si="1"/>
        <v>373897.07400269649</v>
      </c>
      <c r="I77" s="66">
        <f t="shared" si="2"/>
        <v>44975.717548941378</v>
      </c>
    </row>
    <row r="78" spans="1:9" x14ac:dyDescent="0.25">
      <c r="A78" s="57">
        <f>'A) Base RI'!A69</f>
        <v>5498</v>
      </c>
      <c r="B78" s="40" t="str">
        <f>'A) Base RI'!B69</f>
        <v>La Sarraz</v>
      </c>
      <c r="C78" s="39">
        <f>'D) Ecrêtage'!M67</f>
        <v>73804.61909090908</v>
      </c>
      <c r="D78" s="19">
        <f>'A) Base RI'!U69</f>
        <v>2567</v>
      </c>
      <c r="E78" s="14">
        <f t="shared" si="0"/>
        <v>1388016.4628968353</v>
      </c>
      <c r="F78" s="19">
        <f>'F) Population'!K70</f>
        <v>639316.90140845068</v>
      </c>
      <c r="G78" s="14">
        <f>'G) Solidarité'!I67</f>
        <v>738387.48876128928</v>
      </c>
      <c r="H78" s="19">
        <f t="shared" si="1"/>
        <v>1377704.39016974</v>
      </c>
      <c r="I78" s="66">
        <f t="shared" si="2"/>
        <v>10312.072727095336</v>
      </c>
    </row>
    <row r="79" spans="1:9" x14ac:dyDescent="0.25">
      <c r="A79" s="57">
        <f>'A) Base RI'!A70</f>
        <v>5499</v>
      </c>
      <c r="B79" s="40" t="str">
        <f>'A) Base RI'!B70</f>
        <v>Senarclens</v>
      </c>
      <c r="C79" s="39">
        <f>'D) Ecrêtage'!M68</f>
        <v>18585.936788321167</v>
      </c>
      <c r="D79" s="19">
        <f>'A) Base RI'!U70</f>
        <v>459</v>
      </c>
      <c r="E79" s="14">
        <f t="shared" si="0"/>
        <v>349538.91176883457</v>
      </c>
      <c r="F79" s="19">
        <f>'F) Population'!K71</f>
        <v>45253.521126760563</v>
      </c>
      <c r="G79" s="14">
        <f>'G) Solidarité'!I68</f>
        <v>41385.279524088706</v>
      </c>
      <c r="H79" s="19">
        <f t="shared" si="1"/>
        <v>86638.800650849269</v>
      </c>
      <c r="I79" s="66">
        <f t="shared" si="2"/>
        <v>262900.11111798533</v>
      </c>
    </row>
    <row r="80" spans="1:9" x14ac:dyDescent="0.25">
      <c r="A80" s="57">
        <f>'A) Base RI'!A71</f>
        <v>5500</v>
      </c>
      <c r="B80" s="40" t="str">
        <f>'A) Base RI'!B71</f>
        <v>Sévery</v>
      </c>
      <c r="C80" s="39">
        <f>'D) Ecrêtage'!M69</f>
        <v>8028.7526973684207</v>
      </c>
      <c r="D80" s="19">
        <f>'A) Base RI'!U71</f>
        <v>243</v>
      </c>
      <c r="E80" s="14">
        <f t="shared" si="0"/>
        <v>150993.81390679668</v>
      </c>
      <c r="F80" s="19">
        <f>'F) Population'!K72</f>
        <v>23957.74647887324</v>
      </c>
      <c r="G80" s="14">
        <f>'G) Solidarité'!I69</f>
        <v>68679.45236705197</v>
      </c>
      <c r="H80" s="19">
        <f t="shared" si="1"/>
        <v>92637.198845925217</v>
      </c>
      <c r="I80" s="66">
        <f t="shared" si="2"/>
        <v>58356.615060871467</v>
      </c>
    </row>
    <row r="81" spans="1:9" x14ac:dyDescent="0.25">
      <c r="A81" s="57">
        <f>'A) Base RI'!A72</f>
        <v>5501</v>
      </c>
      <c r="B81" s="40" t="str">
        <f>'A) Base RI'!B72</f>
        <v>Sullens</v>
      </c>
      <c r="C81" s="39">
        <f>'D) Ecrêtage'!M70</f>
        <v>35737.650142857143</v>
      </c>
      <c r="D81" s="19">
        <f>'A) Base RI'!U72</f>
        <v>978</v>
      </c>
      <c r="E81" s="14">
        <f t="shared" ref="E81:E144" si="3">C81*E$15</f>
        <v>672104.90826370509</v>
      </c>
      <c r="F81" s="19">
        <f>'F) Population'!K73</f>
        <v>96422.535211267605</v>
      </c>
      <c r="G81" s="14">
        <f>'G) Solidarité'!I70</f>
        <v>167580.81931759469</v>
      </c>
      <c r="H81" s="19">
        <f t="shared" ref="H81:H144" si="4">F81+G81</f>
        <v>264003.35452886228</v>
      </c>
      <c r="I81" s="66">
        <f t="shared" ref="I81:I144" si="5">E81-H81</f>
        <v>408101.5537348428</v>
      </c>
    </row>
    <row r="82" spans="1:9" x14ac:dyDescent="0.25">
      <c r="A82" s="57">
        <f>'A) Base RI'!A73</f>
        <v>5503</v>
      </c>
      <c r="B82" s="40" t="str">
        <f>'A) Base RI'!B73</f>
        <v>Vufflens-la-Ville</v>
      </c>
      <c r="C82" s="39">
        <f>'D) Ecrêtage'!M71</f>
        <v>64927.66542288557</v>
      </c>
      <c r="D82" s="19">
        <f>'A) Base RI'!U73</f>
        <v>1252</v>
      </c>
      <c r="E82" s="14">
        <f t="shared" si="3"/>
        <v>1221070.8437288506</v>
      </c>
      <c r="F82" s="19">
        <f>'F) Population'!K74</f>
        <v>185549.29577464788</v>
      </c>
      <c r="G82" s="14">
        <f>'G) Solidarité'!I71</f>
        <v>0</v>
      </c>
      <c r="H82" s="19">
        <f t="shared" si="4"/>
        <v>185549.29577464788</v>
      </c>
      <c r="I82" s="66">
        <f t="shared" si="5"/>
        <v>1035521.5479542027</v>
      </c>
    </row>
    <row r="83" spans="1:9" x14ac:dyDescent="0.25">
      <c r="A83" s="57">
        <f>'A) Base RI'!A74</f>
        <v>5511</v>
      </c>
      <c r="B83" s="40" t="str">
        <f>'A) Base RI'!B74</f>
        <v>Assens</v>
      </c>
      <c r="C83" s="39">
        <f>'D) Ecrêtage'!M72</f>
        <v>39993.346428571429</v>
      </c>
      <c r="D83" s="19">
        <f>'A) Base RI'!U74</f>
        <v>1060</v>
      </c>
      <c r="E83" s="14">
        <f t="shared" si="3"/>
        <v>752140.2309632831</v>
      </c>
      <c r="F83" s="19">
        <f>'F) Population'!K75</f>
        <v>119295.77464788733</v>
      </c>
      <c r="G83" s="14">
        <f>'G) Solidarité'!I72</f>
        <v>157025.59822420648</v>
      </c>
      <c r="H83" s="19">
        <f t="shared" si="4"/>
        <v>276321.37287209381</v>
      </c>
      <c r="I83" s="66">
        <f t="shared" si="5"/>
        <v>475818.85809118929</v>
      </c>
    </row>
    <row r="84" spans="1:9" x14ac:dyDescent="0.25">
      <c r="A84" s="57">
        <f>'A) Base RI'!A75</f>
        <v>5512</v>
      </c>
      <c r="B84" s="40" t="str">
        <f>'A) Base RI'!B75</f>
        <v>Bercher</v>
      </c>
      <c r="C84" s="39">
        <f>'D) Ecrêtage'!M73</f>
        <v>35096.262278481016</v>
      </c>
      <c r="D84" s="19">
        <f>'A) Base RI'!U75</f>
        <v>1157</v>
      </c>
      <c r="E84" s="14">
        <f t="shared" si="3"/>
        <v>660042.56141032279</v>
      </c>
      <c r="F84" s="19">
        <f>'F) Population'!K76</f>
        <v>152767.60563380283</v>
      </c>
      <c r="G84" s="14">
        <f>'G) Solidarité'!I73</f>
        <v>431255.99203750206</v>
      </c>
      <c r="H84" s="19">
        <f t="shared" si="4"/>
        <v>584023.59767130483</v>
      </c>
      <c r="I84" s="66">
        <f t="shared" si="5"/>
        <v>76018.963739017956</v>
      </c>
    </row>
    <row r="85" spans="1:9" x14ac:dyDescent="0.25">
      <c r="A85" s="57">
        <f>'A) Base RI'!A76</f>
        <v>5513</v>
      </c>
      <c r="B85" s="40" t="str">
        <f>'A) Base RI'!B76</f>
        <v>Bioley-Orjulaz</v>
      </c>
      <c r="C85" s="39">
        <f>'D) Ecrêtage'!M74</f>
        <v>22441.228030303031</v>
      </c>
      <c r="D85" s="19">
        <f>'A) Base RI'!U76</f>
        <v>483</v>
      </c>
      <c r="E85" s="14">
        <f t="shared" si="3"/>
        <v>422043.96333669708</v>
      </c>
      <c r="F85" s="19">
        <f>'F) Population'!K77</f>
        <v>47619.718309859149</v>
      </c>
      <c r="G85" s="14">
        <f>'G) Solidarité'!I74</f>
        <v>0</v>
      </c>
      <c r="H85" s="19">
        <f t="shared" si="4"/>
        <v>47619.718309859149</v>
      </c>
      <c r="I85" s="66">
        <f t="shared" si="5"/>
        <v>374424.24502683792</v>
      </c>
    </row>
    <row r="86" spans="1:9" x14ac:dyDescent="0.25">
      <c r="A86" s="57">
        <f>'A) Base RI'!A77</f>
        <v>5514</v>
      </c>
      <c r="B86" s="40" t="str">
        <f>'A) Base RI'!B77</f>
        <v>Bottens</v>
      </c>
      <c r="C86" s="39">
        <f>'D) Ecrêtage'!M75</f>
        <v>40579.944927536235</v>
      </c>
      <c r="D86" s="19">
        <f>'A) Base RI'!U77</f>
        <v>1240</v>
      </c>
      <c r="E86" s="14">
        <f t="shared" si="3"/>
        <v>763172.17427120567</v>
      </c>
      <c r="F86" s="19">
        <f>'F) Population'!K78</f>
        <v>181408.45070422534</v>
      </c>
      <c r="G86" s="14">
        <f>'G) Solidarité'!I75</f>
        <v>296278.06309289054</v>
      </c>
      <c r="H86" s="19">
        <f t="shared" si="4"/>
        <v>477686.51379711588</v>
      </c>
      <c r="I86" s="66">
        <f t="shared" si="5"/>
        <v>285485.66047408979</v>
      </c>
    </row>
    <row r="87" spans="1:9" x14ac:dyDescent="0.25">
      <c r="A87" s="57">
        <f>'A) Base RI'!A78</f>
        <v>5515</v>
      </c>
      <c r="B87" s="40" t="str">
        <f>'A) Base RI'!B78</f>
        <v>Bretigny-sur-Morrens</v>
      </c>
      <c r="C87" s="39">
        <f>'D) Ecrêtage'!M76</f>
        <v>25654.980410958906</v>
      </c>
      <c r="D87" s="19">
        <f>'A) Base RI'!U78</f>
        <v>817</v>
      </c>
      <c r="E87" s="14">
        <f t="shared" si="3"/>
        <v>482483.82830679766</v>
      </c>
      <c r="F87" s="19">
        <f>'F) Population'!K79</f>
        <v>80549.295774647879</v>
      </c>
      <c r="G87" s="14">
        <f>'G) Solidarité'!I76</f>
        <v>241490.09244340396</v>
      </c>
      <c r="H87" s="19">
        <f t="shared" si="4"/>
        <v>322039.38821805187</v>
      </c>
      <c r="I87" s="66">
        <f t="shared" si="5"/>
        <v>160444.44008874579</v>
      </c>
    </row>
    <row r="88" spans="1:9" x14ac:dyDescent="0.25">
      <c r="A88" s="57">
        <f>'A) Base RI'!A79</f>
        <v>5516</v>
      </c>
      <c r="B88" s="40" t="str">
        <f>'A) Base RI'!B79</f>
        <v>Cugy</v>
      </c>
      <c r="C88" s="39">
        <f>'D) Ecrêtage'!M77</f>
        <v>107712.55485714282</v>
      </c>
      <c r="D88" s="19">
        <f>'A) Base RI'!U79</f>
        <v>2739</v>
      </c>
      <c r="E88" s="14">
        <f t="shared" si="3"/>
        <v>2025710.6024520935</v>
      </c>
      <c r="F88" s="19">
        <f>'F) Population'!K80</f>
        <v>698669.01408450701</v>
      </c>
      <c r="G88" s="14">
        <f>'G) Solidarité'!I77</f>
        <v>320335.67557401262</v>
      </c>
      <c r="H88" s="19">
        <f t="shared" si="4"/>
        <v>1019004.6896585196</v>
      </c>
      <c r="I88" s="66">
        <f t="shared" si="5"/>
        <v>1006705.9127935739</v>
      </c>
    </row>
    <row r="89" spans="1:9" x14ac:dyDescent="0.25">
      <c r="A89" s="57">
        <f>'A) Base RI'!A80</f>
        <v>5518</v>
      </c>
      <c r="B89" s="40" t="str">
        <f>'A) Base RI'!B80</f>
        <v>Echallens</v>
      </c>
      <c r="C89" s="39">
        <f>'D) Ecrêtage'!M78</f>
        <v>187267.45324324328</v>
      </c>
      <c r="D89" s="19">
        <f>'A) Base RI'!U80</f>
        <v>5677</v>
      </c>
      <c r="E89" s="14">
        <f t="shared" si="3"/>
        <v>3521870.4637742932</v>
      </c>
      <c r="F89" s="19">
        <f>'F) Population'!K81</f>
        <v>2175126.7605633801</v>
      </c>
      <c r="G89" s="14">
        <f>'G) Solidarité'!I78</f>
        <v>1527744.1215787784</v>
      </c>
      <c r="H89" s="19">
        <f t="shared" si="4"/>
        <v>3702870.8821421582</v>
      </c>
      <c r="I89" s="66">
        <f t="shared" si="5"/>
        <v>-181000.41836786503</v>
      </c>
    </row>
    <row r="90" spans="1:9" x14ac:dyDescent="0.25">
      <c r="A90" s="57">
        <f>'A) Base RI'!A81</f>
        <v>5520</v>
      </c>
      <c r="B90" s="40" t="str">
        <f>'A) Base RI'!B81</f>
        <v>Essertines-sur-Yverdon</v>
      </c>
      <c r="C90" s="39">
        <f>'D) Ecrêtage'!M79</f>
        <v>28096.496575342466</v>
      </c>
      <c r="D90" s="19">
        <f>'A) Base RI'!U81</f>
        <v>943</v>
      </c>
      <c r="E90" s="14">
        <f t="shared" si="3"/>
        <v>528400.52935255296</v>
      </c>
      <c r="F90" s="19">
        <f>'F) Population'!K82</f>
        <v>92971.830985915483</v>
      </c>
      <c r="G90" s="14">
        <f>'G) Solidarité'!I79</f>
        <v>310928.96021503262</v>
      </c>
      <c r="H90" s="19">
        <f t="shared" si="4"/>
        <v>403900.79120094812</v>
      </c>
      <c r="I90" s="66">
        <f t="shared" si="5"/>
        <v>124499.73815160483</v>
      </c>
    </row>
    <row r="91" spans="1:9" x14ac:dyDescent="0.25">
      <c r="A91" s="57">
        <f>'A) Base RI'!A82</f>
        <v>5521</v>
      </c>
      <c r="B91" s="40" t="str">
        <f>'A) Base RI'!B82</f>
        <v>Etagnières</v>
      </c>
      <c r="C91" s="39">
        <f>'D) Ecrêtage'!M80</f>
        <v>40658.047260273968</v>
      </c>
      <c r="D91" s="19">
        <f>'A) Base RI'!U82</f>
        <v>1118</v>
      </c>
      <c r="E91" s="14">
        <f t="shared" si="3"/>
        <v>764641.0162619364</v>
      </c>
      <c r="F91" s="19">
        <f>'F) Population'!K83</f>
        <v>139309.85915492958</v>
      </c>
      <c r="G91" s="14">
        <f>'G) Solidarité'!I80</f>
        <v>212494.80690567303</v>
      </c>
      <c r="H91" s="19">
        <f t="shared" si="4"/>
        <v>351804.66606060264</v>
      </c>
      <c r="I91" s="66">
        <f t="shared" si="5"/>
        <v>412836.35020133376</v>
      </c>
    </row>
    <row r="92" spans="1:9" x14ac:dyDescent="0.25">
      <c r="A92" s="57">
        <f>'A) Base RI'!A83</f>
        <v>5522</v>
      </c>
      <c r="B92" s="40" t="str">
        <f>'A) Base RI'!B83</f>
        <v>Fey</v>
      </c>
      <c r="C92" s="39">
        <f>'D) Ecrêtage'!M81</f>
        <v>19109.159333333333</v>
      </c>
      <c r="D92" s="19">
        <f>'A) Base RI'!U83</f>
        <v>696</v>
      </c>
      <c r="E92" s="14">
        <f t="shared" si="3"/>
        <v>359378.96670280985</v>
      </c>
      <c r="F92" s="19">
        <f>'F) Population'!K84</f>
        <v>68619.718309859149</v>
      </c>
      <c r="G92" s="14">
        <f>'G) Solidarité'!I81</f>
        <v>278751.81429233646</v>
      </c>
      <c r="H92" s="19">
        <f t="shared" si="4"/>
        <v>347371.53260219563</v>
      </c>
      <c r="I92" s="66">
        <f t="shared" si="5"/>
        <v>12007.43410061422</v>
      </c>
    </row>
    <row r="93" spans="1:9" x14ac:dyDescent="0.25">
      <c r="A93" s="57">
        <f>'A) Base RI'!A84</f>
        <v>5523</v>
      </c>
      <c r="B93" s="40" t="str">
        <f>'A) Base RI'!B84</f>
        <v>Froideville</v>
      </c>
      <c r="C93" s="39">
        <f>'D) Ecrêtage'!M82</f>
        <v>77198.057236842113</v>
      </c>
      <c r="D93" s="19">
        <f>'A) Base RI'!U84</f>
        <v>2459</v>
      </c>
      <c r="E93" s="14">
        <f t="shared" si="3"/>
        <v>1451835.6122996039</v>
      </c>
      <c r="F93" s="19">
        <f>'F) Population'!K85</f>
        <v>602049.29577464785</v>
      </c>
      <c r="G93" s="14">
        <f>'G) Solidarité'!I82</f>
        <v>788219.10892340785</v>
      </c>
      <c r="H93" s="19">
        <f t="shared" si="4"/>
        <v>1390268.4046980557</v>
      </c>
      <c r="I93" s="66">
        <f t="shared" si="5"/>
        <v>61567.207601548173</v>
      </c>
    </row>
    <row r="94" spans="1:9" x14ac:dyDescent="0.25">
      <c r="A94" s="57">
        <f>'A) Base RI'!A85</f>
        <v>5527</v>
      </c>
      <c r="B94" s="40" t="str">
        <f>'A) Base RI'!B85</f>
        <v>Morrens</v>
      </c>
      <c r="C94" s="39">
        <f>'D) Ecrêtage'!M83</f>
        <v>37560.717323943667</v>
      </c>
      <c r="D94" s="19">
        <f>'A) Base RI'!U85</f>
        <v>1074</v>
      </c>
      <c r="E94" s="14">
        <f t="shared" si="3"/>
        <v>706390.66559819027</v>
      </c>
      <c r="F94" s="19">
        <f>'F) Population'!K86</f>
        <v>124126.76056338029</v>
      </c>
      <c r="G94" s="14">
        <f>'G) Solidarité'!I83</f>
        <v>223196.10470980141</v>
      </c>
      <c r="H94" s="19">
        <f t="shared" si="4"/>
        <v>347322.8652731817</v>
      </c>
      <c r="I94" s="66">
        <f t="shared" si="5"/>
        <v>359067.80032500857</v>
      </c>
    </row>
    <row r="95" spans="1:9" x14ac:dyDescent="0.25">
      <c r="A95" s="57">
        <f>'A) Base RI'!A86</f>
        <v>5529</v>
      </c>
      <c r="B95" s="40" t="str">
        <f>'A) Base RI'!B86</f>
        <v>Oulens-sous-Echallens</v>
      </c>
      <c r="C95" s="39">
        <f>'D) Ecrêtage'!M84</f>
        <v>19874.862394366199</v>
      </c>
      <c r="D95" s="19">
        <f>'A) Base RI'!U86</f>
        <v>560</v>
      </c>
      <c r="E95" s="14">
        <f t="shared" si="3"/>
        <v>373779.2639673347</v>
      </c>
      <c r="F95" s="19">
        <f>'F) Population'!K87</f>
        <v>55211.267605633802</v>
      </c>
      <c r="G95" s="14">
        <f>'G) Solidarité'!I84</f>
        <v>110545.69183789552</v>
      </c>
      <c r="H95" s="19">
        <f t="shared" si="4"/>
        <v>165756.95944352931</v>
      </c>
      <c r="I95" s="66">
        <f t="shared" si="5"/>
        <v>208022.30452380539</v>
      </c>
    </row>
    <row r="96" spans="1:9" x14ac:dyDescent="0.25">
      <c r="A96" s="57">
        <f>'A) Base RI'!A87</f>
        <v>5530</v>
      </c>
      <c r="B96" s="40" t="str">
        <f>'A) Base RI'!B87</f>
        <v>Pailly</v>
      </c>
      <c r="C96" s="39">
        <f>'D) Ecrêtage'!M85</f>
        <v>15272.027655913982</v>
      </c>
      <c r="D96" s="19">
        <f>'A) Base RI'!U87</f>
        <v>534</v>
      </c>
      <c r="E96" s="14">
        <f t="shared" si="3"/>
        <v>287215.43542029365</v>
      </c>
      <c r="F96" s="19">
        <f>'F) Population'!K88</f>
        <v>52647.887323943658</v>
      </c>
      <c r="G96" s="14">
        <f>'G) Solidarité'!I85</f>
        <v>213738.95465947941</v>
      </c>
      <c r="H96" s="19">
        <f t="shared" si="4"/>
        <v>266386.84198342304</v>
      </c>
      <c r="I96" s="66">
        <f t="shared" si="5"/>
        <v>20828.593436870608</v>
      </c>
    </row>
    <row r="97" spans="1:9" x14ac:dyDescent="0.25">
      <c r="A97" s="57">
        <f>'A) Base RI'!A88</f>
        <v>5531</v>
      </c>
      <c r="B97" s="40" t="str">
        <f>'A) Base RI'!B88</f>
        <v>Penthéréaz</v>
      </c>
      <c r="C97" s="39">
        <f>'D) Ecrêtage'!M86</f>
        <v>12101.700128205126</v>
      </c>
      <c r="D97" s="19">
        <f>'A) Base RI'!U88</f>
        <v>411</v>
      </c>
      <c r="E97" s="14">
        <f t="shared" si="3"/>
        <v>227592.24576851015</v>
      </c>
      <c r="F97" s="19">
        <f>'F) Population'!K89</f>
        <v>40521.126760563377</v>
      </c>
      <c r="G97" s="14">
        <f>'G) Solidarité'!I86</f>
        <v>158208.52159609456</v>
      </c>
      <c r="H97" s="19">
        <f t="shared" si="4"/>
        <v>198729.64835665794</v>
      </c>
      <c r="I97" s="66">
        <f t="shared" si="5"/>
        <v>28862.597411852214</v>
      </c>
    </row>
    <row r="98" spans="1:9" x14ac:dyDescent="0.25">
      <c r="A98" s="57">
        <f>'A) Base RI'!A89</f>
        <v>5533</v>
      </c>
      <c r="B98" s="40" t="str">
        <f>'A) Base RI'!B89</f>
        <v>Poliez-Pittet</v>
      </c>
      <c r="C98" s="39">
        <f>'D) Ecrêtage'!M87</f>
        <v>27045.170985915491</v>
      </c>
      <c r="D98" s="19">
        <f>'A) Base RI'!U89</f>
        <v>844</v>
      </c>
      <c r="E98" s="14">
        <f t="shared" si="3"/>
        <v>508628.63371832558</v>
      </c>
      <c r="F98" s="19">
        <f>'F) Population'!K90</f>
        <v>83211.267605633795</v>
      </c>
      <c r="G98" s="14">
        <f>'G) Solidarité'!I87</f>
        <v>225086.14803621839</v>
      </c>
      <c r="H98" s="19">
        <f t="shared" si="4"/>
        <v>308297.41564185219</v>
      </c>
      <c r="I98" s="66">
        <f t="shared" si="5"/>
        <v>200331.21807647339</v>
      </c>
    </row>
    <row r="99" spans="1:9" x14ac:dyDescent="0.25">
      <c r="A99" s="57">
        <f>'A) Base RI'!A90</f>
        <v>5534</v>
      </c>
      <c r="B99" s="40" t="str">
        <f>'A) Base RI'!B90</f>
        <v>Rueyres</v>
      </c>
      <c r="C99" s="39">
        <f>'D) Ecrêtage'!M88</f>
        <v>10934.157945205479</v>
      </c>
      <c r="D99" s="19">
        <f>'A) Base RI'!U90</f>
        <v>271</v>
      </c>
      <c r="E99" s="14">
        <f t="shared" si="3"/>
        <v>205634.70718770832</v>
      </c>
      <c r="F99" s="19">
        <f>'F) Population'!K91</f>
        <v>26718.309859154928</v>
      </c>
      <c r="G99" s="14">
        <f>'G) Solidarité'!I88</f>
        <v>28584.086360320245</v>
      </c>
      <c r="H99" s="19">
        <f t="shared" si="4"/>
        <v>55302.396219475173</v>
      </c>
      <c r="I99" s="66">
        <f t="shared" si="5"/>
        <v>150332.31096823316</v>
      </c>
    </row>
    <row r="100" spans="1:9" x14ac:dyDescent="0.25">
      <c r="A100" s="57">
        <f>'A) Base RI'!A91</f>
        <v>5535</v>
      </c>
      <c r="B100" s="40" t="str">
        <f>'A) Base RI'!B91</f>
        <v>Saint-Barthélemy</v>
      </c>
      <c r="C100" s="39">
        <f>'D) Ecrêtage'!M89</f>
        <v>20697.547200000001</v>
      </c>
      <c r="D100" s="19">
        <f>'A) Base RI'!U91</f>
        <v>777</v>
      </c>
      <c r="E100" s="14">
        <f t="shared" si="3"/>
        <v>389251.19605045085</v>
      </c>
      <c r="F100" s="19">
        <f>'F) Population'!K92</f>
        <v>76605.633802816898</v>
      </c>
      <c r="G100" s="14">
        <f>'G) Solidarité'!I89</f>
        <v>325447.94775426685</v>
      </c>
      <c r="H100" s="19">
        <f t="shared" si="4"/>
        <v>402053.58155708376</v>
      </c>
      <c r="I100" s="66">
        <f t="shared" si="5"/>
        <v>-12802.385506632912</v>
      </c>
    </row>
    <row r="101" spans="1:9" x14ac:dyDescent="0.25">
      <c r="A101" s="57">
        <f>'A) Base RI'!A92</f>
        <v>5537</v>
      </c>
      <c r="B101" s="40" t="str">
        <f>'A) Base RI'!B92</f>
        <v>Villars-le-Terroir</v>
      </c>
      <c r="C101" s="39">
        <f>'D) Ecrêtage'!M90</f>
        <v>30041.138287671231</v>
      </c>
      <c r="D101" s="19">
        <f>'A) Base RI'!U92</f>
        <v>1066</v>
      </c>
      <c r="E101" s="14">
        <f t="shared" si="3"/>
        <v>564972.69440665981</v>
      </c>
      <c r="F101" s="19">
        <f>'F) Population'!K93</f>
        <v>121366.19718309859</v>
      </c>
      <c r="G101" s="14">
        <f>'G) Solidarité'!I90</f>
        <v>388037.94245209324</v>
      </c>
      <c r="H101" s="19">
        <f t="shared" si="4"/>
        <v>509404.13963519182</v>
      </c>
      <c r="I101" s="66">
        <f t="shared" si="5"/>
        <v>55568.554771467985</v>
      </c>
    </row>
    <row r="102" spans="1:9" x14ac:dyDescent="0.25">
      <c r="A102" s="57">
        <f>'A) Base RI'!A93</f>
        <v>5539</v>
      </c>
      <c r="B102" s="40" t="str">
        <f>'A) Base RI'!B93</f>
        <v>Vuarrens</v>
      </c>
      <c r="C102" s="39">
        <f>'D) Ecrêtage'!M91</f>
        <v>22727.031566666661</v>
      </c>
      <c r="D102" s="19">
        <f>'A) Base RI'!U93</f>
        <v>993</v>
      </c>
      <c r="E102" s="14">
        <f t="shared" si="3"/>
        <v>427418.96585704363</v>
      </c>
      <c r="F102" s="19">
        <f>'F) Population'!K94</f>
        <v>97901.408450704213</v>
      </c>
      <c r="G102" s="14">
        <f>'G) Solidarité'!I91</f>
        <v>499457.83399342449</v>
      </c>
      <c r="H102" s="19">
        <f t="shared" si="4"/>
        <v>597359.24244412873</v>
      </c>
      <c r="I102" s="66">
        <f t="shared" si="5"/>
        <v>-169940.2765870851</v>
      </c>
    </row>
    <row r="103" spans="1:9" x14ac:dyDescent="0.25">
      <c r="A103" s="57">
        <f>'A) Base RI'!A94</f>
        <v>5540</v>
      </c>
      <c r="B103" s="40" t="str">
        <f>'A) Base RI'!B94</f>
        <v>Montilliez</v>
      </c>
      <c r="C103" s="39">
        <f>'D) Ecrêtage'!M92</f>
        <v>54875.674391891895</v>
      </c>
      <c r="D103" s="19">
        <f>'A) Base RI'!U94</f>
        <v>1698</v>
      </c>
      <c r="E103" s="14">
        <f t="shared" si="3"/>
        <v>1032026.7268731734</v>
      </c>
      <c r="F103" s="19">
        <f>'F) Population'!K95</f>
        <v>339450.70422535209</v>
      </c>
      <c r="G103" s="14">
        <f>'G) Solidarité'!I92</f>
        <v>481764.16902895313</v>
      </c>
      <c r="H103" s="19">
        <f t="shared" si="4"/>
        <v>821214.87325430522</v>
      </c>
      <c r="I103" s="66">
        <f t="shared" si="5"/>
        <v>210811.85361886816</v>
      </c>
    </row>
    <row r="104" spans="1:9" x14ac:dyDescent="0.25">
      <c r="A104" s="57">
        <f>'A) Base RI'!A95</f>
        <v>5541</v>
      </c>
      <c r="B104" s="40" t="str">
        <f>'A) Base RI'!B95</f>
        <v>Goumoëns</v>
      </c>
      <c r="C104" s="39">
        <f>'D) Ecrêtage'!M93</f>
        <v>32498.070519480509</v>
      </c>
      <c r="D104" s="19">
        <f>'A) Base RI'!U95</f>
        <v>1051</v>
      </c>
      <c r="E104" s="14">
        <f t="shared" si="3"/>
        <v>611179.31979107566</v>
      </c>
      <c r="F104" s="19">
        <f>'F) Population'!K96</f>
        <v>116190.14084507042</v>
      </c>
      <c r="G104" s="14">
        <f>'G) Solidarité'!I93</f>
        <v>357569.47215165605</v>
      </c>
      <c r="H104" s="19">
        <f t="shared" si="4"/>
        <v>473759.61299672647</v>
      </c>
      <c r="I104" s="66">
        <f t="shared" si="5"/>
        <v>137419.70679434919</v>
      </c>
    </row>
    <row r="105" spans="1:9" x14ac:dyDescent="0.25">
      <c r="A105" s="57">
        <f>'A) Base RI'!A96</f>
        <v>5551</v>
      </c>
      <c r="B105" s="40" t="str">
        <f>'A) Base RI'!B96</f>
        <v>Bonvillars</v>
      </c>
      <c r="C105" s="39">
        <f>'D) Ecrêtage'!M94</f>
        <v>19291.965896103895</v>
      </c>
      <c r="D105" s="19">
        <f>'A) Base RI'!U96</f>
        <v>495</v>
      </c>
      <c r="E105" s="14">
        <f t="shared" si="3"/>
        <v>362816.9428318998</v>
      </c>
      <c r="F105" s="19">
        <f>'F) Population'!K97</f>
        <v>48802.816901408449</v>
      </c>
      <c r="G105" s="14">
        <f>'G) Solidarité'!I94</f>
        <v>37840.264489936111</v>
      </c>
      <c r="H105" s="19">
        <f t="shared" si="4"/>
        <v>86643.08139134456</v>
      </c>
      <c r="I105" s="66">
        <f t="shared" si="5"/>
        <v>276173.86144055525</v>
      </c>
    </row>
    <row r="106" spans="1:9" x14ac:dyDescent="0.25">
      <c r="A106" s="57">
        <f>'A) Base RI'!A97</f>
        <v>5552</v>
      </c>
      <c r="B106" s="40" t="str">
        <f>'A) Base RI'!B97</f>
        <v>Bullet</v>
      </c>
      <c r="C106" s="39">
        <f>'D) Ecrêtage'!M95</f>
        <v>15735.537571428569</v>
      </c>
      <c r="D106" s="19">
        <f>'A) Base RI'!U97</f>
        <v>629</v>
      </c>
      <c r="E106" s="14">
        <f t="shared" si="3"/>
        <v>295932.49678277707</v>
      </c>
      <c r="F106" s="19">
        <f>'F) Population'!K98</f>
        <v>62014.084507042251</v>
      </c>
      <c r="G106" s="14">
        <f>'G) Solidarité'!I95</f>
        <v>249424.01672914211</v>
      </c>
      <c r="H106" s="19">
        <f t="shared" si="4"/>
        <v>311438.10123618436</v>
      </c>
      <c r="I106" s="66">
        <f t="shared" si="5"/>
        <v>-15505.604453407286</v>
      </c>
    </row>
    <row r="107" spans="1:9" x14ac:dyDescent="0.25">
      <c r="A107" s="57">
        <f>'A) Base RI'!A98</f>
        <v>5553</v>
      </c>
      <c r="B107" s="40" t="str">
        <f>'A) Base RI'!B98</f>
        <v>Champagne</v>
      </c>
      <c r="C107" s="39">
        <f>'D) Ecrêtage'!M96</f>
        <v>33369.783650793652</v>
      </c>
      <c r="D107" s="19">
        <f>'A) Base RI'!U98</f>
        <v>1027</v>
      </c>
      <c r="E107" s="14">
        <f t="shared" si="3"/>
        <v>627573.30965362932</v>
      </c>
      <c r="F107" s="19">
        <f>'F) Population'!K99</f>
        <v>107908.45070422535</v>
      </c>
      <c r="G107" s="14">
        <f>'G) Solidarité'!I96</f>
        <v>208356.67817485286</v>
      </c>
      <c r="H107" s="19">
        <f t="shared" si="4"/>
        <v>316265.1288790782</v>
      </c>
      <c r="I107" s="66">
        <f t="shared" si="5"/>
        <v>311308.18077455112</v>
      </c>
    </row>
    <row r="108" spans="1:9" x14ac:dyDescent="0.25">
      <c r="A108" s="57">
        <f>'A) Base RI'!A99</f>
        <v>5554</v>
      </c>
      <c r="B108" s="40" t="str">
        <f>'A) Base RI'!B99</f>
        <v>Concise</v>
      </c>
      <c r="C108" s="39">
        <f>'D) Ecrêtage'!M97</f>
        <v>28986.7088</v>
      </c>
      <c r="D108" s="19">
        <f>'A) Base RI'!U99</f>
        <v>960</v>
      </c>
      <c r="E108" s="14">
        <f t="shared" si="3"/>
        <v>545142.42489400518</v>
      </c>
      <c r="F108" s="19">
        <f>'F) Population'!K100</f>
        <v>94647.887323943651</v>
      </c>
      <c r="G108" s="14">
        <f>'G) Solidarité'!I97</f>
        <v>325509.53795041068</v>
      </c>
      <c r="H108" s="19">
        <f t="shared" si="4"/>
        <v>420157.42527435435</v>
      </c>
      <c r="I108" s="66">
        <f t="shared" si="5"/>
        <v>124984.99961965083</v>
      </c>
    </row>
    <row r="109" spans="1:9" x14ac:dyDescent="0.25">
      <c r="A109" s="57">
        <f>'A) Base RI'!A100</f>
        <v>5555</v>
      </c>
      <c r="B109" s="40" t="str">
        <f>'A) Base RI'!B100</f>
        <v>Corcelles-près-Concise</v>
      </c>
      <c r="C109" s="39">
        <f>'D) Ecrêtage'!M98</f>
        <v>11040.372394366199</v>
      </c>
      <c r="D109" s="19">
        <f>'A) Base RI'!U100</f>
        <v>379</v>
      </c>
      <c r="E109" s="14">
        <f t="shared" si="3"/>
        <v>207632.24346455035</v>
      </c>
      <c r="F109" s="19">
        <f>'F) Population'!K101</f>
        <v>37366.197183098586</v>
      </c>
      <c r="G109" s="14">
        <f>'G) Solidarité'!I98</f>
        <v>123274.27212416782</v>
      </c>
      <c r="H109" s="19">
        <f t="shared" si="4"/>
        <v>160640.46930726641</v>
      </c>
      <c r="I109" s="66">
        <f t="shared" si="5"/>
        <v>46991.774157283944</v>
      </c>
    </row>
    <row r="110" spans="1:9" x14ac:dyDescent="0.25">
      <c r="A110" s="57">
        <f>'A) Base RI'!A101</f>
        <v>5556</v>
      </c>
      <c r="B110" s="40" t="str">
        <f>'A) Base RI'!B101</f>
        <v>Fiez</v>
      </c>
      <c r="C110" s="39">
        <f>'D) Ecrêtage'!M99</f>
        <v>12472.754202898552</v>
      </c>
      <c r="D110" s="19">
        <f>'A) Base RI'!U101</f>
        <v>427</v>
      </c>
      <c r="E110" s="14">
        <f t="shared" si="3"/>
        <v>234570.52396631561</v>
      </c>
      <c r="F110" s="19">
        <f>'F) Population'!K102</f>
        <v>42098.591549295772</v>
      </c>
      <c r="G110" s="14">
        <f>'G) Solidarité'!I99</f>
        <v>130524.49342837805</v>
      </c>
      <c r="H110" s="19">
        <f t="shared" si="4"/>
        <v>172623.08497767383</v>
      </c>
      <c r="I110" s="66">
        <f t="shared" si="5"/>
        <v>61947.438988641778</v>
      </c>
    </row>
    <row r="111" spans="1:9" x14ac:dyDescent="0.25">
      <c r="A111" s="57">
        <f>'A) Base RI'!A102</f>
        <v>5557</v>
      </c>
      <c r="B111" s="40" t="str">
        <f>'A) Base RI'!B102</f>
        <v>Fontaines-sur-Grandson</v>
      </c>
      <c r="C111" s="39">
        <f>'D) Ecrêtage'!M100</f>
        <v>4030.2872463768117</v>
      </c>
      <c r="D111" s="19">
        <f>'A) Base RI'!U102</f>
        <v>200</v>
      </c>
      <c r="E111" s="14">
        <f t="shared" si="3"/>
        <v>75796.137383808062</v>
      </c>
      <c r="F111" s="19">
        <f>'F) Population'!K103</f>
        <v>19718.309859154928</v>
      </c>
      <c r="G111" s="14">
        <f>'G) Solidarité'!I100</f>
        <v>95532.250709648666</v>
      </c>
      <c r="H111" s="19">
        <f t="shared" si="4"/>
        <v>115250.5605688036</v>
      </c>
      <c r="I111" s="66">
        <f t="shared" si="5"/>
        <v>-39454.423184995539</v>
      </c>
    </row>
    <row r="112" spans="1:9" x14ac:dyDescent="0.25">
      <c r="A112" s="57">
        <f>'A) Base RI'!A103</f>
        <v>5559</v>
      </c>
      <c r="B112" s="40" t="str">
        <f>'A) Base RI'!B103</f>
        <v>Giez</v>
      </c>
      <c r="C112" s="39">
        <f>'D) Ecrêtage'!M101</f>
        <v>18149.138484848489</v>
      </c>
      <c r="D112" s="19">
        <f>'A) Base RI'!U103</f>
        <v>408</v>
      </c>
      <c r="E112" s="14">
        <f t="shared" si="3"/>
        <v>341324.20591907337</v>
      </c>
      <c r="F112" s="19">
        <f>'F) Population'!K104</f>
        <v>40225.352112676053</v>
      </c>
      <c r="G112" s="14">
        <f>'G) Solidarité'!I101</f>
        <v>5866.5911238754497</v>
      </c>
      <c r="H112" s="19">
        <f t="shared" si="4"/>
        <v>46091.943236551502</v>
      </c>
      <c r="I112" s="66">
        <f t="shared" si="5"/>
        <v>295232.26268252189</v>
      </c>
    </row>
    <row r="113" spans="1:9" x14ac:dyDescent="0.25">
      <c r="A113" s="57">
        <f>'A) Base RI'!A104</f>
        <v>5560</v>
      </c>
      <c r="B113" s="40" t="str">
        <f>'A) Base RI'!B104</f>
        <v>Grandevent</v>
      </c>
      <c r="C113" s="39">
        <f>'D) Ecrêtage'!M102</f>
        <v>6446.6273529411765</v>
      </c>
      <c r="D113" s="19">
        <f>'A) Base RI'!U104</f>
        <v>232</v>
      </c>
      <c r="E113" s="14">
        <f t="shared" si="3"/>
        <v>121239.3615231811</v>
      </c>
      <c r="F113" s="19">
        <f>'F) Population'!K105</f>
        <v>22873.239436619715</v>
      </c>
      <c r="G113" s="14">
        <f>'G) Solidarité'!I102</f>
        <v>74964.028926176252</v>
      </c>
      <c r="H113" s="19">
        <f t="shared" si="4"/>
        <v>97837.268362795963</v>
      </c>
      <c r="I113" s="66">
        <f t="shared" si="5"/>
        <v>23402.093160385135</v>
      </c>
    </row>
    <row r="114" spans="1:9" x14ac:dyDescent="0.25">
      <c r="A114" s="57">
        <f>'A) Base RI'!A105</f>
        <v>5561</v>
      </c>
      <c r="B114" s="40" t="str">
        <f>'A) Base RI'!B105</f>
        <v>Grandson</v>
      </c>
      <c r="C114" s="39">
        <f>'D) Ecrêtage'!M103</f>
        <v>115170.40130434782</v>
      </c>
      <c r="D114" s="19">
        <f>'A) Base RI'!U105</f>
        <v>3313</v>
      </c>
      <c r="E114" s="14">
        <f t="shared" si="3"/>
        <v>2165967.5914316932</v>
      </c>
      <c r="F114" s="19">
        <f>'F) Population'!K106</f>
        <v>943028.1690140845</v>
      </c>
      <c r="G114" s="14">
        <f>'G) Solidarité'!I103</f>
        <v>663438.23422732833</v>
      </c>
      <c r="H114" s="19">
        <f t="shared" si="4"/>
        <v>1606466.4032414127</v>
      </c>
      <c r="I114" s="66">
        <f t="shared" si="5"/>
        <v>559501.18819028046</v>
      </c>
    </row>
    <row r="115" spans="1:9" x14ac:dyDescent="0.25">
      <c r="A115" s="57">
        <f>'A) Base RI'!A106</f>
        <v>5562</v>
      </c>
      <c r="B115" s="40" t="str">
        <f>'A) Base RI'!B106</f>
        <v>Mauborget</v>
      </c>
      <c r="C115" s="39">
        <f>'D) Ecrêtage'!M104</f>
        <v>3662.5545714285713</v>
      </c>
      <c r="D115" s="19">
        <f>'A) Base RI'!U106</f>
        <v>123</v>
      </c>
      <c r="E115" s="14">
        <f t="shared" si="3"/>
        <v>68880.32353556453</v>
      </c>
      <c r="F115" s="19">
        <f>'F) Population'!K107</f>
        <v>12126.760563380281</v>
      </c>
      <c r="G115" s="14">
        <f>'G) Solidarité'!I104</f>
        <v>37334.180710111606</v>
      </c>
      <c r="H115" s="19">
        <f t="shared" si="4"/>
        <v>49460.941273491888</v>
      </c>
      <c r="I115" s="66">
        <f t="shared" si="5"/>
        <v>19419.382262072642</v>
      </c>
    </row>
    <row r="116" spans="1:9" x14ac:dyDescent="0.25">
      <c r="A116" s="57">
        <f>'A) Base RI'!A107</f>
        <v>5563</v>
      </c>
      <c r="B116" s="40" t="str">
        <f>'A) Base RI'!B107</f>
        <v>Mutrux</v>
      </c>
      <c r="C116" s="39">
        <f>'D) Ecrêtage'!M105</f>
        <v>4275.1686624203812</v>
      </c>
      <c r="D116" s="19">
        <f>'A) Base RI'!U107</f>
        <v>162</v>
      </c>
      <c r="E116" s="14">
        <f t="shared" si="3"/>
        <v>80401.532562493172</v>
      </c>
      <c r="F116" s="19">
        <f>'F) Population'!K108</f>
        <v>15971.830985915492</v>
      </c>
      <c r="G116" s="14">
        <f>'G) Solidarité'!I105</f>
        <v>75321.432651515628</v>
      </c>
      <c r="H116" s="19">
        <f t="shared" si="4"/>
        <v>91293.263637431126</v>
      </c>
      <c r="I116" s="66">
        <f t="shared" si="5"/>
        <v>-10891.731074937954</v>
      </c>
    </row>
    <row r="117" spans="1:9" x14ac:dyDescent="0.25">
      <c r="A117" s="57">
        <f>'A) Base RI'!A108</f>
        <v>5564</v>
      </c>
      <c r="B117" s="40" t="str">
        <f>'A) Base RI'!B108</f>
        <v>Novalles</v>
      </c>
      <c r="C117" s="39">
        <f>'D) Ecrêtage'!M106</f>
        <v>2063.0078618421053</v>
      </c>
      <c r="D117" s="19">
        <f>'A) Base RI'!U108</f>
        <v>101</v>
      </c>
      <c r="E117" s="14">
        <f t="shared" si="3"/>
        <v>38798.233912640753</v>
      </c>
      <c r="F117" s="19">
        <f>'F) Population'!K109</f>
        <v>9957.7464788732395</v>
      </c>
      <c r="G117" s="14">
        <f>'G) Solidarité'!I106</f>
        <v>57890.600899296238</v>
      </c>
      <c r="H117" s="19">
        <f t="shared" si="4"/>
        <v>67848.347378169477</v>
      </c>
      <c r="I117" s="66">
        <f t="shared" si="5"/>
        <v>-29050.113465528724</v>
      </c>
    </row>
    <row r="118" spans="1:9" x14ac:dyDescent="0.25">
      <c r="A118" s="57">
        <f>'A) Base RI'!A109</f>
        <v>5565</v>
      </c>
      <c r="B118" s="40" t="str">
        <f>'A) Base RI'!B109</f>
        <v>Onnens</v>
      </c>
      <c r="C118" s="39">
        <f>'D) Ecrêtage'!M107</f>
        <v>17902.806410256413</v>
      </c>
      <c r="D118" s="19">
        <f>'A) Base RI'!U109</f>
        <v>500</v>
      </c>
      <c r="E118" s="14">
        <f t="shared" si="3"/>
        <v>336691.52873592608</v>
      </c>
      <c r="F118" s="19">
        <f>'F) Population'!K110</f>
        <v>49295.774647887323</v>
      </c>
      <c r="G118" s="14">
        <f>'G) Solidarité'!I107</f>
        <v>80072.683963275602</v>
      </c>
      <c r="H118" s="19">
        <f t="shared" si="4"/>
        <v>129368.45861116293</v>
      </c>
      <c r="I118" s="66">
        <f t="shared" si="5"/>
        <v>207323.07012476315</v>
      </c>
    </row>
    <row r="119" spans="1:9" x14ac:dyDescent="0.25">
      <c r="A119" s="57">
        <f>'A) Base RI'!A110</f>
        <v>5566</v>
      </c>
      <c r="B119" s="40" t="str">
        <f>'A) Base RI'!B110</f>
        <v>Provence</v>
      </c>
      <c r="C119" s="39">
        <f>'D) Ecrêtage'!M108</f>
        <v>8605.0976954732487</v>
      </c>
      <c r="D119" s="19">
        <f>'A) Base RI'!U110</f>
        <v>390</v>
      </c>
      <c r="E119" s="14">
        <f t="shared" si="3"/>
        <v>161832.92337625107</v>
      </c>
      <c r="F119" s="19">
        <f>'F) Population'!K111</f>
        <v>38450.704225352107</v>
      </c>
      <c r="G119" s="14">
        <f>'G) Solidarité'!I108</f>
        <v>237199.43315465705</v>
      </c>
      <c r="H119" s="19">
        <f t="shared" si="4"/>
        <v>275650.13738000917</v>
      </c>
      <c r="I119" s="66">
        <f t="shared" si="5"/>
        <v>-113817.2140037581</v>
      </c>
    </row>
    <row r="120" spans="1:9" x14ac:dyDescent="0.25">
      <c r="A120" s="57">
        <f>'A) Base RI'!A111</f>
        <v>5568</v>
      </c>
      <c r="B120" s="40" t="str">
        <f>'A) Base RI'!B111</f>
        <v>Sainte-Croix</v>
      </c>
      <c r="C120" s="39">
        <f>'D) Ecrêtage'!M109</f>
        <v>96229.339714285714</v>
      </c>
      <c r="D120" s="19">
        <f>'A) Base RI'!U111</f>
        <v>4851</v>
      </c>
      <c r="E120" s="14">
        <f t="shared" si="3"/>
        <v>1809749.9774722515</v>
      </c>
      <c r="F120" s="19">
        <f>'F) Population'!K112</f>
        <v>1701197.1830985914</v>
      </c>
      <c r="G120" s="14">
        <f>'G) Solidarité'!I109</f>
        <v>2414588.0457316982</v>
      </c>
      <c r="H120" s="19">
        <f t="shared" si="4"/>
        <v>4115785.2288302896</v>
      </c>
      <c r="I120" s="66">
        <f t="shared" si="5"/>
        <v>-2306035.2513580378</v>
      </c>
    </row>
    <row r="121" spans="1:9" x14ac:dyDescent="0.25">
      <c r="A121" s="57">
        <f>'A) Base RI'!A112</f>
        <v>5571</v>
      </c>
      <c r="B121" s="40" t="str">
        <f>'A) Base RI'!B112</f>
        <v>Tévenon</v>
      </c>
      <c r="C121" s="39">
        <f>'D) Ecrêtage'!M110</f>
        <v>20963.465799086756</v>
      </c>
      <c r="D121" s="19">
        <f>'A) Base RI'!U112</f>
        <v>791</v>
      </c>
      <c r="E121" s="14">
        <f t="shared" si="3"/>
        <v>394252.22983220156</v>
      </c>
      <c r="F121" s="19">
        <f>'F) Population'!K113</f>
        <v>77985.915492957734</v>
      </c>
      <c r="G121" s="14">
        <f>'G) Solidarité'!I110</f>
        <v>316151.5055754697</v>
      </c>
      <c r="H121" s="19">
        <f t="shared" si="4"/>
        <v>394137.42106842744</v>
      </c>
      <c r="I121" s="66">
        <f t="shared" si="5"/>
        <v>114.80876377411187</v>
      </c>
    </row>
    <row r="122" spans="1:9" x14ac:dyDescent="0.25">
      <c r="A122" s="57">
        <f>'A) Base RI'!A113</f>
        <v>5581</v>
      </c>
      <c r="B122" s="40" t="str">
        <f>'A) Base RI'!B113</f>
        <v>Belmont-sur-Lausanne</v>
      </c>
      <c r="C122" s="39">
        <f>'D) Ecrêtage'!M111</f>
        <v>187042.91923261393</v>
      </c>
      <c r="D122" s="19">
        <f>'A) Base RI'!U113</f>
        <v>3564</v>
      </c>
      <c r="E122" s="14">
        <f t="shared" si="3"/>
        <v>3517647.7348032254</v>
      </c>
      <c r="F122" s="19">
        <f>'F) Population'!K114</f>
        <v>1066760.5633802817</v>
      </c>
      <c r="G122" s="14">
        <f>'G) Solidarité'!I111</f>
        <v>0</v>
      </c>
      <c r="H122" s="19">
        <f t="shared" si="4"/>
        <v>1066760.5633802817</v>
      </c>
      <c r="I122" s="66">
        <f t="shared" si="5"/>
        <v>2450887.1714229435</v>
      </c>
    </row>
    <row r="123" spans="1:9" x14ac:dyDescent="0.25">
      <c r="A123" s="57">
        <f>'A) Base RI'!A114</f>
        <v>5582</v>
      </c>
      <c r="B123" s="40" t="str">
        <f>'A) Base RI'!B114</f>
        <v>Cheseaux-sur-Lausanne</v>
      </c>
      <c r="C123" s="39">
        <f>'D) Ecrêtage'!M112</f>
        <v>203617.184295302</v>
      </c>
      <c r="D123" s="19">
        <f>'A) Base RI'!U114</f>
        <v>4347</v>
      </c>
      <c r="E123" s="14">
        <f t="shared" si="3"/>
        <v>3829353.872586959</v>
      </c>
      <c r="F123" s="19">
        <f>'F) Population'!K115</f>
        <v>1452746.4788732394</v>
      </c>
      <c r="G123" s="14">
        <f>'G) Solidarité'!I112</f>
        <v>0</v>
      </c>
      <c r="H123" s="19">
        <f t="shared" si="4"/>
        <v>1452746.4788732394</v>
      </c>
      <c r="I123" s="66">
        <f t="shared" si="5"/>
        <v>2376607.3937137197</v>
      </c>
    </row>
    <row r="124" spans="1:9" x14ac:dyDescent="0.25">
      <c r="A124" s="57">
        <f>'A) Base RI'!A115</f>
        <v>5583</v>
      </c>
      <c r="B124" s="40" t="str">
        <f>'A) Base RI'!B115</f>
        <v>Crissier</v>
      </c>
      <c r="C124" s="39">
        <f>'D) Ecrêtage'!M113</f>
        <v>311741.22092307697</v>
      </c>
      <c r="D124" s="19">
        <f>'A) Base RI'!U115</f>
        <v>7636</v>
      </c>
      <c r="E124" s="14">
        <f t="shared" si="3"/>
        <v>5862803.0621201107</v>
      </c>
      <c r="F124" s="19">
        <f>'F) Population'!K116</f>
        <v>3333971.8309859154</v>
      </c>
      <c r="G124" s="14">
        <f>'G) Solidarité'!I113</f>
        <v>577097.1280573901</v>
      </c>
      <c r="H124" s="19">
        <f t="shared" si="4"/>
        <v>3911068.9590433054</v>
      </c>
      <c r="I124" s="66">
        <f t="shared" si="5"/>
        <v>1951734.1030768054</v>
      </c>
    </row>
    <row r="125" spans="1:9" x14ac:dyDescent="0.25">
      <c r="A125" s="57">
        <f>'A) Base RI'!A116</f>
        <v>5584</v>
      </c>
      <c r="B125" s="40" t="str">
        <f>'A) Base RI'!B116</f>
        <v>Epalinges</v>
      </c>
      <c r="C125" s="39">
        <f>'D) Ecrêtage'!M114</f>
        <v>455692.51</v>
      </c>
      <c r="D125" s="19">
        <f>'A) Base RI'!U116</f>
        <v>9297</v>
      </c>
      <c r="E125" s="14">
        <f t="shared" si="3"/>
        <v>8570042.2777019702</v>
      </c>
      <c r="F125" s="19">
        <f>'F) Population'!K117</f>
        <v>4389739.4366197176</v>
      </c>
      <c r="G125" s="14">
        <f>'G) Solidarité'!I114</f>
        <v>0</v>
      </c>
      <c r="H125" s="19">
        <f t="shared" si="4"/>
        <v>4389739.4366197176</v>
      </c>
      <c r="I125" s="66">
        <f t="shared" si="5"/>
        <v>4180302.8410822526</v>
      </c>
    </row>
    <row r="126" spans="1:9" x14ac:dyDescent="0.25">
      <c r="A126" s="57">
        <f>'A) Base RI'!A117</f>
        <v>5585</v>
      </c>
      <c r="B126" s="40" t="str">
        <f>'A) Base RI'!B117</f>
        <v>Jouxtens-Mézery</v>
      </c>
      <c r="C126" s="39">
        <f>'D) Ecrêtage'!M115</f>
        <v>171496.04356386178</v>
      </c>
      <c r="D126" s="19">
        <f>'A) Base RI'!U117</f>
        <v>1448</v>
      </c>
      <c r="E126" s="14">
        <f t="shared" si="3"/>
        <v>3225263.3333844221</v>
      </c>
      <c r="F126" s="19">
        <f>'F) Population'!K118</f>
        <v>253183.09859154932</v>
      </c>
      <c r="G126" s="14">
        <f>'G) Solidarité'!I115</f>
        <v>0</v>
      </c>
      <c r="H126" s="19">
        <f t="shared" si="4"/>
        <v>253183.09859154932</v>
      </c>
      <c r="I126" s="66">
        <f t="shared" si="5"/>
        <v>2972080.2347928728</v>
      </c>
    </row>
    <row r="127" spans="1:9" x14ac:dyDescent="0.25">
      <c r="A127" s="57">
        <f>'A) Base RI'!A118</f>
        <v>5586</v>
      </c>
      <c r="B127" s="40" t="str">
        <f>'A) Base RI'!B118</f>
        <v>Lausanne</v>
      </c>
      <c r="C127" s="39">
        <f>'D) Ecrêtage'!M116</f>
        <v>6075429.3645991571</v>
      </c>
      <c r="D127" s="19">
        <f>'A) Base RI'!U118</f>
        <v>137053</v>
      </c>
      <c r="E127" s="14">
        <f t="shared" si="3"/>
        <v>114258376.79405086</v>
      </c>
      <c r="F127" s="19">
        <f>'F) Population'!K119</f>
        <v>135963316.90140843</v>
      </c>
      <c r="G127" s="14">
        <f>'G) Solidarité'!I116</f>
        <v>3349173.1011205739</v>
      </c>
      <c r="H127" s="19">
        <f t="shared" si="4"/>
        <v>139312490.002529</v>
      </c>
      <c r="I127" s="66">
        <f t="shared" si="5"/>
        <v>-25054113.208478138</v>
      </c>
    </row>
    <row r="128" spans="1:9" x14ac:dyDescent="0.25">
      <c r="A128" s="57">
        <f>'A) Base RI'!A119</f>
        <v>5587</v>
      </c>
      <c r="B128" s="40" t="str">
        <f>'A) Base RI'!B119</f>
        <v>Le Mont-sur-Lausanne</v>
      </c>
      <c r="C128" s="39">
        <f>'D) Ecrêtage'!M117</f>
        <v>413343.80273333337</v>
      </c>
      <c r="D128" s="19">
        <f>'A) Base RI'!U119</f>
        <v>7881</v>
      </c>
      <c r="E128" s="14">
        <f t="shared" si="3"/>
        <v>7773605.6373864254</v>
      </c>
      <c r="F128" s="19">
        <f>'F) Population'!K120</f>
        <v>3478901.4084507041</v>
      </c>
      <c r="G128" s="14">
        <f>'G) Solidarité'!I117</f>
        <v>0</v>
      </c>
      <c r="H128" s="19">
        <f t="shared" si="4"/>
        <v>3478901.4084507041</v>
      </c>
      <c r="I128" s="66">
        <f t="shared" si="5"/>
        <v>4294704.2289357213</v>
      </c>
    </row>
    <row r="129" spans="1:9" x14ac:dyDescent="0.25">
      <c r="A129" s="57">
        <f>'A) Base RI'!A120</f>
        <v>5588</v>
      </c>
      <c r="B129" s="40" t="str">
        <f>'A) Base RI'!B120</f>
        <v>Paudex</v>
      </c>
      <c r="C129" s="39">
        <f>'D) Ecrêtage'!M118</f>
        <v>142038.72572399248</v>
      </c>
      <c r="D129" s="19">
        <f>'A) Base RI'!U120</f>
        <v>1473</v>
      </c>
      <c r="E129" s="14">
        <f t="shared" si="3"/>
        <v>2671270.3364940756</v>
      </c>
      <c r="F129" s="19">
        <f>'F) Population'!K121</f>
        <v>261809.85915492958</v>
      </c>
      <c r="G129" s="14">
        <f>'G) Solidarité'!I118</f>
        <v>0</v>
      </c>
      <c r="H129" s="19">
        <f t="shared" si="4"/>
        <v>261809.85915492958</v>
      </c>
      <c r="I129" s="66">
        <f t="shared" si="5"/>
        <v>2409460.4773391462</v>
      </c>
    </row>
    <row r="130" spans="1:9" x14ac:dyDescent="0.25">
      <c r="A130" s="57">
        <f>'A) Base RI'!A121</f>
        <v>5589</v>
      </c>
      <c r="B130" s="40" t="str">
        <f>'A) Base RI'!B121</f>
        <v>Prilly</v>
      </c>
      <c r="C130" s="39">
        <f>'D) Ecrêtage'!M119</f>
        <v>437574.2323809524</v>
      </c>
      <c r="D130" s="19">
        <f>'A) Base RI'!U121</f>
        <v>11871</v>
      </c>
      <c r="E130" s="14">
        <f t="shared" si="3"/>
        <v>8229298.4607926691</v>
      </c>
      <c r="F130" s="19">
        <f>'F) Population'!K122</f>
        <v>6546823.943661971</v>
      </c>
      <c r="G130" s="14">
        <f>'G) Solidarité'!I119</f>
        <v>2160966.6178383497</v>
      </c>
      <c r="H130" s="19">
        <f t="shared" si="4"/>
        <v>8707790.5615003202</v>
      </c>
      <c r="I130" s="66">
        <f t="shared" si="5"/>
        <v>-478492.10070765112</v>
      </c>
    </row>
    <row r="131" spans="1:9" x14ac:dyDescent="0.25">
      <c r="A131" s="57">
        <f>'A) Base RI'!A122</f>
        <v>5590</v>
      </c>
      <c r="B131" s="40" t="str">
        <f>'A) Base RI'!B122</f>
        <v>Pully</v>
      </c>
      <c r="C131" s="39">
        <f>'D) Ecrêtage'!M120</f>
        <v>1338969.9009013665</v>
      </c>
      <c r="D131" s="19">
        <f>'A) Base RI'!U122</f>
        <v>17979</v>
      </c>
      <c r="E131" s="14">
        <f t="shared" si="3"/>
        <v>25181516.938461699</v>
      </c>
      <c r="F131" s="19">
        <f>'F) Population'!K123</f>
        <v>12696570.422535211</v>
      </c>
      <c r="G131" s="14">
        <f>'G) Solidarité'!I120</f>
        <v>0</v>
      </c>
      <c r="H131" s="19">
        <f t="shared" si="4"/>
        <v>12696570.422535211</v>
      </c>
      <c r="I131" s="66">
        <f t="shared" si="5"/>
        <v>12484946.515926488</v>
      </c>
    </row>
    <row r="132" spans="1:9" x14ac:dyDescent="0.25">
      <c r="A132" s="57">
        <f>'A) Base RI'!A123</f>
        <v>5591</v>
      </c>
      <c r="B132" s="40" t="str">
        <f>'A) Base RI'!B123</f>
        <v>Renens</v>
      </c>
      <c r="C132" s="39">
        <f>'D) Ecrêtage'!M121</f>
        <v>529647.11015468603</v>
      </c>
      <c r="D132" s="19">
        <f>'A) Base RI'!U123</f>
        <v>20323</v>
      </c>
      <c r="E132" s="14">
        <f t="shared" si="3"/>
        <v>9960879.3795806114</v>
      </c>
      <c r="F132" s="19">
        <f>'F) Population'!K124</f>
        <v>15123105.633802816</v>
      </c>
      <c r="G132" s="14">
        <f>'G) Solidarité'!I121</f>
        <v>9613155.8934023604</v>
      </c>
      <c r="H132" s="19">
        <f t="shared" si="4"/>
        <v>24736261.527205177</v>
      </c>
      <c r="I132" s="66">
        <f t="shared" si="5"/>
        <v>-14775382.147624565</v>
      </c>
    </row>
    <row r="133" spans="1:9" x14ac:dyDescent="0.25">
      <c r="A133" s="57">
        <f>'A) Base RI'!A124</f>
        <v>5592</v>
      </c>
      <c r="B133" s="40" t="str">
        <f>'A) Base RI'!B124</f>
        <v>Romanel-sur-Lausanne</v>
      </c>
      <c r="C133" s="39">
        <f>'D) Ecrêtage'!M122</f>
        <v>116555.94314285714</v>
      </c>
      <c r="D133" s="19">
        <f>'A) Base RI'!U124</f>
        <v>3352</v>
      </c>
      <c r="E133" s="14">
        <f t="shared" si="3"/>
        <v>2192024.9697580342</v>
      </c>
      <c r="F133" s="19">
        <f>'F) Population'!K125</f>
        <v>962253.52112676052</v>
      </c>
      <c r="G133" s="14">
        <f>'G) Solidarité'!I122</f>
        <v>690263.70792507182</v>
      </c>
      <c r="H133" s="19">
        <f t="shared" si="4"/>
        <v>1652517.2290518323</v>
      </c>
      <c r="I133" s="66">
        <f t="shared" si="5"/>
        <v>539507.74070620188</v>
      </c>
    </row>
    <row r="134" spans="1:9" x14ac:dyDescent="0.25">
      <c r="A134" s="57">
        <f>'A) Base RI'!A125</f>
        <v>5601</v>
      </c>
      <c r="B134" s="40" t="str">
        <f>'A) Base RI'!B125</f>
        <v>Chexbres</v>
      </c>
      <c r="C134" s="39">
        <f>'D) Ecrêtage'!M123</f>
        <v>99746.160000000018</v>
      </c>
      <c r="D134" s="19">
        <f>'A) Base RI'!U125</f>
        <v>2235</v>
      </c>
      <c r="E134" s="14">
        <f t="shared" si="3"/>
        <v>1875889.5296269523</v>
      </c>
      <c r="F134" s="19">
        <f>'F) Population'!K126</f>
        <v>524753.52112676052</v>
      </c>
      <c r="G134" s="14">
        <f>'G) Solidarité'!I123</f>
        <v>24889.909850093976</v>
      </c>
      <c r="H134" s="19">
        <f t="shared" si="4"/>
        <v>549643.43097685452</v>
      </c>
      <c r="I134" s="66">
        <f t="shared" si="5"/>
        <v>1326246.0986500978</v>
      </c>
    </row>
    <row r="135" spans="1:9" x14ac:dyDescent="0.25">
      <c r="A135" s="57">
        <f>'A) Base RI'!A126</f>
        <v>5604</v>
      </c>
      <c r="B135" s="40" t="str">
        <f>'A) Base RI'!B126</f>
        <v>Forel (Lavaux)</v>
      </c>
      <c r="C135" s="39">
        <f>'D) Ecrêtage'!M124</f>
        <v>71240.347352941171</v>
      </c>
      <c r="D135" s="19">
        <f>'A) Base RI'!U126</f>
        <v>2066</v>
      </c>
      <c r="E135" s="14">
        <f t="shared" si="3"/>
        <v>1339791.1427003252</v>
      </c>
      <c r="F135" s="19">
        <f>'F) Population'!K127</f>
        <v>466436.61971830984</v>
      </c>
      <c r="G135" s="14">
        <f>'G) Solidarité'!I124</f>
        <v>412519.16640108521</v>
      </c>
      <c r="H135" s="19">
        <f t="shared" si="4"/>
        <v>878955.78611939505</v>
      </c>
      <c r="I135" s="66">
        <f t="shared" si="5"/>
        <v>460835.35658093018</v>
      </c>
    </row>
    <row r="136" spans="1:9" x14ac:dyDescent="0.25">
      <c r="A136" s="57">
        <f>'A) Base RI'!A127</f>
        <v>5606</v>
      </c>
      <c r="B136" s="40" t="str">
        <f>'A) Base RI'!B127</f>
        <v>Lutry</v>
      </c>
      <c r="C136" s="39">
        <f>'D) Ecrêtage'!M125</f>
        <v>727483.29787726386</v>
      </c>
      <c r="D136" s="19">
        <f>'A) Base RI'!U127</f>
        <v>9888</v>
      </c>
      <c r="E136" s="14">
        <f t="shared" si="3"/>
        <v>13681512.165144445</v>
      </c>
      <c r="F136" s="19">
        <f>'F) Population'!K128</f>
        <v>4885014.0845070416</v>
      </c>
      <c r="G136" s="14">
        <f>'G) Solidarité'!I125</f>
        <v>0</v>
      </c>
      <c r="H136" s="19">
        <f t="shared" si="4"/>
        <v>4885014.0845070416</v>
      </c>
      <c r="I136" s="66">
        <f t="shared" si="5"/>
        <v>8796498.0806374028</v>
      </c>
    </row>
    <row r="137" spans="1:9" x14ac:dyDescent="0.25">
      <c r="A137" s="57">
        <f>'A) Base RI'!A128</f>
        <v>5607</v>
      </c>
      <c r="B137" s="40" t="str">
        <f>'A) Base RI'!B128</f>
        <v>Puidoux</v>
      </c>
      <c r="C137" s="39">
        <f>'D) Ecrêtage'!M126</f>
        <v>97147.534937888209</v>
      </c>
      <c r="D137" s="19">
        <f>'A) Base RI'!U128</f>
        <v>2874</v>
      </c>
      <c r="E137" s="14">
        <f t="shared" si="3"/>
        <v>1827018.1390346554</v>
      </c>
      <c r="F137" s="19">
        <f>'F) Population'!K129</f>
        <v>745253.52112676052</v>
      </c>
      <c r="G137" s="14">
        <f>'G) Solidarité'!I126</f>
        <v>646295.04650796705</v>
      </c>
      <c r="H137" s="19">
        <f t="shared" si="4"/>
        <v>1391548.5676347276</v>
      </c>
      <c r="I137" s="66">
        <f t="shared" si="5"/>
        <v>435469.57139992784</v>
      </c>
    </row>
    <row r="138" spans="1:9" x14ac:dyDescent="0.25">
      <c r="A138" s="57">
        <f>'A) Base RI'!A129</f>
        <v>5609</v>
      </c>
      <c r="B138" s="40" t="str">
        <f>'A) Base RI'!B129</f>
        <v>Rivaz</v>
      </c>
      <c r="C138" s="39">
        <f>'D) Ecrêtage'!M127</f>
        <v>16888.91165354331</v>
      </c>
      <c r="D138" s="19">
        <f>'A) Base RI'!U129</f>
        <v>357</v>
      </c>
      <c r="E138" s="14">
        <f t="shared" si="3"/>
        <v>317623.58107496577</v>
      </c>
      <c r="F138" s="19">
        <f>'F) Population'!K130</f>
        <v>35197.183098591544</v>
      </c>
      <c r="G138" s="14">
        <f>'G) Solidarité'!I127</f>
        <v>0</v>
      </c>
      <c r="H138" s="19">
        <f t="shared" si="4"/>
        <v>35197.183098591544</v>
      </c>
      <c r="I138" s="66">
        <f t="shared" si="5"/>
        <v>282426.39797637425</v>
      </c>
    </row>
    <row r="139" spans="1:9" x14ac:dyDescent="0.25">
      <c r="A139" s="57">
        <f>'A) Base RI'!A130</f>
        <v>5610</v>
      </c>
      <c r="B139" s="40" t="str">
        <f>'A) Base RI'!B130</f>
        <v>St-Saphorin (Lavaux)</v>
      </c>
      <c r="C139" s="39">
        <f>'D) Ecrêtage'!M128</f>
        <v>20007.714179104478</v>
      </c>
      <c r="D139" s="19">
        <f>'A) Base RI'!U130</f>
        <v>398</v>
      </c>
      <c r="E139" s="14">
        <f t="shared" si="3"/>
        <v>376277.75886661495</v>
      </c>
      <c r="F139" s="19">
        <f>'F) Population'!K131</f>
        <v>39239.436619718304</v>
      </c>
      <c r="G139" s="14">
        <f>'G) Solidarité'!I128</f>
        <v>0</v>
      </c>
      <c r="H139" s="19">
        <f t="shared" si="4"/>
        <v>39239.436619718304</v>
      </c>
      <c r="I139" s="66">
        <f t="shared" si="5"/>
        <v>337038.32224689663</v>
      </c>
    </row>
    <row r="140" spans="1:9" x14ac:dyDescent="0.25">
      <c r="A140" s="57">
        <f>'A) Base RI'!A131</f>
        <v>5611</v>
      </c>
      <c r="B140" s="40" t="str">
        <f>'A) Base RI'!B131</f>
        <v>Savigny</v>
      </c>
      <c r="C140" s="39">
        <f>'D) Ecrêtage'!M129</f>
        <v>115537.42516908211</v>
      </c>
      <c r="D140" s="19">
        <f>'A) Base RI'!U131</f>
        <v>3276</v>
      </c>
      <c r="E140" s="14">
        <f t="shared" si="3"/>
        <v>2172870.0749456277</v>
      </c>
      <c r="F140" s="19">
        <f>'F) Population'!K132</f>
        <v>924788.73239436618</v>
      </c>
      <c r="G140" s="14">
        <f>'G) Solidarité'!I129</f>
        <v>624641.21178081632</v>
      </c>
      <c r="H140" s="19">
        <f t="shared" si="4"/>
        <v>1549429.9441751824</v>
      </c>
      <c r="I140" s="66">
        <f t="shared" si="5"/>
        <v>623440.13077044534</v>
      </c>
    </row>
    <row r="141" spans="1:9" x14ac:dyDescent="0.25">
      <c r="A141" s="57">
        <f>'A) Base RI'!A132</f>
        <v>5613</v>
      </c>
      <c r="B141" s="40" t="str">
        <f>'A) Base RI'!B132</f>
        <v>Bourg-en-Lavaux</v>
      </c>
      <c r="C141" s="39">
        <f>'D) Ecrêtage'!M130</f>
        <v>300841.30822927633</v>
      </c>
      <c r="D141" s="19">
        <f>'A) Base RI'!U132</f>
        <v>5296</v>
      </c>
      <c r="E141" s="14">
        <f t="shared" si="3"/>
        <v>5657812.3928437345</v>
      </c>
      <c r="F141" s="19">
        <f>'F) Population'!K133</f>
        <v>1949746.4788732394</v>
      </c>
      <c r="G141" s="14">
        <f>'G) Solidarité'!I130</f>
        <v>0</v>
      </c>
      <c r="H141" s="19">
        <f t="shared" si="4"/>
        <v>1949746.4788732394</v>
      </c>
      <c r="I141" s="66">
        <f t="shared" si="5"/>
        <v>3708065.9139704951</v>
      </c>
    </row>
    <row r="142" spans="1:9" x14ac:dyDescent="0.25">
      <c r="A142" s="57">
        <f>'A) Base RI'!A133</f>
        <v>5621</v>
      </c>
      <c r="B142" s="40" t="str">
        <f>'A) Base RI'!B133</f>
        <v>Aclens</v>
      </c>
      <c r="C142" s="39">
        <f>'D) Ecrêtage'!M131</f>
        <v>26820.105850439882</v>
      </c>
      <c r="D142" s="19">
        <f>'A) Base RI'!U133</f>
        <v>521</v>
      </c>
      <c r="E142" s="14">
        <f t="shared" si="3"/>
        <v>504395.91607663623</v>
      </c>
      <c r="F142" s="19">
        <f>'F) Population'!K134</f>
        <v>51366.197183098586</v>
      </c>
      <c r="G142" s="14">
        <f>'G) Solidarité'!I131</f>
        <v>0</v>
      </c>
      <c r="H142" s="19">
        <f t="shared" si="4"/>
        <v>51366.197183098586</v>
      </c>
      <c r="I142" s="66">
        <f t="shared" si="5"/>
        <v>453029.71889353765</v>
      </c>
    </row>
    <row r="143" spans="1:9" x14ac:dyDescent="0.25">
      <c r="A143" s="57">
        <f>'A) Base RI'!A134</f>
        <v>5622</v>
      </c>
      <c r="B143" s="40" t="str">
        <f>'A) Base RI'!B134</f>
        <v>Bremblens</v>
      </c>
      <c r="C143" s="39">
        <f>'D) Ecrêtage'!M132</f>
        <v>31992.76732180336</v>
      </c>
      <c r="D143" s="19">
        <f>'A) Base RI'!U134</f>
        <v>516</v>
      </c>
      <c r="E143" s="14">
        <f t="shared" si="3"/>
        <v>601676.26746495522</v>
      </c>
      <c r="F143" s="19">
        <f>'F) Population'!K135</f>
        <v>50873.239436619711</v>
      </c>
      <c r="G143" s="14">
        <f>'G) Solidarité'!I132</f>
        <v>0</v>
      </c>
      <c r="H143" s="19">
        <f t="shared" si="4"/>
        <v>50873.239436619711</v>
      </c>
      <c r="I143" s="66">
        <f t="shared" si="5"/>
        <v>550803.02802833554</v>
      </c>
    </row>
    <row r="144" spans="1:9" x14ac:dyDescent="0.25">
      <c r="A144" s="57">
        <f>'A) Base RI'!A135</f>
        <v>5623</v>
      </c>
      <c r="B144" s="40" t="str">
        <f>'A) Base RI'!B135</f>
        <v>Buchillon</v>
      </c>
      <c r="C144" s="39">
        <f>'D) Ecrêtage'!M133</f>
        <v>70425.818764312105</v>
      </c>
      <c r="D144" s="19">
        <f>'A) Base RI'!U135</f>
        <v>609</v>
      </c>
      <c r="E144" s="14">
        <f t="shared" si="3"/>
        <v>1324472.6016056999</v>
      </c>
      <c r="F144" s="19">
        <f>'F) Population'!K136</f>
        <v>60042.253521126753</v>
      </c>
      <c r="G144" s="14">
        <f>'G) Solidarité'!I133</f>
        <v>0</v>
      </c>
      <c r="H144" s="19">
        <f t="shared" si="4"/>
        <v>60042.253521126753</v>
      </c>
      <c r="I144" s="66">
        <f t="shared" si="5"/>
        <v>1264430.3480845732</v>
      </c>
    </row>
    <row r="145" spans="1:9" x14ac:dyDescent="0.25">
      <c r="A145" s="57">
        <f>'A) Base RI'!A136</f>
        <v>5624</v>
      </c>
      <c r="B145" s="40" t="str">
        <f>'A) Base RI'!B136</f>
        <v>Bussigny</v>
      </c>
      <c r="C145" s="39">
        <f>'D) Ecrêtage'!M134</f>
        <v>334130.13322580641</v>
      </c>
      <c r="D145" s="19">
        <f>'A) Base RI'!U136</f>
        <v>8227</v>
      </c>
      <c r="E145" s="14">
        <f t="shared" ref="E145:E208" si="6">C145*E$15</f>
        <v>6283863.1427129498</v>
      </c>
      <c r="F145" s="19">
        <f>'F) Population'!K137</f>
        <v>3683577.4647887321</v>
      </c>
      <c r="G145" s="14">
        <f>'G) Solidarité'!I134</f>
        <v>592346.53605318174</v>
      </c>
      <c r="H145" s="19">
        <f t="shared" ref="H145:H208" si="7">F145+G145</f>
        <v>4275924.0008419137</v>
      </c>
      <c r="I145" s="66">
        <f t="shared" ref="I145:I208" si="8">E145-H145</f>
        <v>2007939.141871036</v>
      </c>
    </row>
    <row r="146" spans="1:9" x14ac:dyDescent="0.25">
      <c r="A146" s="57">
        <f>'A) Base RI'!A137</f>
        <v>5625</v>
      </c>
      <c r="B146" s="40" t="str">
        <f>'A) Base RI'!B137</f>
        <v>Bussy-Chardonney</v>
      </c>
      <c r="C146" s="39">
        <f>'D) Ecrêtage'!M135</f>
        <v>13745.926324786325</v>
      </c>
      <c r="D146" s="19">
        <f>'A) Base RI'!U137</f>
        <v>369</v>
      </c>
      <c r="E146" s="14">
        <f t="shared" si="6"/>
        <v>258514.60615316074</v>
      </c>
      <c r="F146" s="19">
        <f>'F) Population'!K138</f>
        <v>36380.281690140844</v>
      </c>
      <c r="G146" s="14">
        <f>'G) Solidarité'!I135</f>
        <v>72147.841163547026</v>
      </c>
      <c r="H146" s="19">
        <f t="shared" si="7"/>
        <v>108528.12285368788</v>
      </c>
      <c r="I146" s="66">
        <f t="shared" si="8"/>
        <v>149986.48329947286</v>
      </c>
    </row>
    <row r="147" spans="1:9" x14ac:dyDescent="0.25">
      <c r="A147" s="57">
        <f>'A) Base RI'!A138</f>
        <v>5627</v>
      </c>
      <c r="B147" s="40" t="str">
        <f>'A) Base RI'!B138</f>
        <v>Chavannes-près-Renens</v>
      </c>
      <c r="C147" s="39">
        <f>'D) Ecrêtage'!M136</f>
        <v>171770.86046413501</v>
      </c>
      <c r="D147" s="19">
        <f>'A) Base RI'!U138</f>
        <v>7543</v>
      </c>
      <c r="E147" s="14">
        <f t="shared" si="6"/>
        <v>3230431.7142603085</v>
      </c>
      <c r="F147" s="19">
        <f>'F) Population'!K139</f>
        <v>3278957.7464788733</v>
      </c>
      <c r="G147" s="14">
        <f>'G) Solidarité'!I136</f>
        <v>4231042.0970845399</v>
      </c>
      <c r="H147" s="19">
        <f t="shared" si="7"/>
        <v>7509999.8435634132</v>
      </c>
      <c r="I147" s="66">
        <f t="shared" si="8"/>
        <v>-4279568.1293031052</v>
      </c>
    </row>
    <row r="148" spans="1:9" x14ac:dyDescent="0.25">
      <c r="A148" s="57">
        <f>'A) Base RI'!A139</f>
        <v>5628</v>
      </c>
      <c r="B148" s="40" t="str">
        <f>'A) Base RI'!B139</f>
        <v>Chigny</v>
      </c>
      <c r="C148" s="39">
        <f>'D) Ecrêtage'!M137</f>
        <v>19328.986012330468</v>
      </c>
      <c r="D148" s="19">
        <f>'A) Base RI'!U139</f>
        <v>343</v>
      </c>
      <c r="E148" s="14">
        <f t="shared" si="6"/>
        <v>363513.16661048942</v>
      </c>
      <c r="F148" s="19">
        <f>'F) Population'!K140</f>
        <v>33816.9014084507</v>
      </c>
      <c r="G148" s="14">
        <f>'G) Solidarité'!I137</f>
        <v>0</v>
      </c>
      <c r="H148" s="19">
        <f t="shared" si="7"/>
        <v>33816.9014084507</v>
      </c>
      <c r="I148" s="66">
        <f t="shared" si="8"/>
        <v>329696.26520203875</v>
      </c>
    </row>
    <row r="149" spans="1:9" x14ac:dyDescent="0.25">
      <c r="A149" s="57">
        <f>'A) Base RI'!A140</f>
        <v>5629</v>
      </c>
      <c r="B149" s="40" t="str">
        <f>'A) Base RI'!B140</f>
        <v>Clarmont</v>
      </c>
      <c r="C149" s="39">
        <f>'D) Ecrêtage'!M138</f>
        <v>7536.1791999999996</v>
      </c>
      <c r="D149" s="19">
        <f>'A) Base RI'!U140</f>
        <v>175</v>
      </c>
      <c r="E149" s="14">
        <f t="shared" si="6"/>
        <v>141730.16439602704</v>
      </c>
      <c r="F149" s="19">
        <f>'F) Population'!K141</f>
        <v>17253.521126760563</v>
      </c>
      <c r="G149" s="14">
        <f>'G) Solidarité'!I138</f>
        <v>8820.6373102681537</v>
      </c>
      <c r="H149" s="19">
        <f t="shared" si="7"/>
        <v>26074.158437028716</v>
      </c>
      <c r="I149" s="66">
        <f t="shared" si="8"/>
        <v>115656.00595899833</v>
      </c>
    </row>
    <row r="150" spans="1:9" x14ac:dyDescent="0.25">
      <c r="A150" s="57">
        <f>'A) Base RI'!A141</f>
        <v>5631</v>
      </c>
      <c r="B150" s="40" t="str">
        <f>'A) Base RI'!B141</f>
        <v>Denens</v>
      </c>
      <c r="C150" s="39">
        <f>'D) Ecrêtage'!M139</f>
        <v>42221.936176470583</v>
      </c>
      <c r="D150" s="19">
        <f>'A) Base RI'!U141</f>
        <v>769</v>
      </c>
      <c r="E150" s="14">
        <f t="shared" si="6"/>
        <v>794052.50281332724</v>
      </c>
      <c r="F150" s="19">
        <f>'F) Population'!K142</f>
        <v>75816.901408450693</v>
      </c>
      <c r="G150" s="14">
        <f>'G) Solidarité'!I139</f>
        <v>0</v>
      </c>
      <c r="H150" s="19">
        <f t="shared" si="7"/>
        <v>75816.901408450693</v>
      </c>
      <c r="I150" s="66">
        <f t="shared" si="8"/>
        <v>718235.60140487656</v>
      </c>
    </row>
    <row r="151" spans="1:9" x14ac:dyDescent="0.25">
      <c r="A151" s="57">
        <f>'A) Base RI'!A142</f>
        <v>5632</v>
      </c>
      <c r="B151" s="40" t="str">
        <f>'A) Base RI'!B142</f>
        <v>Denges</v>
      </c>
      <c r="C151" s="39">
        <f>'D) Ecrêtage'!M140</f>
        <v>67310.066612903232</v>
      </c>
      <c r="D151" s="19">
        <f>'A) Base RI'!U142</f>
        <v>1624</v>
      </c>
      <c r="E151" s="14">
        <f t="shared" si="6"/>
        <v>1265875.7910844672</v>
      </c>
      <c r="F151" s="19">
        <f>'F) Population'!K143</f>
        <v>313915.49295774649</v>
      </c>
      <c r="G151" s="14">
        <f>'G) Solidarité'!I140</f>
        <v>96186.195188628102</v>
      </c>
      <c r="H151" s="19">
        <f t="shared" si="7"/>
        <v>410101.6881463746</v>
      </c>
      <c r="I151" s="66">
        <f t="shared" si="8"/>
        <v>855774.10293809255</v>
      </c>
    </row>
    <row r="152" spans="1:9" x14ac:dyDescent="0.25">
      <c r="A152" s="57">
        <f>'A) Base RI'!A143</f>
        <v>5633</v>
      </c>
      <c r="B152" s="40" t="str">
        <f>'A) Base RI'!B143</f>
        <v>Echandens</v>
      </c>
      <c r="C152" s="39">
        <f>'D) Ecrêtage'!M141</f>
        <v>139554.44612903227</v>
      </c>
      <c r="D152" s="19">
        <f>'A) Base RI'!U143</f>
        <v>2731</v>
      </c>
      <c r="E152" s="14">
        <f t="shared" si="6"/>
        <v>2624549.399258479</v>
      </c>
      <c r="F152" s="19">
        <f>'F) Population'!K144</f>
        <v>695908.45070422534</v>
      </c>
      <c r="G152" s="14">
        <f>'G) Solidarité'!I141</f>
        <v>0</v>
      </c>
      <c r="H152" s="19">
        <f t="shared" si="7"/>
        <v>695908.45070422534</v>
      </c>
      <c r="I152" s="66">
        <f t="shared" si="8"/>
        <v>1928640.9485542537</v>
      </c>
    </row>
    <row r="153" spans="1:9" x14ac:dyDescent="0.25">
      <c r="A153" s="57">
        <f>'A) Base RI'!A144</f>
        <v>5634</v>
      </c>
      <c r="B153" s="40" t="str">
        <f>'A) Base RI'!B144</f>
        <v>Echichens</v>
      </c>
      <c r="C153" s="39">
        <f>'D) Ecrêtage'!M142</f>
        <v>125699.21529411766</v>
      </c>
      <c r="D153" s="19">
        <f>'A) Base RI'!U144</f>
        <v>2639</v>
      </c>
      <c r="E153" s="14">
        <f t="shared" si="6"/>
        <v>2363979.1431826483</v>
      </c>
      <c r="F153" s="19">
        <f>'F) Population'!K145</f>
        <v>664161.97183098597</v>
      </c>
      <c r="G153" s="14">
        <f>'G) Solidarité'!I142</f>
        <v>0</v>
      </c>
      <c r="H153" s="19">
        <f t="shared" si="7"/>
        <v>664161.97183098597</v>
      </c>
      <c r="I153" s="66">
        <f t="shared" si="8"/>
        <v>1699817.1713516624</v>
      </c>
    </row>
    <row r="154" spans="1:9" x14ac:dyDescent="0.25">
      <c r="A154" s="57">
        <f>'A) Base RI'!A145</f>
        <v>5635</v>
      </c>
      <c r="B154" s="40" t="str">
        <f>'A) Base RI'!B145</f>
        <v>Ecublens</v>
      </c>
      <c r="C154" s="39">
        <f>'D) Ecrêtage'!M143</f>
        <v>424543.31159592536</v>
      </c>
      <c r="D154" s="19">
        <f>'A) Base RI'!U145</f>
        <v>12340</v>
      </c>
      <c r="E154" s="14">
        <f t="shared" si="6"/>
        <v>7984230.7021738868</v>
      </c>
      <c r="F154" s="19">
        <f>'F) Population'!K146</f>
        <v>6990140.8450704217</v>
      </c>
      <c r="G154" s="14">
        <f>'G) Solidarité'!I143</f>
        <v>2063139.0427646067</v>
      </c>
      <c r="H154" s="19">
        <f t="shared" si="7"/>
        <v>9053279.8878350276</v>
      </c>
      <c r="I154" s="66">
        <f t="shared" si="8"/>
        <v>-1069049.1856611408</v>
      </c>
    </row>
    <row r="155" spans="1:9" x14ac:dyDescent="0.25">
      <c r="A155" s="57">
        <f>'A) Base RI'!A146</f>
        <v>5636</v>
      </c>
      <c r="B155" s="40" t="str">
        <f>'A) Base RI'!B146</f>
        <v>Etoy</v>
      </c>
      <c r="C155" s="39">
        <f>'D) Ecrêtage'!M144</f>
        <v>150854.83475409835</v>
      </c>
      <c r="D155" s="19">
        <f>'A) Base RI'!U146</f>
        <v>2906</v>
      </c>
      <c r="E155" s="14">
        <f t="shared" si="6"/>
        <v>2837071.6728224638</v>
      </c>
      <c r="F155" s="19">
        <f>'F) Population'!K147</f>
        <v>756295.77464788733</v>
      </c>
      <c r="G155" s="14">
        <f>'G) Solidarité'!I144</f>
        <v>0</v>
      </c>
      <c r="H155" s="19">
        <f t="shared" si="7"/>
        <v>756295.77464788733</v>
      </c>
      <c r="I155" s="66">
        <f t="shared" si="8"/>
        <v>2080775.8981745765</v>
      </c>
    </row>
    <row r="156" spans="1:9" x14ac:dyDescent="0.25">
      <c r="A156" s="57">
        <f>'A) Base RI'!A147</f>
        <v>5637</v>
      </c>
      <c r="B156" s="40" t="str">
        <f>'A) Base RI'!B147</f>
        <v>Lavigny</v>
      </c>
      <c r="C156" s="39">
        <f>'D) Ecrêtage'!M145</f>
        <v>35788.809619686814</v>
      </c>
      <c r="D156" s="19">
        <f>'A) Base RI'!U147</f>
        <v>1006</v>
      </c>
      <c r="E156" s="14">
        <f t="shared" si="6"/>
        <v>673067.04582294519</v>
      </c>
      <c r="F156" s="19">
        <f>'F) Population'!K148</f>
        <v>100661.97183098592</v>
      </c>
      <c r="G156" s="14">
        <f>'G) Solidarité'!I145</f>
        <v>216766.93407072901</v>
      </c>
      <c r="H156" s="19">
        <f t="shared" si="7"/>
        <v>317428.90590171493</v>
      </c>
      <c r="I156" s="66">
        <f t="shared" si="8"/>
        <v>355638.13992123026</v>
      </c>
    </row>
    <row r="157" spans="1:9" x14ac:dyDescent="0.25">
      <c r="A157" s="57">
        <f>'A) Base RI'!A148</f>
        <v>5638</v>
      </c>
      <c r="B157" s="40" t="str">
        <f>'A) Base RI'!B148</f>
        <v>Lonay</v>
      </c>
      <c r="C157" s="39">
        <f>'D) Ecrêtage'!M146</f>
        <v>149182.29456782961</v>
      </c>
      <c r="D157" s="19">
        <f>'A) Base RI'!U148</f>
        <v>2530</v>
      </c>
      <c r="E157" s="14">
        <f t="shared" si="6"/>
        <v>2805616.8215950895</v>
      </c>
      <c r="F157" s="19">
        <f>'F) Population'!K149</f>
        <v>626549.29577464785</v>
      </c>
      <c r="G157" s="14">
        <f>'G) Solidarité'!I146</f>
        <v>0</v>
      </c>
      <c r="H157" s="19">
        <f t="shared" si="7"/>
        <v>626549.29577464785</v>
      </c>
      <c r="I157" s="66">
        <f t="shared" si="8"/>
        <v>2179067.5258204415</v>
      </c>
    </row>
    <row r="158" spans="1:9" x14ac:dyDescent="0.25">
      <c r="A158" s="57">
        <f>'A) Base RI'!A149</f>
        <v>5639</v>
      </c>
      <c r="B158" s="40" t="str">
        <f>'A) Base RI'!B149</f>
        <v>Lully</v>
      </c>
      <c r="C158" s="39">
        <f>'D) Ecrêtage'!M147</f>
        <v>41723.705573770494</v>
      </c>
      <c r="D158" s="19">
        <f>'A) Base RI'!U149</f>
        <v>785</v>
      </c>
      <c r="E158" s="14">
        <f t="shared" si="6"/>
        <v>784682.46219276777</v>
      </c>
      <c r="F158" s="19">
        <f>'F) Population'!K150</f>
        <v>77394.366197183088</v>
      </c>
      <c r="G158" s="14">
        <f>'G) Solidarité'!I147</f>
        <v>0</v>
      </c>
      <c r="H158" s="19">
        <f t="shared" si="7"/>
        <v>77394.366197183088</v>
      </c>
      <c r="I158" s="66">
        <f t="shared" si="8"/>
        <v>707288.09599558474</v>
      </c>
    </row>
    <row r="159" spans="1:9" x14ac:dyDescent="0.25">
      <c r="A159" s="57">
        <f>'A) Base RI'!A150</f>
        <v>5640</v>
      </c>
      <c r="B159" s="40" t="str">
        <f>'A) Base RI'!B150</f>
        <v>Lussy-sur-Morges</v>
      </c>
      <c r="C159" s="39">
        <f>'D) Ecrêtage'!M148</f>
        <v>50448.007256951299</v>
      </c>
      <c r="D159" s="19">
        <f>'A) Base RI'!U150</f>
        <v>644</v>
      </c>
      <c r="E159" s="14">
        <f t="shared" si="6"/>
        <v>948757.21134386957</v>
      </c>
      <c r="F159" s="19">
        <f>'F) Population'!K151</f>
        <v>63492.957746478867</v>
      </c>
      <c r="G159" s="14">
        <f>'G) Solidarité'!I148</f>
        <v>0</v>
      </c>
      <c r="H159" s="19">
        <f t="shared" si="7"/>
        <v>63492.957746478867</v>
      </c>
      <c r="I159" s="66">
        <f t="shared" si="8"/>
        <v>885264.25359739072</v>
      </c>
    </row>
    <row r="160" spans="1:9" x14ac:dyDescent="0.25">
      <c r="A160" s="57">
        <f>'A) Base RI'!A151</f>
        <v>5642</v>
      </c>
      <c r="B160" s="40" t="str">
        <f>'A) Base RI'!B151</f>
        <v>Morges</v>
      </c>
      <c r="C160" s="39">
        <f>'D) Ecrêtage'!M149</f>
        <v>781778.61635036487</v>
      </c>
      <c r="D160" s="19">
        <f>'A) Base RI'!U151</f>
        <v>15819</v>
      </c>
      <c r="E160" s="14">
        <f t="shared" si="6"/>
        <v>14702624.350630593</v>
      </c>
      <c r="F160" s="19">
        <f>'F) Population'!K152</f>
        <v>10460514.084507041</v>
      </c>
      <c r="G160" s="14">
        <f>'G) Solidarité'!I149</f>
        <v>0</v>
      </c>
      <c r="H160" s="19">
        <f t="shared" si="7"/>
        <v>10460514.084507041</v>
      </c>
      <c r="I160" s="66">
        <f t="shared" si="8"/>
        <v>4242110.2661235519</v>
      </c>
    </row>
    <row r="161" spans="1:9" x14ac:dyDescent="0.25">
      <c r="A161" s="57">
        <f>'A) Base RI'!A152</f>
        <v>5643</v>
      </c>
      <c r="B161" s="40" t="str">
        <f>'A) Base RI'!B152</f>
        <v>Préverenges</v>
      </c>
      <c r="C161" s="39">
        <f>'D) Ecrêtage'!M150</f>
        <v>262779.91921874997</v>
      </c>
      <c r="D161" s="19">
        <f>'A) Base RI'!U152</f>
        <v>5276</v>
      </c>
      <c r="E161" s="14">
        <f t="shared" si="6"/>
        <v>4942005.7780537046</v>
      </c>
      <c r="F161" s="19">
        <f>'F) Population'!K153</f>
        <v>1937915.4929577464</v>
      </c>
      <c r="G161" s="14">
        <f>'G) Solidarité'!I150</f>
        <v>0</v>
      </c>
      <c r="H161" s="19">
        <f t="shared" si="7"/>
        <v>1937915.4929577464</v>
      </c>
      <c r="I161" s="66">
        <f t="shared" si="8"/>
        <v>3004090.285095958</v>
      </c>
    </row>
    <row r="162" spans="1:9" x14ac:dyDescent="0.25">
      <c r="A162" s="57">
        <f>'A) Base RI'!A153</f>
        <v>5644</v>
      </c>
      <c r="B162" s="40" t="str">
        <f>'A) Base RI'!B153</f>
        <v>Reverolle</v>
      </c>
      <c r="C162" s="39">
        <f>'D) Ecrêtage'!M151</f>
        <v>14128.860263157892</v>
      </c>
      <c r="D162" s="19">
        <f>'A) Base RI'!U153</f>
        <v>368</v>
      </c>
      <c r="E162" s="14">
        <f t="shared" si="6"/>
        <v>265716.30459979805</v>
      </c>
      <c r="F162" s="19">
        <f>'F) Population'!K154</f>
        <v>36281.690140845065</v>
      </c>
      <c r="G162" s="14">
        <f>'G) Solidarité'!I151</f>
        <v>58631.713817765951</v>
      </c>
      <c r="H162" s="19">
        <f t="shared" si="7"/>
        <v>94913.403958611016</v>
      </c>
      <c r="I162" s="66">
        <f t="shared" si="8"/>
        <v>170802.90064118704</v>
      </c>
    </row>
    <row r="163" spans="1:9" x14ac:dyDescent="0.25">
      <c r="A163" s="57">
        <f>'A) Base RI'!A154</f>
        <v>5645</v>
      </c>
      <c r="B163" s="40" t="str">
        <f>'A) Base RI'!B154</f>
        <v>Romanel-sur-Morges</v>
      </c>
      <c r="C163" s="39">
        <f>'D) Ecrêtage'!M152</f>
        <v>26355.884598214288</v>
      </c>
      <c r="D163" s="19">
        <f>'A) Base RI'!U154</f>
        <v>477</v>
      </c>
      <c r="E163" s="14">
        <f t="shared" si="6"/>
        <v>495665.47686493822</v>
      </c>
      <c r="F163" s="19">
        <f>'F) Population'!K155</f>
        <v>47028.169014084502</v>
      </c>
      <c r="G163" s="14">
        <f>'G) Solidarité'!I152</f>
        <v>0</v>
      </c>
      <c r="H163" s="19">
        <f t="shared" si="7"/>
        <v>47028.169014084502</v>
      </c>
      <c r="I163" s="66">
        <f t="shared" si="8"/>
        <v>448637.30785085371</v>
      </c>
    </row>
    <row r="164" spans="1:9" x14ac:dyDescent="0.25">
      <c r="A164" s="57">
        <f>'A) Base RI'!A155</f>
        <v>5646</v>
      </c>
      <c r="B164" s="40" t="str">
        <f>'A) Base RI'!B155</f>
        <v>Saint-Prex</v>
      </c>
      <c r="C164" s="39">
        <f>'D) Ecrêtage'!M153</f>
        <v>484583.52386979276</v>
      </c>
      <c r="D164" s="19">
        <f>'A) Base RI'!U155</f>
        <v>5661</v>
      </c>
      <c r="E164" s="14">
        <f t="shared" si="6"/>
        <v>9113385.0030625369</v>
      </c>
      <c r="F164" s="19">
        <f>'F) Population'!K156</f>
        <v>2165661.971830986</v>
      </c>
      <c r="G164" s="14">
        <f>'G) Solidarité'!I153</f>
        <v>0</v>
      </c>
      <c r="H164" s="19">
        <f t="shared" si="7"/>
        <v>2165661.971830986</v>
      </c>
      <c r="I164" s="66">
        <f t="shared" si="8"/>
        <v>6947723.0312315505</v>
      </c>
    </row>
    <row r="165" spans="1:9" x14ac:dyDescent="0.25">
      <c r="A165" s="57">
        <f>'A) Base RI'!A156</f>
        <v>5648</v>
      </c>
      <c r="B165" s="40" t="str">
        <f>'A) Base RI'!B156</f>
        <v>Saint-Sulpice</v>
      </c>
      <c r="C165" s="39">
        <f>'D) Ecrêtage'!M154</f>
        <v>303063.54594420397</v>
      </c>
      <c r="D165" s="19">
        <f>'A) Base RI'!U156</f>
        <v>4148</v>
      </c>
      <c r="E165" s="14">
        <f t="shared" si="6"/>
        <v>5699605.2043341706</v>
      </c>
      <c r="F165" s="19">
        <f>'F) Population'!K157</f>
        <v>1354647.8873239437</v>
      </c>
      <c r="G165" s="14">
        <f>'G) Solidarité'!I154</f>
        <v>0</v>
      </c>
      <c r="H165" s="19">
        <f t="shared" si="7"/>
        <v>1354647.8873239437</v>
      </c>
      <c r="I165" s="66">
        <f t="shared" si="8"/>
        <v>4344957.3170102267</v>
      </c>
    </row>
    <row r="166" spans="1:9" x14ac:dyDescent="0.25">
      <c r="A166" s="57">
        <f>'A) Base RI'!A157</f>
        <v>5649</v>
      </c>
      <c r="B166" s="40" t="str">
        <f>'A) Base RI'!B157</f>
        <v>Tolochenaz</v>
      </c>
      <c r="C166" s="39">
        <f>'D) Ecrêtage'!M155</f>
        <v>78727.730769230766</v>
      </c>
      <c r="D166" s="19">
        <f>'A) Base RI'!U157</f>
        <v>1865</v>
      </c>
      <c r="E166" s="14">
        <f t="shared" si="6"/>
        <v>1480603.6226486273</v>
      </c>
      <c r="F166" s="19">
        <f>'F) Population'!K158</f>
        <v>397077.46478873241</v>
      </c>
      <c r="G166" s="14">
        <f>'G) Solidarité'!I155</f>
        <v>97334.189176766871</v>
      </c>
      <c r="H166" s="19">
        <f t="shared" si="7"/>
        <v>494411.65396549925</v>
      </c>
      <c r="I166" s="66">
        <f t="shared" si="8"/>
        <v>986191.96868312801</v>
      </c>
    </row>
    <row r="167" spans="1:9" x14ac:dyDescent="0.25">
      <c r="A167" s="57">
        <f>'A) Base RI'!A158</f>
        <v>5650</v>
      </c>
      <c r="B167" s="40" t="str">
        <f>'A) Base RI'!B158</f>
        <v>Vaux-sur-Morges</v>
      </c>
      <c r="C167" s="39">
        <f>'D) Ecrêtage'!M156</f>
        <v>117330.27959010621</v>
      </c>
      <c r="D167" s="19">
        <f>'A) Base RI'!U158</f>
        <v>200</v>
      </c>
      <c r="E167" s="14">
        <f t="shared" si="6"/>
        <v>2206587.6319577927</v>
      </c>
      <c r="F167" s="19">
        <f>'F) Population'!K159</f>
        <v>19718.309859154928</v>
      </c>
      <c r="G167" s="14">
        <f>'G) Solidarité'!I156</f>
        <v>0</v>
      </c>
      <c r="H167" s="19">
        <f t="shared" si="7"/>
        <v>19718.309859154928</v>
      </c>
      <c r="I167" s="66">
        <f t="shared" si="8"/>
        <v>2186869.3220986379</v>
      </c>
    </row>
    <row r="168" spans="1:9" x14ac:dyDescent="0.25">
      <c r="A168" s="57">
        <f>'A) Base RI'!A159</f>
        <v>5651</v>
      </c>
      <c r="B168" s="40" t="str">
        <f>'A) Base RI'!B159</f>
        <v>Villars-Sainte-Croix</v>
      </c>
      <c r="C168" s="39">
        <f>'D) Ecrêtage'!M157</f>
        <v>39092.930338983046</v>
      </c>
      <c r="D168" s="19">
        <f>'A) Base RI'!U159</f>
        <v>841</v>
      </c>
      <c r="E168" s="14">
        <f t="shared" si="6"/>
        <v>735206.43506811792</v>
      </c>
      <c r="F168" s="19">
        <f>'F) Population'!K160</f>
        <v>82915.492957746479</v>
      </c>
      <c r="G168" s="14">
        <f>'G) Solidarité'!I157</f>
        <v>0</v>
      </c>
      <c r="H168" s="19">
        <f t="shared" si="7"/>
        <v>82915.492957746479</v>
      </c>
      <c r="I168" s="66">
        <f t="shared" si="8"/>
        <v>652290.94211037143</v>
      </c>
    </row>
    <row r="169" spans="1:9" x14ac:dyDescent="0.25">
      <c r="A169" s="57">
        <f>'A) Base RI'!A160</f>
        <v>5652</v>
      </c>
      <c r="B169" s="40" t="str">
        <f>'A) Base RI'!B160</f>
        <v>Villars-sous-Yens</v>
      </c>
      <c r="C169" s="39">
        <f>'D) Ecrêtage'!M158</f>
        <v>21921.455131578947</v>
      </c>
      <c r="D169" s="19">
        <f>'A) Base RI'!U160</f>
        <v>598</v>
      </c>
      <c r="E169" s="14">
        <f t="shared" si="6"/>
        <v>412268.78463808494</v>
      </c>
      <c r="F169" s="19">
        <f>'F) Population'!K161</f>
        <v>58957.746478873232</v>
      </c>
      <c r="G169" s="14">
        <f>'G) Solidarité'!I158</f>
        <v>119183.24735645986</v>
      </c>
      <c r="H169" s="19">
        <f t="shared" si="7"/>
        <v>178140.99383533309</v>
      </c>
      <c r="I169" s="66">
        <f t="shared" si="8"/>
        <v>234127.79080275184</v>
      </c>
    </row>
    <row r="170" spans="1:9" x14ac:dyDescent="0.25">
      <c r="A170" s="57">
        <f>'A) Base RI'!A161</f>
        <v>5653</v>
      </c>
      <c r="B170" s="40" t="str">
        <f>'A) Base RI'!B161</f>
        <v>Vufflens-le-Château</v>
      </c>
      <c r="C170" s="39">
        <f>'D) Ecrêtage'!M159</f>
        <v>58455.167959134647</v>
      </c>
      <c r="D170" s="19">
        <f>'A) Base RI'!U161</f>
        <v>841</v>
      </c>
      <c r="E170" s="14">
        <f t="shared" si="6"/>
        <v>1099344.9524986784</v>
      </c>
      <c r="F170" s="19">
        <f>'F) Population'!K162</f>
        <v>82915.492957746479</v>
      </c>
      <c r="G170" s="14">
        <f>'G) Solidarité'!I159</f>
        <v>0</v>
      </c>
      <c r="H170" s="19">
        <f t="shared" si="7"/>
        <v>82915.492957746479</v>
      </c>
      <c r="I170" s="66">
        <f t="shared" si="8"/>
        <v>1016429.4595409319</v>
      </c>
    </row>
    <row r="171" spans="1:9" x14ac:dyDescent="0.25">
      <c r="A171" s="57">
        <f>'A) Base RI'!A162</f>
        <v>5654</v>
      </c>
      <c r="B171" s="40" t="str">
        <f>'A) Base RI'!B162</f>
        <v>Vullierens</v>
      </c>
      <c r="C171" s="39">
        <f>'D) Ecrêtage'!M160</f>
        <v>17141.735000000001</v>
      </c>
      <c r="D171" s="19">
        <f>'A) Base RI'!U162</f>
        <v>461</v>
      </c>
      <c r="E171" s="14">
        <f t="shared" si="6"/>
        <v>322378.33723262988</v>
      </c>
      <c r="F171" s="19">
        <f>'F) Population'!K163</f>
        <v>45450.704225352107</v>
      </c>
      <c r="G171" s="14">
        <f>'G) Solidarité'!I160</f>
        <v>86295.133759213757</v>
      </c>
      <c r="H171" s="19">
        <f t="shared" si="7"/>
        <v>131745.83798456588</v>
      </c>
      <c r="I171" s="66">
        <f t="shared" si="8"/>
        <v>190632.49924806401</v>
      </c>
    </row>
    <row r="172" spans="1:9" x14ac:dyDescent="0.25">
      <c r="A172" s="57">
        <f>'A) Base RI'!A163</f>
        <v>5655</v>
      </c>
      <c r="B172" s="40" t="str">
        <f>'A) Base RI'!B163</f>
        <v>Yens</v>
      </c>
      <c r="C172" s="39">
        <f>'D) Ecrêtage'!M161</f>
        <v>82506.78552989832</v>
      </c>
      <c r="D172" s="19">
        <f>'A) Base RI'!U163</f>
        <v>1388</v>
      </c>
      <c r="E172" s="14">
        <f t="shared" si="6"/>
        <v>1551674.9226106824</v>
      </c>
      <c r="F172" s="19">
        <f>'F) Population'!K164</f>
        <v>232478.87323943659</v>
      </c>
      <c r="G172" s="14">
        <f>'G) Solidarité'!I161</f>
        <v>0</v>
      </c>
      <c r="H172" s="19">
        <f t="shared" si="7"/>
        <v>232478.87323943659</v>
      </c>
      <c r="I172" s="66">
        <f t="shared" si="8"/>
        <v>1319196.0493712458</v>
      </c>
    </row>
    <row r="173" spans="1:9" x14ac:dyDescent="0.25">
      <c r="A173" s="57">
        <f>'A) Base RI'!A164</f>
        <v>5661</v>
      </c>
      <c r="B173" s="40" t="str">
        <f>'A) Base RI'!B164</f>
        <v>Boulens</v>
      </c>
      <c r="C173" s="39">
        <f>'D) Ecrêtage'!M162</f>
        <v>9592.9711392405043</v>
      </c>
      <c r="D173" s="19">
        <f>'A) Base RI'!U164</f>
        <v>368</v>
      </c>
      <c r="E173" s="14">
        <f t="shared" si="6"/>
        <v>180411.49772697809</v>
      </c>
      <c r="F173" s="19">
        <f>'F) Population'!K165</f>
        <v>36281.690140845065</v>
      </c>
      <c r="G173" s="14">
        <f>'G) Solidarité'!I162</f>
        <v>176236.79511981725</v>
      </c>
      <c r="H173" s="19">
        <f t="shared" si="7"/>
        <v>212518.48526066233</v>
      </c>
      <c r="I173" s="66">
        <f t="shared" si="8"/>
        <v>-32106.987533684238</v>
      </c>
    </row>
    <row r="174" spans="1:9" x14ac:dyDescent="0.25">
      <c r="A174" s="57">
        <f>'A) Base RI'!A165</f>
        <v>5663</v>
      </c>
      <c r="B174" s="40" t="str">
        <f>'A) Base RI'!B165</f>
        <v>Bussy-sur-Moudon</v>
      </c>
      <c r="C174" s="39">
        <f>'D) Ecrêtage'!M163</f>
        <v>5468.4132499999996</v>
      </c>
      <c r="D174" s="19">
        <f>'A) Base RI'!U165</f>
        <v>208</v>
      </c>
      <c r="E174" s="14">
        <f t="shared" si="6"/>
        <v>102842.44686059383</v>
      </c>
      <c r="F174" s="19">
        <f>'F) Population'!K166</f>
        <v>20507.042253521126</v>
      </c>
      <c r="G174" s="14">
        <f>'G) Solidarité'!I163</f>
        <v>100968.28363526167</v>
      </c>
      <c r="H174" s="19">
        <f t="shared" si="7"/>
        <v>121475.3258887828</v>
      </c>
      <c r="I174" s="66">
        <f t="shared" si="8"/>
        <v>-18632.879028188967</v>
      </c>
    </row>
    <row r="175" spans="1:9" x14ac:dyDescent="0.25">
      <c r="A175" s="57">
        <f>'A) Base RI'!A166</f>
        <v>5665</v>
      </c>
      <c r="B175" s="40" t="str">
        <f>'A) Base RI'!B166</f>
        <v>Chavannes-sur-Moudon</v>
      </c>
      <c r="C175" s="39">
        <f>'D) Ecrêtage'!M164</f>
        <v>4982.8790410958891</v>
      </c>
      <c r="D175" s="19">
        <f>'A) Base RI'!U166</f>
        <v>224</v>
      </c>
      <c r="E175" s="14">
        <f t="shared" si="6"/>
        <v>93711.182671988223</v>
      </c>
      <c r="F175" s="19">
        <f>'F) Population'!K167</f>
        <v>22084.507042253521</v>
      </c>
      <c r="G175" s="14">
        <f>'G) Solidarité'!I164</f>
        <v>109795.56167921904</v>
      </c>
      <c r="H175" s="19">
        <f t="shared" si="7"/>
        <v>131880.06872147258</v>
      </c>
      <c r="I175" s="66">
        <f t="shared" si="8"/>
        <v>-38168.886049484354</v>
      </c>
    </row>
    <row r="176" spans="1:9" x14ac:dyDescent="0.25">
      <c r="A176" s="57">
        <f>'A) Base RI'!A167</f>
        <v>5669</v>
      </c>
      <c r="B176" s="40" t="str">
        <f>'A) Base RI'!B167</f>
        <v>Curtilles</v>
      </c>
      <c r="C176" s="39">
        <f>'D) Ecrêtage'!M165</f>
        <v>8279.174027777779</v>
      </c>
      <c r="D176" s="19">
        <f>'A) Base RI'!U167</f>
        <v>309</v>
      </c>
      <c r="E176" s="14">
        <f t="shared" si="6"/>
        <v>155703.39622766164</v>
      </c>
      <c r="F176" s="19">
        <f>'F) Population'!K168</f>
        <v>30464.788732394365</v>
      </c>
      <c r="G176" s="14">
        <f>'G) Solidarité'!I165</f>
        <v>118283.91439033792</v>
      </c>
      <c r="H176" s="19">
        <f t="shared" si="7"/>
        <v>148748.70312273229</v>
      </c>
      <c r="I176" s="66">
        <f t="shared" si="8"/>
        <v>6954.6931049293489</v>
      </c>
    </row>
    <row r="177" spans="1:9" x14ac:dyDescent="0.25">
      <c r="A177" s="57">
        <f>'A) Base RI'!A168</f>
        <v>5671</v>
      </c>
      <c r="B177" s="40" t="str">
        <f>'A) Base RI'!B168</f>
        <v>Dompierre</v>
      </c>
      <c r="C177" s="39">
        <f>'D) Ecrêtage'!M166</f>
        <v>6672.7971250000001</v>
      </c>
      <c r="D177" s="19">
        <f>'A) Base RI'!U168</f>
        <v>242</v>
      </c>
      <c r="E177" s="14">
        <f t="shared" si="6"/>
        <v>125492.85366085598</v>
      </c>
      <c r="F177" s="19">
        <f>'F) Population'!K169</f>
        <v>23859.154929577464</v>
      </c>
      <c r="G177" s="14">
        <f>'G) Solidarité'!I166</f>
        <v>109548.19571245034</v>
      </c>
      <c r="H177" s="19">
        <f t="shared" si="7"/>
        <v>133407.3506420278</v>
      </c>
      <c r="I177" s="66">
        <f t="shared" si="8"/>
        <v>-7914.4969811718183</v>
      </c>
    </row>
    <row r="178" spans="1:9" x14ac:dyDescent="0.25">
      <c r="A178" s="57">
        <f>'A) Base RI'!A169</f>
        <v>5673</v>
      </c>
      <c r="B178" s="40" t="str">
        <f>'A) Base RI'!B169</f>
        <v>Hermenches</v>
      </c>
      <c r="C178" s="39">
        <f>'D) Ecrêtage'!M167</f>
        <v>7873.3323555555571</v>
      </c>
      <c r="D178" s="19">
        <f>'A) Base RI'!U169</f>
        <v>379</v>
      </c>
      <c r="E178" s="14">
        <f t="shared" si="6"/>
        <v>148070.88041343921</v>
      </c>
      <c r="F178" s="19">
        <f>'F) Population'!K170</f>
        <v>37366.197183098586</v>
      </c>
      <c r="G178" s="14">
        <f>'G) Solidarité'!I167</f>
        <v>208594.35401090368</v>
      </c>
      <c r="H178" s="19">
        <f t="shared" si="7"/>
        <v>245960.55119400227</v>
      </c>
      <c r="I178" s="66">
        <f t="shared" si="8"/>
        <v>-97889.670780563058</v>
      </c>
    </row>
    <row r="179" spans="1:9" x14ac:dyDescent="0.25">
      <c r="A179" s="57">
        <f>'A) Base RI'!A170</f>
        <v>5674</v>
      </c>
      <c r="B179" s="40" t="str">
        <f>'A) Base RI'!B170</f>
        <v>Lovatens</v>
      </c>
      <c r="C179" s="39">
        <f>'D) Ecrêtage'!M168</f>
        <v>3776.8391809523814</v>
      </c>
      <c r="D179" s="19">
        <f>'A) Base RI'!U170</f>
        <v>143</v>
      </c>
      <c r="E179" s="14">
        <f t="shared" si="6"/>
        <v>71029.632365129699</v>
      </c>
      <c r="F179" s="19">
        <f>'F) Population'!K171</f>
        <v>14098.591549295774</v>
      </c>
      <c r="G179" s="14">
        <f>'G) Solidarité'!I168</f>
        <v>60621.724249383944</v>
      </c>
      <c r="H179" s="19">
        <f t="shared" si="7"/>
        <v>74720.315798679716</v>
      </c>
      <c r="I179" s="66">
        <f t="shared" si="8"/>
        <v>-3690.6834335500171</v>
      </c>
    </row>
    <row r="180" spans="1:9" x14ac:dyDescent="0.25">
      <c r="A180" s="57">
        <f>'A) Base RI'!A171</f>
        <v>5675</v>
      </c>
      <c r="B180" s="40" t="str">
        <f>'A) Base RI'!B171</f>
        <v>Lucens</v>
      </c>
      <c r="C180" s="39">
        <f>'D) Ecrêtage'!M169</f>
        <v>92926.657086941384</v>
      </c>
      <c r="D180" s="19">
        <f>'A) Base RI'!U171</f>
        <v>4009</v>
      </c>
      <c r="E180" s="14">
        <f t="shared" si="6"/>
        <v>1747637.6338961574</v>
      </c>
      <c r="F180" s="19">
        <f>'F) Population'!K172</f>
        <v>1286126.7605633803</v>
      </c>
      <c r="G180" s="14">
        <f>'G) Solidarité'!I169</f>
        <v>1627349.8459357403</v>
      </c>
      <c r="H180" s="19">
        <f t="shared" si="7"/>
        <v>2913476.6064991206</v>
      </c>
      <c r="I180" s="66">
        <f t="shared" si="8"/>
        <v>-1165838.9726029632</v>
      </c>
    </row>
    <row r="181" spans="1:9" x14ac:dyDescent="0.25">
      <c r="A181" s="57">
        <f>'A) Base RI'!A172</f>
        <v>5678</v>
      </c>
      <c r="B181" s="40" t="str">
        <f>'A) Base RI'!B172</f>
        <v>Moudon</v>
      </c>
      <c r="C181" s="39">
        <f>'D) Ecrêtage'!M170</f>
        <v>123116.47720000001</v>
      </c>
      <c r="D181" s="19">
        <f>'A) Base RI'!U172</f>
        <v>6003</v>
      </c>
      <c r="E181" s="14">
        <f t="shared" si="6"/>
        <v>2315406.5329836793</v>
      </c>
      <c r="F181" s="19">
        <f>'F) Population'!K173</f>
        <v>2367971.8309859154</v>
      </c>
      <c r="G181" s="14">
        <f>'G) Solidarité'!I170</f>
        <v>3339592.8286261908</v>
      </c>
      <c r="H181" s="19">
        <f t="shared" si="7"/>
        <v>5707564.6596121062</v>
      </c>
      <c r="I181" s="66">
        <f t="shared" si="8"/>
        <v>-3392158.1266284268</v>
      </c>
    </row>
    <row r="182" spans="1:9" x14ac:dyDescent="0.25">
      <c r="A182" s="57">
        <f>'A) Base RI'!A173</f>
        <v>5680</v>
      </c>
      <c r="B182" s="40" t="str">
        <f>'A) Base RI'!B173</f>
        <v>Ogens</v>
      </c>
      <c r="C182" s="39">
        <f>'D) Ecrêtage'!M171</f>
        <v>8504.3488034188031</v>
      </c>
      <c r="D182" s="19">
        <f>'A) Base RI'!U173</f>
        <v>296</v>
      </c>
      <c r="E182" s="14">
        <f t="shared" si="6"/>
        <v>159938.1758318198</v>
      </c>
      <c r="F182" s="19">
        <f>'F) Population'!K174</f>
        <v>29183.098591549293</v>
      </c>
      <c r="G182" s="14">
        <f>'G) Solidarité'!I171</f>
        <v>119065.59925045294</v>
      </c>
      <c r="H182" s="19">
        <f t="shared" si="7"/>
        <v>148248.69784200224</v>
      </c>
      <c r="I182" s="66">
        <f t="shared" si="8"/>
        <v>11689.477989817562</v>
      </c>
    </row>
    <row r="183" spans="1:9" x14ac:dyDescent="0.25">
      <c r="A183" s="57">
        <f>'A) Base RI'!A174</f>
        <v>5683</v>
      </c>
      <c r="B183" s="40" t="str">
        <f>'A) Base RI'!B174</f>
        <v>Prévonloup</v>
      </c>
      <c r="C183" s="39">
        <f>'D) Ecrêtage'!M172</f>
        <v>4128.5685135135127</v>
      </c>
      <c r="D183" s="19">
        <f>'A) Base RI'!U174</f>
        <v>166</v>
      </c>
      <c r="E183" s="14">
        <f t="shared" si="6"/>
        <v>77644.47720942348</v>
      </c>
      <c r="F183" s="19">
        <f>'F) Population'!K175</f>
        <v>16366.197183098591</v>
      </c>
      <c r="G183" s="14">
        <f>'G) Solidarité'!I172</f>
        <v>74092.331491853271</v>
      </c>
      <c r="H183" s="19">
        <f t="shared" si="7"/>
        <v>90458.528674951856</v>
      </c>
      <c r="I183" s="66">
        <f t="shared" si="8"/>
        <v>-12814.051465528377</v>
      </c>
    </row>
    <row r="184" spans="1:9" x14ac:dyDescent="0.25">
      <c r="A184" s="57">
        <f>'A) Base RI'!A175</f>
        <v>5684</v>
      </c>
      <c r="B184" s="40" t="str">
        <f>'A) Base RI'!B175</f>
        <v>Rossenges</v>
      </c>
      <c r="C184" s="39">
        <f>'D) Ecrêtage'!M173</f>
        <v>2119.9519999999998</v>
      </c>
      <c r="D184" s="19">
        <f>'A) Base RI'!U175</f>
        <v>60</v>
      </c>
      <c r="E184" s="14">
        <f t="shared" si="6"/>
        <v>39869.161480619558</v>
      </c>
      <c r="F184" s="19">
        <f>'F) Population'!K176</f>
        <v>5915.4929577464782</v>
      </c>
      <c r="G184" s="14">
        <f>'G) Solidarité'!I173</f>
        <v>8594.7942581261632</v>
      </c>
      <c r="H184" s="19">
        <f t="shared" si="7"/>
        <v>14510.287215872642</v>
      </c>
      <c r="I184" s="66">
        <f t="shared" si="8"/>
        <v>25358.874264746915</v>
      </c>
    </row>
    <row r="185" spans="1:9" x14ac:dyDescent="0.25">
      <c r="A185" s="57">
        <f>'A) Base RI'!A176</f>
        <v>5688</v>
      </c>
      <c r="B185" s="40" t="str">
        <f>'A) Base RI'!B176</f>
        <v>Syens</v>
      </c>
      <c r="C185" s="39">
        <f>'D) Ecrêtage'!M174</f>
        <v>4845.4007936507942</v>
      </c>
      <c r="D185" s="19">
        <f>'A) Base RI'!U176</f>
        <v>145</v>
      </c>
      <c r="E185" s="14">
        <f t="shared" si="6"/>
        <v>91125.679581606426</v>
      </c>
      <c r="F185" s="19">
        <f>'F) Population'!K177</f>
        <v>14295.774647887323</v>
      </c>
      <c r="G185" s="14">
        <f>'G) Solidarité'!I174</f>
        <v>39307.356062151201</v>
      </c>
      <c r="H185" s="19">
        <f t="shared" si="7"/>
        <v>53603.130710038524</v>
      </c>
      <c r="I185" s="66">
        <f t="shared" si="8"/>
        <v>37522.548871567902</v>
      </c>
    </row>
    <row r="186" spans="1:9" x14ac:dyDescent="0.25">
      <c r="A186" s="57">
        <f>'A) Base RI'!A177</f>
        <v>5690</v>
      </c>
      <c r="B186" s="40" t="str">
        <f>'A) Base RI'!B177</f>
        <v>Villars-le-Comte</v>
      </c>
      <c r="C186" s="39">
        <f>'D) Ecrêtage'!M175</f>
        <v>3252.2851315789467</v>
      </c>
      <c r="D186" s="19">
        <f>'A) Base RI'!U177</f>
        <v>143</v>
      </c>
      <c r="E186" s="14">
        <f t="shared" si="6"/>
        <v>61164.536315887846</v>
      </c>
      <c r="F186" s="19">
        <f>'F) Population'!K178</f>
        <v>14098.591549295774</v>
      </c>
      <c r="G186" s="14">
        <f>'G) Solidarité'!I175</f>
        <v>74331.020962994269</v>
      </c>
      <c r="H186" s="19">
        <f t="shared" si="7"/>
        <v>88429.612512290041</v>
      </c>
      <c r="I186" s="66">
        <f t="shared" si="8"/>
        <v>-27265.076196402195</v>
      </c>
    </row>
    <row r="187" spans="1:9" x14ac:dyDescent="0.25">
      <c r="A187" s="57">
        <f>'A) Base RI'!A178</f>
        <v>5692</v>
      </c>
      <c r="B187" s="40" t="str">
        <f>'A) Base RI'!B178</f>
        <v>Vucherens</v>
      </c>
      <c r="C187" s="39">
        <f>'D) Ecrêtage'!M176</f>
        <v>16993.232405063292</v>
      </c>
      <c r="D187" s="19">
        <f>'A) Base RI'!U178</f>
        <v>557</v>
      </c>
      <c r="E187" s="14">
        <f t="shared" si="6"/>
        <v>319585.50327326544</v>
      </c>
      <c r="F187" s="19">
        <f>'F) Population'!K179</f>
        <v>54915.492957746472</v>
      </c>
      <c r="G187" s="14">
        <f>'G) Solidarité'!I176</f>
        <v>205193.17640538563</v>
      </c>
      <c r="H187" s="19">
        <f t="shared" si="7"/>
        <v>260108.6693631321</v>
      </c>
      <c r="I187" s="66">
        <f t="shared" si="8"/>
        <v>59476.83391013334</v>
      </c>
    </row>
    <row r="188" spans="1:9" x14ac:dyDescent="0.25">
      <c r="A188" s="57">
        <f>'A) Base RI'!A179</f>
        <v>5693</v>
      </c>
      <c r="B188" s="40" t="str">
        <f>'A) Base RI'!B179</f>
        <v>Montanaire</v>
      </c>
      <c r="C188" s="39">
        <f>'D) Ecrêtage'!M177</f>
        <v>63585.08152777778</v>
      </c>
      <c r="D188" s="19">
        <f>'A) Base RI'!U179</f>
        <v>2500</v>
      </c>
      <c r="E188" s="14">
        <f t="shared" si="6"/>
        <v>1195821.3597238676</v>
      </c>
      <c r="F188" s="19">
        <f>'F) Population'!K180</f>
        <v>616197.18309859151</v>
      </c>
      <c r="G188" s="14">
        <f>'G) Solidarité'!I177</f>
        <v>1027244.2341662064</v>
      </c>
      <c r="H188" s="19">
        <f t="shared" si="7"/>
        <v>1643441.417264798</v>
      </c>
      <c r="I188" s="66">
        <f t="shared" si="8"/>
        <v>-447620.05754093034</v>
      </c>
    </row>
    <row r="189" spans="1:9" x14ac:dyDescent="0.25">
      <c r="A189" s="57">
        <f>'A) Base RI'!A180</f>
        <v>5701</v>
      </c>
      <c r="B189" s="40" t="str">
        <f>'A) Base RI'!B180</f>
        <v>Arnex-sur-Nyon</v>
      </c>
      <c r="C189" s="39">
        <f>'D) Ecrêtage'!M178</f>
        <v>14660.270137972431</v>
      </c>
      <c r="D189" s="19">
        <f>'A) Base RI'!U180</f>
        <v>214</v>
      </c>
      <c r="E189" s="14">
        <f t="shared" si="6"/>
        <v>275710.33564926364</v>
      </c>
      <c r="F189" s="19">
        <f>'F) Population'!K181</f>
        <v>21098.591549295772</v>
      </c>
      <c r="G189" s="14">
        <f>'G) Solidarité'!I178</f>
        <v>0</v>
      </c>
      <c r="H189" s="19">
        <f t="shared" si="7"/>
        <v>21098.591549295772</v>
      </c>
      <c r="I189" s="66">
        <f t="shared" si="8"/>
        <v>254611.74409996788</v>
      </c>
    </row>
    <row r="190" spans="1:9" x14ac:dyDescent="0.25">
      <c r="A190" s="57">
        <f>'A) Base RI'!A181</f>
        <v>5702</v>
      </c>
      <c r="B190" s="40" t="str">
        <f>'A) Base RI'!B181</f>
        <v>Arzier-Le Muids</v>
      </c>
      <c r="C190" s="39">
        <f>'D) Ecrêtage'!M179</f>
        <v>151993.41132082354</v>
      </c>
      <c r="D190" s="19">
        <f>'A) Base RI'!U181</f>
        <v>2565</v>
      </c>
      <c r="E190" s="14">
        <f t="shared" si="6"/>
        <v>2858484.4656577804</v>
      </c>
      <c r="F190" s="19">
        <f>'F) Population'!K182</f>
        <v>638626.76056338032</v>
      </c>
      <c r="G190" s="14">
        <f>'G) Solidarité'!I179</f>
        <v>0</v>
      </c>
      <c r="H190" s="19">
        <f t="shared" si="7"/>
        <v>638626.76056338032</v>
      </c>
      <c r="I190" s="66">
        <f t="shared" si="8"/>
        <v>2219857.7050943999</v>
      </c>
    </row>
    <row r="191" spans="1:9" x14ac:dyDescent="0.25">
      <c r="A191" s="57">
        <f>'A) Base RI'!A182</f>
        <v>5703</v>
      </c>
      <c r="B191" s="40" t="str">
        <f>'A) Base RI'!B182</f>
        <v>Bassins</v>
      </c>
      <c r="C191" s="39">
        <f>'D) Ecrêtage'!M180</f>
        <v>52372.205915492945</v>
      </c>
      <c r="D191" s="19">
        <f>'A) Base RI'!U182</f>
        <v>1311</v>
      </c>
      <c r="E191" s="14">
        <f t="shared" si="6"/>
        <v>984944.91136641172</v>
      </c>
      <c r="F191" s="19">
        <f>'F) Population'!K183</f>
        <v>205908.45070422534</v>
      </c>
      <c r="G191" s="14">
        <f>'G) Solidarité'!I180</f>
        <v>141325.52895883829</v>
      </c>
      <c r="H191" s="19">
        <f t="shared" si="7"/>
        <v>347233.97966306366</v>
      </c>
      <c r="I191" s="66">
        <f t="shared" si="8"/>
        <v>637710.93170334806</v>
      </c>
    </row>
    <row r="192" spans="1:9" x14ac:dyDescent="0.25">
      <c r="A192" s="57">
        <f>'A) Base RI'!A183</f>
        <v>5704</v>
      </c>
      <c r="B192" s="40" t="str">
        <f>'A) Base RI'!B183</f>
        <v>Begnins</v>
      </c>
      <c r="C192" s="39">
        <f>'D) Ecrêtage'!M181</f>
        <v>115692.90527235197</v>
      </c>
      <c r="D192" s="19">
        <f>'A) Base RI'!U183</f>
        <v>1856</v>
      </c>
      <c r="E192" s="14">
        <f t="shared" si="6"/>
        <v>2175794.1323508378</v>
      </c>
      <c r="F192" s="19">
        <f>'F) Population'!K184</f>
        <v>393971.8309859155</v>
      </c>
      <c r="G192" s="14">
        <f>'G) Solidarité'!I181</f>
        <v>0</v>
      </c>
      <c r="H192" s="19">
        <f t="shared" si="7"/>
        <v>393971.8309859155</v>
      </c>
      <c r="I192" s="66">
        <f t="shared" si="8"/>
        <v>1781822.3013649224</v>
      </c>
    </row>
    <row r="193" spans="1:9" x14ac:dyDescent="0.25">
      <c r="A193" s="57">
        <f>'A) Base RI'!A184</f>
        <v>5705</v>
      </c>
      <c r="B193" s="40" t="str">
        <f>'A) Base RI'!B184</f>
        <v>Bogis-Bossey</v>
      </c>
      <c r="C193" s="39">
        <f>'D) Ecrêtage'!M182</f>
        <v>49004.809228600694</v>
      </c>
      <c r="D193" s="19">
        <f>'A) Base RI'!U184</f>
        <v>827</v>
      </c>
      <c r="E193" s="14">
        <f t="shared" si="6"/>
        <v>921615.5141541115</v>
      </c>
      <c r="F193" s="19">
        <f>'F) Population'!K185</f>
        <v>81535.211267605628</v>
      </c>
      <c r="G193" s="14">
        <f>'G) Solidarité'!I182</f>
        <v>0</v>
      </c>
      <c r="H193" s="19">
        <f t="shared" si="7"/>
        <v>81535.211267605628</v>
      </c>
      <c r="I193" s="66">
        <f t="shared" si="8"/>
        <v>840080.30288650584</v>
      </c>
    </row>
    <row r="194" spans="1:9" x14ac:dyDescent="0.25">
      <c r="A194" s="57">
        <f>'A) Base RI'!A185</f>
        <v>5706</v>
      </c>
      <c r="B194" s="40" t="str">
        <f>'A) Base RI'!B185</f>
        <v>Borex</v>
      </c>
      <c r="C194" s="39">
        <f>'D) Ecrêtage'!M183</f>
        <v>66994.978821330893</v>
      </c>
      <c r="D194" s="19">
        <f>'A) Base RI'!U185</f>
        <v>1099</v>
      </c>
      <c r="E194" s="14">
        <f t="shared" si="6"/>
        <v>1259950.0502928034</v>
      </c>
      <c r="F194" s="19">
        <f>'F) Population'!K186</f>
        <v>132753.52112676058</v>
      </c>
      <c r="G194" s="14">
        <f>'G) Solidarité'!I183</f>
        <v>0</v>
      </c>
      <c r="H194" s="19">
        <f t="shared" si="7"/>
        <v>132753.52112676058</v>
      </c>
      <c r="I194" s="66">
        <f t="shared" si="8"/>
        <v>1127196.5291660428</v>
      </c>
    </row>
    <row r="195" spans="1:9" x14ac:dyDescent="0.25">
      <c r="A195" s="57">
        <f>'A) Base RI'!A186</f>
        <v>5707</v>
      </c>
      <c r="B195" s="40" t="str">
        <f>'A) Base RI'!B186</f>
        <v>Chavannes-de-Bogis</v>
      </c>
      <c r="C195" s="39">
        <f>'D) Ecrêtage'!M184</f>
        <v>93606.750062920488</v>
      </c>
      <c r="D195" s="19">
        <f>'A) Base RI'!U186</f>
        <v>1153</v>
      </c>
      <c r="E195" s="14">
        <f t="shared" si="6"/>
        <v>1760427.8936195595</v>
      </c>
      <c r="F195" s="19">
        <f>'F) Population'!K187</f>
        <v>151387.32394366196</v>
      </c>
      <c r="G195" s="14">
        <f>'G) Solidarité'!I184</f>
        <v>0</v>
      </c>
      <c r="H195" s="19">
        <f t="shared" si="7"/>
        <v>151387.32394366196</v>
      </c>
      <c r="I195" s="66">
        <f t="shared" si="8"/>
        <v>1609040.5696758975</v>
      </c>
    </row>
    <row r="196" spans="1:9" x14ac:dyDescent="0.25">
      <c r="A196" s="57">
        <f>'A) Base RI'!A187</f>
        <v>5708</v>
      </c>
      <c r="B196" s="40" t="str">
        <f>'A) Base RI'!B187</f>
        <v>Chavannes-des-Bois</v>
      </c>
      <c r="C196" s="39">
        <f>'D) Ecrêtage'!M185</f>
        <v>62406.249989727599</v>
      </c>
      <c r="D196" s="19">
        <f>'A) Base RI'!U187</f>
        <v>850</v>
      </c>
      <c r="E196" s="14">
        <f t="shared" si="6"/>
        <v>1173651.5063739002</v>
      </c>
      <c r="F196" s="19">
        <f>'F) Population'!K188</f>
        <v>83802.816901408441</v>
      </c>
      <c r="G196" s="14">
        <f>'G) Solidarité'!I185</f>
        <v>0</v>
      </c>
      <c r="H196" s="19">
        <f t="shared" si="7"/>
        <v>83802.816901408441</v>
      </c>
      <c r="I196" s="66">
        <f t="shared" si="8"/>
        <v>1089848.6894724919</v>
      </c>
    </row>
    <row r="197" spans="1:9" x14ac:dyDescent="0.25">
      <c r="A197" s="57">
        <f>'A) Base RI'!A188</f>
        <v>5709</v>
      </c>
      <c r="B197" s="40" t="str">
        <f>'A) Base RI'!B188</f>
        <v>Chéserex</v>
      </c>
      <c r="C197" s="39">
        <f>'D) Ecrêtage'!M186</f>
        <v>124275.39965933609</v>
      </c>
      <c r="D197" s="19">
        <f>'A) Base RI'!U188</f>
        <v>1222</v>
      </c>
      <c r="E197" s="14">
        <f t="shared" si="6"/>
        <v>2337201.9635758754</v>
      </c>
      <c r="F197" s="19">
        <f>'F) Population'!K189</f>
        <v>175197.18309859154</v>
      </c>
      <c r="G197" s="14">
        <f>'G) Solidarité'!I186</f>
        <v>0</v>
      </c>
      <c r="H197" s="19">
        <f t="shared" si="7"/>
        <v>175197.18309859154</v>
      </c>
      <c r="I197" s="66">
        <f t="shared" si="8"/>
        <v>2162004.780477284</v>
      </c>
    </row>
    <row r="198" spans="1:9" x14ac:dyDescent="0.25">
      <c r="A198" s="57">
        <f>'A) Base RI'!A189</f>
        <v>5710</v>
      </c>
      <c r="B198" s="40" t="str">
        <f>'A) Base RI'!B189</f>
        <v>Coinsins</v>
      </c>
      <c r="C198" s="39">
        <f>'D) Ecrêtage'!M187</f>
        <v>64292.971472833407</v>
      </c>
      <c r="D198" s="19">
        <f>'A) Base RI'!U189</f>
        <v>490</v>
      </c>
      <c r="E198" s="14">
        <f t="shared" si="6"/>
        <v>1209134.3868725623</v>
      </c>
      <c r="F198" s="19">
        <f>'F) Population'!K190</f>
        <v>48309.859154929574</v>
      </c>
      <c r="G198" s="14">
        <f>'G) Solidarité'!I187</f>
        <v>0</v>
      </c>
      <c r="H198" s="19">
        <f t="shared" si="7"/>
        <v>48309.859154929574</v>
      </c>
      <c r="I198" s="66">
        <f t="shared" si="8"/>
        <v>1160824.5277176327</v>
      </c>
    </row>
    <row r="199" spans="1:9" x14ac:dyDescent="0.25">
      <c r="A199" s="57">
        <f>'A) Base RI'!A190</f>
        <v>5711</v>
      </c>
      <c r="B199" s="40" t="str">
        <f>'A) Base RI'!B190</f>
        <v>Commugny</v>
      </c>
      <c r="C199" s="39">
        <f>'D) Ecrêtage'!M188</f>
        <v>226389.55281831487</v>
      </c>
      <c r="D199" s="19">
        <f>'A) Base RI'!U190</f>
        <v>2561</v>
      </c>
      <c r="E199" s="14">
        <f t="shared" si="6"/>
        <v>4257625.4739912264</v>
      </c>
      <c r="F199" s="19">
        <f>'F) Population'!K191</f>
        <v>637246.47887323948</v>
      </c>
      <c r="G199" s="14">
        <f>'G) Solidarité'!I188</f>
        <v>0</v>
      </c>
      <c r="H199" s="19">
        <f t="shared" si="7"/>
        <v>637246.47887323948</v>
      </c>
      <c r="I199" s="66">
        <f t="shared" si="8"/>
        <v>3620378.995117987</v>
      </c>
    </row>
    <row r="200" spans="1:9" x14ac:dyDescent="0.25">
      <c r="A200" s="57">
        <f>'A) Base RI'!A191</f>
        <v>5712</v>
      </c>
      <c r="B200" s="40" t="str">
        <f>'A) Base RI'!B191</f>
        <v>Coppet</v>
      </c>
      <c r="C200" s="39">
        <f>'D) Ecrêtage'!M189</f>
        <v>281747.88573250698</v>
      </c>
      <c r="D200" s="19">
        <f>'A) Base RI'!U191</f>
        <v>2942</v>
      </c>
      <c r="E200" s="14">
        <f t="shared" si="6"/>
        <v>5298729.3830673853</v>
      </c>
      <c r="F200" s="19">
        <f>'F) Population'!K192</f>
        <v>768718.30985915498</v>
      </c>
      <c r="G200" s="14">
        <f>'G) Solidarité'!I189</f>
        <v>0</v>
      </c>
      <c r="H200" s="19">
        <f t="shared" si="7"/>
        <v>768718.30985915498</v>
      </c>
      <c r="I200" s="66">
        <f t="shared" si="8"/>
        <v>4530011.0732082305</v>
      </c>
    </row>
    <row r="201" spans="1:9" x14ac:dyDescent="0.25">
      <c r="A201" s="57">
        <f>'A) Base RI'!A192</f>
        <v>5713</v>
      </c>
      <c r="B201" s="40" t="str">
        <f>'A) Base RI'!B192</f>
        <v>Crans-près-Céligny</v>
      </c>
      <c r="C201" s="39">
        <f>'D) Ecrêtage'!M190</f>
        <v>202601.05352067066</v>
      </c>
      <c r="D201" s="19">
        <f>'A) Base RI'!U192</f>
        <v>2059</v>
      </c>
      <c r="E201" s="14">
        <f t="shared" si="6"/>
        <v>3810243.8729552673</v>
      </c>
      <c r="F201" s="19">
        <f>'F) Population'!K193</f>
        <v>464021.12676056341</v>
      </c>
      <c r="G201" s="14">
        <f>'G) Solidarité'!I190</f>
        <v>0</v>
      </c>
      <c r="H201" s="19">
        <f t="shared" si="7"/>
        <v>464021.12676056341</v>
      </c>
      <c r="I201" s="66">
        <f t="shared" si="8"/>
        <v>3346222.746194704</v>
      </c>
    </row>
    <row r="202" spans="1:9" x14ac:dyDescent="0.25">
      <c r="A202" s="57">
        <f>'A) Base RI'!A193</f>
        <v>5714</v>
      </c>
      <c r="B202" s="40" t="str">
        <f>'A) Base RI'!B193</f>
        <v>Crassier</v>
      </c>
      <c r="C202" s="39">
        <f>'D) Ecrêtage'!M191</f>
        <v>79362.009468971679</v>
      </c>
      <c r="D202" s="19">
        <f>'A) Base RI'!U193</f>
        <v>1172</v>
      </c>
      <c r="E202" s="14">
        <f t="shared" si="6"/>
        <v>1492532.2700442702</v>
      </c>
      <c r="F202" s="19">
        <f>'F) Population'!K194</f>
        <v>157943.661971831</v>
      </c>
      <c r="G202" s="14">
        <f>'G) Solidarité'!I191</f>
        <v>0</v>
      </c>
      <c r="H202" s="19">
        <f t="shared" si="7"/>
        <v>157943.661971831</v>
      </c>
      <c r="I202" s="66">
        <f t="shared" si="8"/>
        <v>1334588.6080724392</v>
      </c>
    </row>
    <row r="203" spans="1:9" x14ac:dyDescent="0.25">
      <c r="A203" s="57">
        <f>'A) Base RI'!A194</f>
        <v>5715</v>
      </c>
      <c r="B203" s="40" t="str">
        <f>'A) Base RI'!B194</f>
        <v>Duillier</v>
      </c>
      <c r="C203" s="39">
        <f>'D) Ecrêtage'!M192</f>
        <v>63030.040980148689</v>
      </c>
      <c r="D203" s="19">
        <f>'A) Base RI'!U194</f>
        <v>1039</v>
      </c>
      <c r="E203" s="14">
        <f t="shared" si="6"/>
        <v>1185382.9152582779</v>
      </c>
      <c r="F203" s="19">
        <f>'F) Population'!K195</f>
        <v>112049.29577464788</v>
      </c>
      <c r="G203" s="14">
        <f>'G) Solidarité'!I192</f>
        <v>0</v>
      </c>
      <c r="H203" s="19">
        <f t="shared" si="7"/>
        <v>112049.29577464788</v>
      </c>
      <c r="I203" s="66">
        <f t="shared" si="8"/>
        <v>1073333.6194836299</v>
      </c>
    </row>
    <row r="204" spans="1:9" x14ac:dyDescent="0.25">
      <c r="A204" s="57">
        <f>'A) Base RI'!A195</f>
        <v>5716</v>
      </c>
      <c r="B204" s="40" t="str">
        <f>'A) Base RI'!B195</f>
        <v>Eysins</v>
      </c>
      <c r="C204" s="39">
        <f>'D) Ecrêtage'!M193</f>
        <v>91389.284930366979</v>
      </c>
      <c r="D204" s="19">
        <f>'A) Base RI'!U195</f>
        <v>1482</v>
      </c>
      <c r="E204" s="14">
        <f t="shared" si="6"/>
        <v>1718724.8383393364</v>
      </c>
      <c r="F204" s="19">
        <f>'F) Population'!K196</f>
        <v>264915.49295774649</v>
      </c>
      <c r="G204" s="14">
        <f>'G) Solidarité'!I193</f>
        <v>0</v>
      </c>
      <c r="H204" s="19">
        <f t="shared" si="7"/>
        <v>264915.49295774649</v>
      </c>
      <c r="I204" s="66">
        <f t="shared" si="8"/>
        <v>1453809.3453815901</v>
      </c>
    </row>
    <row r="205" spans="1:9" x14ac:dyDescent="0.25">
      <c r="A205" s="57">
        <f>'A) Base RI'!A196</f>
        <v>5717</v>
      </c>
      <c r="B205" s="40" t="str">
        <f>'A) Base RI'!B196</f>
        <v>Founex</v>
      </c>
      <c r="C205" s="39">
        <f>'D) Ecrêtage'!M194</f>
        <v>321105.05976303871</v>
      </c>
      <c r="D205" s="19">
        <f>'A) Base RI'!U196</f>
        <v>3410</v>
      </c>
      <c r="E205" s="14">
        <f t="shared" si="6"/>
        <v>6038905.3525441075</v>
      </c>
      <c r="F205" s="19">
        <f>'F) Population'!K197</f>
        <v>990845.07042253518</v>
      </c>
      <c r="G205" s="14">
        <f>'G) Solidarité'!I194</f>
        <v>0</v>
      </c>
      <c r="H205" s="19">
        <f t="shared" si="7"/>
        <v>990845.07042253518</v>
      </c>
      <c r="I205" s="66">
        <f t="shared" si="8"/>
        <v>5048060.2821215726</v>
      </c>
    </row>
    <row r="206" spans="1:9" x14ac:dyDescent="0.25">
      <c r="A206" s="57">
        <f>'A) Base RI'!A197</f>
        <v>5718</v>
      </c>
      <c r="B206" s="40" t="str">
        <f>'A) Base RI'!B197</f>
        <v>Genolier</v>
      </c>
      <c r="C206" s="39">
        <f>'D) Ecrêtage'!M195</f>
        <v>174604.38142677894</v>
      </c>
      <c r="D206" s="19">
        <f>'A) Base RI'!U197</f>
        <v>1895</v>
      </c>
      <c r="E206" s="14">
        <f t="shared" si="6"/>
        <v>3283720.7060952047</v>
      </c>
      <c r="F206" s="19">
        <f>'F) Population'!K198</f>
        <v>407429.57746478874</v>
      </c>
      <c r="G206" s="14">
        <f>'G) Solidarité'!I195</f>
        <v>0</v>
      </c>
      <c r="H206" s="19">
        <f t="shared" si="7"/>
        <v>407429.57746478874</v>
      </c>
      <c r="I206" s="66">
        <f t="shared" si="8"/>
        <v>2876291.128630416</v>
      </c>
    </row>
    <row r="207" spans="1:9" x14ac:dyDescent="0.25">
      <c r="A207" s="57">
        <f>'A) Base RI'!A198</f>
        <v>5719</v>
      </c>
      <c r="B207" s="40" t="str">
        <f>'A) Base RI'!B198</f>
        <v>Gingins</v>
      </c>
      <c r="C207" s="39">
        <f>'D) Ecrêtage'!M196</f>
        <v>85513.552336943947</v>
      </c>
      <c r="D207" s="19">
        <f>'A) Base RI'!U198</f>
        <v>1195</v>
      </c>
      <c r="E207" s="14">
        <f t="shared" si="6"/>
        <v>1608222.0856429914</v>
      </c>
      <c r="F207" s="19">
        <f>'F) Population'!K199</f>
        <v>165880.28169014084</v>
      </c>
      <c r="G207" s="14">
        <f>'G) Solidarité'!I196</f>
        <v>0</v>
      </c>
      <c r="H207" s="19">
        <f t="shared" si="7"/>
        <v>165880.28169014084</v>
      </c>
      <c r="I207" s="66">
        <f t="shared" si="8"/>
        <v>1442341.8039528504</v>
      </c>
    </row>
    <row r="208" spans="1:9" x14ac:dyDescent="0.25">
      <c r="A208" s="57">
        <f>'A) Base RI'!A199</f>
        <v>5720</v>
      </c>
      <c r="B208" s="40" t="str">
        <f>'A) Base RI'!B199</f>
        <v>Givrins</v>
      </c>
      <c r="C208" s="39">
        <f>'D) Ecrêtage'!M197</f>
        <v>70256.366894965046</v>
      </c>
      <c r="D208" s="19">
        <f>'A) Base RI'!U199</f>
        <v>1000</v>
      </c>
      <c r="E208" s="14">
        <f t="shared" si="6"/>
        <v>1321285.7823087578</v>
      </c>
      <c r="F208" s="19">
        <f>'F) Population'!K200</f>
        <v>98591.549295774646</v>
      </c>
      <c r="G208" s="14">
        <f>'G) Solidarité'!I197</f>
        <v>0</v>
      </c>
      <c r="H208" s="19">
        <f t="shared" si="7"/>
        <v>98591.549295774646</v>
      </c>
      <c r="I208" s="66">
        <f t="shared" si="8"/>
        <v>1222694.2330129831</v>
      </c>
    </row>
    <row r="209" spans="1:9" x14ac:dyDescent="0.25">
      <c r="A209" s="57">
        <f>'A) Base RI'!A200</f>
        <v>5721</v>
      </c>
      <c r="B209" s="40" t="str">
        <f>'A) Base RI'!B200</f>
        <v>Gland</v>
      </c>
      <c r="C209" s="39">
        <f>'D) Ecrêtage'!M198</f>
        <v>541149.08192000003</v>
      </c>
      <c r="D209" s="19">
        <f>'A) Base RI'!U200</f>
        <v>12829</v>
      </c>
      <c r="E209" s="14">
        <f t="shared" ref="E209:E272" si="9">C209*E$15</f>
        <v>10177192.753495129</v>
      </c>
      <c r="F209" s="19">
        <f>'F) Population'!K201</f>
        <v>7472253.5211267602</v>
      </c>
      <c r="G209" s="14">
        <f>'G) Solidarité'!I198</f>
        <v>625337.51226063189</v>
      </c>
      <c r="H209" s="19">
        <f t="shared" ref="H209:H272" si="10">F209+G209</f>
        <v>8097591.0333873918</v>
      </c>
      <c r="I209" s="66">
        <f t="shared" ref="I209:I272" si="11">E209-H209</f>
        <v>2079601.720107737</v>
      </c>
    </row>
    <row r="210" spans="1:9" x14ac:dyDescent="0.25">
      <c r="A210" s="57">
        <f>'A) Base RI'!A201</f>
        <v>5722</v>
      </c>
      <c r="B210" s="40" t="str">
        <f>'A) Base RI'!B201</f>
        <v>Grens</v>
      </c>
      <c r="C210" s="39">
        <f>'D) Ecrêtage'!M199</f>
        <v>20499.342258064513</v>
      </c>
      <c r="D210" s="19">
        <f>'A) Base RI'!U201</f>
        <v>377</v>
      </c>
      <c r="E210" s="14">
        <f t="shared" si="9"/>
        <v>385523.62823934812</v>
      </c>
      <c r="F210" s="19">
        <f>'F) Population'!K202</f>
        <v>37169.014084507042</v>
      </c>
      <c r="G210" s="14">
        <f>'G) Solidarité'!I199</f>
        <v>0</v>
      </c>
      <c r="H210" s="19">
        <f t="shared" si="10"/>
        <v>37169.014084507042</v>
      </c>
      <c r="I210" s="66">
        <f t="shared" si="11"/>
        <v>348354.61415484105</v>
      </c>
    </row>
    <row r="211" spans="1:9" x14ac:dyDescent="0.25">
      <c r="A211" s="57">
        <f>'A) Base RI'!A202</f>
        <v>5723</v>
      </c>
      <c r="B211" s="40" t="str">
        <f>'A) Base RI'!B202</f>
        <v>Mies</v>
      </c>
      <c r="C211" s="39">
        <f>'D) Ecrêtage'!M200</f>
        <v>461595.53306972765</v>
      </c>
      <c r="D211" s="19">
        <f>'A) Base RI'!U202</f>
        <v>1791</v>
      </c>
      <c r="E211" s="14">
        <f t="shared" si="9"/>
        <v>8681058.2723993938</v>
      </c>
      <c r="F211" s="19">
        <f>'F) Population'!K203</f>
        <v>371542.25352112675</v>
      </c>
      <c r="G211" s="14">
        <f>'G) Solidarité'!I200</f>
        <v>0</v>
      </c>
      <c r="H211" s="19">
        <f t="shared" si="10"/>
        <v>371542.25352112675</v>
      </c>
      <c r="I211" s="66">
        <f t="shared" si="11"/>
        <v>8309516.0188782671</v>
      </c>
    </row>
    <row r="212" spans="1:9" x14ac:dyDescent="0.25">
      <c r="A212" s="57">
        <f>'A) Base RI'!A203</f>
        <v>5724</v>
      </c>
      <c r="B212" s="40" t="str">
        <f>'A) Base RI'!B203</f>
        <v>Nyon</v>
      </c>
      <c r="C212" s="39">
        <f>'D) Ecrêtage'!M201</f>
        <v>1364222.9732743632</v>
      </c>
      <c r="D212" s="19">
        <f>'A) Base RI'!U203</f>
        <v>20047</v>
      </c>
      <c r="E212" s="14">
        <f t="shared" si="9"/>
        <v>25656442.229374312</v>
      </c>
      <c r="F212" s="19">
        <f>'F) Population'!K204</f>
        <v>14837387.32394366</v>
      </c>
      <c r="G212" s="14">
        <f>'G) Solidarité'!I201</f>
        <v>0</v>
      </c>
      <c r="H212" s="19">
        <f t="shared" si="10"/>
        <v>14837387.32394366</v>
      </c>
      <c r="I212" s="66">
        <f t="shared" si="11"/>
        <v>10819054.905430652</v>
      </c>
    </row>
    <row r="213" spans="1:9" x14ac:dyDescent="0.25">
      <c r="A213" s="57">
        <f>'A) Base RI'!A204</f>
        <v>5725</v>
      </c>
      <c r="B213" s="40" t="str">
        <f>'A) Base RI'!B204</f>
        <v>Prangins</v>
      </c>
      <c r="C213" s="39">
        <f>'D) Ecrêtage'!M202</f>
        <v>300667.51187256473</v>
      </c>
      <c r="D213" s="19">
        <f>'A) Base RI'!U204</f>
        <v>4011</v>
      </c>
      <c r="E213" s="14">
        <f t="shared" si="9"/>
        <v>5654543.8683627667</v>
      </c>
      <c r="F213" s="19">
        <f>'F) Population'!K205</f>
        <v>1287112.676056338</v>
      </c>
      <c r="G213" s="14">
        <f>'G) Solidarité'!I202</f>
        <v>0</v>
      </c>
      <c r="H213" s="19">
        <f t="shared" si="10"/>
        <v>1287112.676056338</v>
      </c>
      <c r="I213" s="66">
        <f t="shared" si="11"/>
        <v>4367431.1923064291</v>
      </c>
    </row>
    <row r="214" spans="1:9" x14ac:dyDescent="0.25">
      <c r="A214" s="57">
        <f>'A) Base RI'!A205</f>
        <v>5726</v>
      </c>
      <c r="B214" s="40" t="str">
        <f>'A) Base RI'!B205</f>
        <v>La Rippe</v>
      </c>
      <c r="C214" s="39">
        <f>'D) Ecrêtage'!M203</f>
        <v>62420.845692307696</v>
      </c>
      <c r="D214" s="19">
        <f>'A) Base RI'!U205</f>
        <v>1120</v>
      </c>
      <c r="E214" s="14">
        <f t="shared" si="9"/>
        <v>1173926.0024111166</v>
      </c>
      <c r="F214" s="19">
        <f>'F) Population'!K206</f>
        <v>140000</v>
      </c>
      <c r="G214" s="14">
        <f>'G) Solidarité'!I203</f>
        <v>0</v>
      </c>
      <c r="H214" s="19">
        <f t="shared" si="10"/>
        <v>140000</v>
      </c>
      <c r="I214" s="66">
        <f t="shared" si="11"/>
        <v>1033926.0024111166</v>
      </c>
    </row>
    <row r="215" spans="1:9" x14ac:dyDescent="0.25">
      <c r="A215" s="57">
        <f>'A) Base RI'!A206</f>
        <v>5727</v>
      </c>
      <c r="B215" s="40" t="str">
        <f>'A) Base RI'!B206</f>
        <v>Saint-Cergue</v>
      </c>
      <c r="C215" s="39">
        <f>'D) Ecrêtage'!M204</f>
        <v>94126.01979797981</v>
      </c>
      <c r="D215" s="19">
        <f>'A) Base RI'!U206</f>
        <v>2481</v>
      </c>
      <c r="E215" s="14">
        <f t="shared" si="9"/>
        <v>1770193.6095032583</v>
      </c>
      <c r="F215" s="19">
        <f>'F) Population'!K207</f>
        <v>609640.84507042251</v>
      </c>
      <c r="G215" s="14">
        <f>'G) Solidarité'!I204</f>
        <v>317711.24917012989</v>
      </c>
      <c r="H215" s="19">
        <f t="shared" si="10"/>
        <v>927352.0942405524</v>
      </c>
      <c r="I215" s="66">
        <f t="shared" si="11"/>
        <v>842841.51526270586</v>
      </c>
    </row>
    <row r="216" spans="1:9" x14ac:dyDescent="0.25">
      <c r="A216" s="57">
        <f>'A) Base RI'!A207</f>
        <v>5728</v>
      </c>
      <c r="B216" s="40" t="str">
        <f>'A) Base RI'!B207</f>
        <v>Signy-Avenex</v>
      </c>
      <c r="C216" s="39">
        <f>'D) Ecrêtage'!M205</f>
        <v>32702.770254379117</v>
      </c>
      <c r="D216" s="19">
        <f>'A) Base RI'!U207</f>
        <v>516</v>
      </c>
      <c r="E216" s="14">
        <f t="shared" si="9"/>
        <v>615029.03279670631</v>
      </c>
      <c r="F216" s="19">
        <f>'F) Population'!K208</f>
        <v>50873.239436619711</v>
      </c>
      <c r="G216" s="14">
        <f>'G) Solidarité'!I205</f>
        <v>0</v>
      </c>
      <c r="H216" s="19">
        <f t="shared" si="10"/>
        <v>50873.239436619711</v>
      </c>
      <c r="I216" s="66">
        <f t="shared" si="11"/>
        <v>564155.79336008662</v>
      </c>
    </row>
    <row r="217" spans="1:9" x14ac:dyDescent="0.25">
      <c r="A217" s="57">
        <f>'A) Base RI'!A208</f>
        <v>5729</v>
      </c>
      <c r="B217" s="40" t="str">
        <f>'A) Base RI'!B208</f>
        <v>Tannay</v>
      </c>
      <c r="C217" s="39">
        <f>'D) Ecrêtage'!M206</f>
        <v>128032.5299435471</v>
      </c>
      <c r="D217" s="19">
        <f>'A) Base RI'!U208</f>
        <v>1430</v>
      </c>
      <c r="E217" s="14">
        <f t="shared" si="9"/>
        <v>2407860.9379323395</v>
      </c>
      <c r="F217" s="19">
        <f>'F) Population'!K209</f>
        <v>246971.8309859155</v>
      </c>
      <c r="G217" s="14">
        <f>'G) Solidarité'!I206</f>
        <v>0</v>
      </c>
      <c r="H217" s="19">
        <f t="shared" si="10"/>
        <v>246971.8309859155</v>
      </c>
      <c r="I217" s="66">
        <f t="shared" si="11"/>
        <v>2160889.1069464241</v>
      </c>
    </row>
    <row r="218" spans="1:9" x14ac:dyDescent="0.25">
      <c r="A218" s="57">
        <f>'A) Base RI'!A209</f>
        <v>5730</v>
      </c>
      <c r="B218" s="40" t="str">
        <f>'A) Base RI'!B209</f>
        <v>Trélex</v>
      </c>
      <c r="C218" s="39">
        <f>'D) Ecrêtage'!M207</f>
        <v>115553.12234600043</v>
      </c>
      <c r="D218" s="19">
        <f>'A) Base RI'!U209</f>
        <v>1414</v>
      </c>
      <c r="E218" s="14">
        <f t="shared" si="9"/>
        <v>2173165.2860076455</v>
      </c>
      <c r="F218" s="19">
        <f>'F) Population'!K210</f>
        <v>241450.70422535209</v>
      </c>
      <c r="G218" s="14">
        <f>'G) Solidarité'!I207</f>
        <v>0</v>
      </c>
      <c r="H218" s="19">
        <f t="shared" si="10"/>
        <v>241450.70422535209</v>
      </c>
      <c r="I218" s="66">
        <f t="shared" si="11"/>
        <v>1931714.5817822935</v>
      </c>
    </row>
    <row r="219" spans="1:9" x14ac:dyDescent="0.25">
      <c r="A219" s="57">
        <f>'A) Base RI'!A210</f>
        <v>5731</v>
      </c>
      <c r="B219" s="40" t="str">
        <f>'A) Base RI'!B210</f>
        <v>Le Vaud</v>
      </c>
      <c r="C219" s="39">
        <f>'D) Ecrêtage'!M208</f>
        <v>47266.974133333322</v>
      </c>
      <c r="D219" s="19">
        <f>'A) Base RI'!U210</f>
        <v>1260</v>
      </c>
      <c r="E219" s="14">
        <f t="shared" si="9"/>
        <v>888932.68546747009</v>
      </c>
      <c r="F219" s="19">
        <f>'F) Population'!K211</f>
        <v>188309.85915492958</v>
      </c>
      <c r="G219" s="14">
        <f>'G) Solidarité'!I208</f>
        <v>220377.67230849611</v>
      </c>
      <c r="H219" s="19">
        <f t="shared" si="10"/>
        <v>408687.53146342572</v>
      </c>
      <c r="I219" s="66">
        <f t="shared" si="11"/>
        <v>480245.15400404437</v>
      </c>
    </row>
    <row r="220" spans="1:9" x14ac:dyDescent="0.25">
      <c r="A220" s="57">
        <f>'A) Base RI'!A211</f>
        <v>5732</v>
      </c>
      <c r="B220" s="40" t="str">
        <f>'A) Base RI'!B211</f>
        <v>Vich</v>
      </c>
      <c r="C220" s="39">
        <f>'D) Ecrêtage'!M209</f>
        <v>71775.488137800727</v>
      </c>
      <c r="D220" s="19">
        <f>'A) Base RI'!U211</f>
        <v>958</v>
      </c>
      <c r="E220" s="14">
        <f t="shared" si="9"/>
        <v>1349855.339609704</v>
      </c>
      <c r="F220" s="19">
        <f>'F) Population'!K212</f>
        <v>94450.704225352107</v>
      </c>
      <c r="G220" s="14">
        <f>'G) Solidarité'!I209</f>
        <v>0</v>
      </c>
      <c r="H220" s="19">
        <f t="shared" si="10"/>
        <v>94450.704225352107</v>
      </c>
      <c r="I220" s="66">
        <f t="shared" si="11"/>
        <v>1255404.6353843519</v>
      </c>
    </row>
    <row r="221" spans="1:9" x14ac:dyDescent="0.25">
      <c r="A221" s="57">
        <f>'A) Base RI'!A212</f>
        <v>5741</v>
      </c>
      <c r="B221" s="40" t="str">
        <f>'A) Base RI'!B212</f>
        <v>L'Abergement</v>
      </c>
      <c r="C221" s="39">
        <f>'D) Ecrêtage'!M210</f>
        <v>6474.3855761316872</v>
      </c>
      <c r="D221" s="19">
        <f>'A) Base RI'!U212</f>
        <v>240</v>
      </c>
      <c r="E221" s="14">
        <f t="shared" si="9"/>
        <v>121761.40026877419</v>
      </c>
      <c r="F221" s="19">
        <f>'F) Population'!K213</f>
        <v>23661.971830985913</v>
      </c>
      <c r="G221" s="14">
        <f>'G) Solidarité'!I210</f>
        <v>115124.12844131853</v>
      </c>
      <c r="H221" s="19">
        <f t="shared" si="10"/>
        <v>138786.10027230444</v>
      </c>
      <c r="I221" s="66">
        <f t="shared" si="11"/>
        <v>-17024.700003530248</v>
      </c>
    </row>
    <row r="222" spans="1:9" x14ac:dyDescent="0.25">
      <c r="A222" s="57">
        <f>'A) Base RI'!A213</f>
        <v>5742</v>
      </c>
      <c r="B222" s="40" t="str">
        <f>'A) Base RI'!B213</f>
        <v>Agiez</v>
      </c>
      <c r="C222" s="39">
        <f>'D) Ecrêtage'!M211</f>
        <v>8406.0221052631568</v>
      </c>
      <c r="D222" s="19">
        <f>'A) Base RI'!U213</f>
        <v>293</v>
      </c>
      <c r="E222" s="14">
        <f t="shared" si="9"/>
        <v>158088.98160165627</v>
      </c>
      <c r="F222" s="19">
        <f>'F) Population'!K214</f>
        <v>28887.32394366197</v>
      </c>
      <c r="G222" s="14">
        <f>'G) Solidarité'!I211</f>
        <v>112171.77649260305</v>
      </c>
      <c r="H222" s="19">
        <f t="shared" si="10"/>
        <v>141059.10043626503</v>
      </c>
      <c r="I222" s="66">
        <f t="shared" si="11"/>
        <v>17029.881165391242</v>
      </c>
    </row>
    <row r="223" spans="1:9" x14ac:dyDescent="0.25">
      <c r="A223" s="57">
        <f>'A) Base RI'!A214</f>
        <v>5743</v>
      </c>
      <c r="B223" s="40" t="str">
        <f>'A) Base RI'!B214</f>
        <v>Arnex-sur-Orbe</v>
      </c>
      <c r="C223" s="39">
        <f>'D) Ecrêtage'!M212</f>
        <v>16157.310890410963</v>
      </c>
      <c r="D223" s="19">
        <f>'A) Base RI'!U214</f>
        <v>632</v>
      </c>
      <c r="E223" s="14">
        <f t="shared" si="9"/>
        <v>303864.63324753003</v>
      </c>
      <c r="F223" s="19">
        <f>'F) Population'!K215</f>
        <v>62309.859154929574</v>
      </c>
      <c r="G223" s="14">
        <f>'G) Solidarité'!I212</f>
        <v>265187.15071328409</v>
      </c>
      <c r="H223" s="19">
        <f t="shared" si="10"/>
        <v>327497.00986821367</v>
      </c>
      <c r="I223" s="66">
        <f t="shared" si="11"/>
        <v>-23632.376620683644</v>
      </c>
    </row>
    <row r="224" spans="1:9" x14ac:dyDescent="0.25">
      <c r="A224" s="57">
        <f>'A) Base RI'!A215</f>
        <v>5744</v>
      </c>
      <c r="B224" s="40" t="str">
        <f>'A) Base RI'!B215</f>
        <v>Ballaigues</v>
      </c>
      <c r="C224" s="39">
        <f>'D) Ecrêtage'!M213</f>
        <v>66740.940086057177</v>
      </c>
      <c r="D224" s="19">
        <f>'A) Base RI'!U215</f>
        <v>1101</v>
      </c>
      <c r="E224" s="14">
        <f t="shared" si="9"/>
        <v>1255172.4367624214</v>
      </c>
      <c r="F224" s="19">
        <f>'F) Population'!K216</f>
        <v>133443.661971831</v>
      </c>
      <c r="G224" s="14">
        <f>'G) Solidarité'!I213</f>
        <v>0</v>
      </c>
      <c r="H224" s="19">
        <f t="shared" si="10"/>
        <v>133443.661971831</v>
      </c>
      <c r="I224" s="66">
        <f t="shared" si="11"/>
        <v>1121728.7747905904</v>
      </c>
    </row>
    <row r="225" spans="1:9" x14ac:dyDescent="0.25">
      <c r="A225" s="57">
        <f>'A) Base RI'!A216</f>
        <v>5745</v>
      </c>
      <c r="B225" s="40" t="str">
        <f>'A) Base RI'!B216</f>
        <v>Baulmes</v>
      </c>
      <c r="C225" s="39">
        <f>'D) Ecrêtage'!M214</f>
        <v>26708.244230769233</v>
      </c>
      <c r="D225" s="19">
        <f>'A) Base RI'!U216</f>
        <v>1055</v>
      </c>
      <c r="E225" s="14">
        <f t="shared" si="9"/>
        <v>502292.17553056125</v>
      </c>
      <c r="F225" s="19">
        <f>'F) Population'!K217</f>
        <v>117570.42253521127</v>
      </c>
      <c r="G225" s="14">
        <f>'G) Solidarité'!I214</f>
        <v>511781.35306793975</v>
      </c>
      <c r="H225" s="19">
        <f t="shared" si="10"/>
        <v>629351.77560315107</v>
      </c>
      <c r="I225" s="66">
        <f t="shared" si="11"/>
        <v>-127059.60007258982</v>
      </c>
    </row>
    <row r="226" spans="1:9" x14ac:dyDescent="0.25">
      <c r="A226" s="57">
        <f>'A) Base RI'!A217</f>
        <v>5746</v>
      </c>
      <c r="B226" s="40" t="str">
        <f>'A) Base RI'!B217</f>
        <v>Bavois</v>
      </c>
      <c r="C226" s="39">
        <f>'D) Ecrêtage'!M215</f>
        <v>26575.73502283105</v>
      </c>
      <c r="D226" s="19">
        <f>'A) Base RI'!U217</f>
        <v>939</v>
      </c>
      <c r="E226" s="14">
        <f t="shared" si="9"/>
        <v>499800.12334779656</v>
      </c>
      <c r="F226" s="19">
        <f>'F) Population'!K218</f>
        <v>92577.464788732381</v>
      </c>
      <c r="G226" s="14">
        <f>'G) Solidarité'!I215</f>
        <v>339394.10664003505</v>
      </c>
      <c r="H226" s="19">
        <f t="shared" si="10"/>
        <v>431971.57142876741</v>
      </c>
      <c r="I226" s="66">
        <f t="shared" si="11"/>
        <v>67828.551919029152</v>
      </c>
    </row>
    <row r="227" spans="1:9" x14ac:dyDescent="0.25">
      <c r="A227" s="57">
        <f>'A) Base RI'!A218</f>
        <v>5747</v>
      </c>
      <c r="B227" s="40" t="str">
        <f>'A) Base RI'!B218</f>
        <v>Bofflens</v>
      </c>
      <c r="C227" s="39">
        <f>'D) Ecrêtage'!M216</f>
        <v>5307.8250724637683</v>
      </c>
      <c r="D227" s="19">
        <f>'A) Base RI'!U218</f>
        <v>188</v>
      </c>
      <c r="E227" s="14">
        <f t="shared" si="9"/>
        <v>99822.323771924654</v>
      </c>
      <c r="F227" s="19">
        <f>'F) Population'!K219</f>
        <v>18535.211267605631</v>
      </c>
      <c r="G227" s="14">
        <f>'G) Solidarité'!I216</f>
        <v>60954.905967340695</v>
      </c>
      <c r="H227" s="19">
        <f t="shared" si="10"/>
        <v>79490.11723494633</v>
      </c>
      <c r="I227" s="66">
        <f t="shared" si="11"/>
        <v>20332.206536978323</v>
      </c>
    </row>
    <row r="228" spans="1:9" x14ac:dyDescent="0.25">
      <c r="A228" s="57">
        <f>'A) Base RI'!A219</f>
        <v>5748</v>
      </c>
      <c r="B228" s="40" t="str">
        <f>'A) Base RI'!B219</f>
        <v>Bretonnières</v>
      </c>
      <c r="C228" s="39">
        <f>'D) Ecrêtage'!M217</f>
        <v>7260.9913888888877</v>
      </c>
      <c r="D228" s="19">
        <f>'A) Base RI'!U219</f>
        <v>258</v>
      </c>
      <c r="E228" s="14">
        <f t="shared" si="9"/>
        <v>136554.80793574534</v>
      </c>
      <c r="F228" s="19">
        <f>'F) Population'!K220</f>
        <v>25436.619718309856</v>
      </c>
      <c r="G228" s="14">
        <f>'G) Solidarité'!I217</f>
        <v>91561.591858786953</v>
      </c>
      <c r="H228" s="19">
        <f t="shared" si="10"/>
        <v>116998.21157709681</v>
      </c>
      <c r="I228" s="66">
        <f t="shared" si="11"/>
        <v>19556.59635864853</v>
      </c>
    </row>
    <row r="229" spans="1:9" x14ac:dyDescent="0.25">
      <c r="A229" s="57">
        <f>'A) Base RI'!A220</f>
        <v>5749</v>
      </c>
      <c r="B229" s="40" t="str">
        <f>'A) Base RI'!B220</f>
        <v>Chavornay</v>
      </c>
      <c r="C229" s="39">
        <f>'D) Ecrêtage'!M218</f>
        <v>132615.92523493644</v>
      </c>
      <c r="D229" s="19">
        <f>'A) Base RI'!U220</f>
        <v>4817</v>
      </c>
      <c r="E229" s="14">
        <f t="shared" si="9"/>
        <v>2494059.1759122149</v>
      </c>
      <c r="F229" s="19">
        <f>'F) Population'!K221</f>
        <v>1684436.61971831</v>
      </c>
      <c r="G229" s="14">
        <f>'G) Solidarité'!I218</f>
        <v>1788251.5030646152</v>
      </c>
      <c r="H229" s="19">
        <f t="shared" si="10"/>
        <v>3472688.1227829251</v>
      </c>
      <c r="I229" s="66">
        <f t="shared" si="11"/>
        <v>-978628.94687071024</v>
      </c>
    </row>
    <row r="230" spans="1:9" x14ac:dyDescent="0.25">
      <c r="A230" s="57">
        <f>'A) Base RI'!A221</f>
        <v>5750</v>
      </c>
      <c r="B230" s="40" t="str">
        <f>'A) Base RI'!B221</f>
        <v>Les Clées</v>
      </c>
      <c r="C230" s="39">
        <f>'D) Ecrêtage'!M219</f>
        <v>4790.0727916666665</v>
      </c>
      <c r="D230" s="19">
        <f>'A) Base RI'!U221</f>
        <v>176</v>
      </c>
      <c r="E230" s="14">
        <f t="shared" si="9"/>
        <v>90085.146095232572</v>
      </c>
      <c r="F230" s="19">
        <f>'F) Population'!K222</f>
        <v>17352.112676056338</v>
      </c>
      <c r="G230" s="14">
        <f>'G) Solidarité'!I219</f>
        <v>81275.940620210618</v>
      </c>
      <c r="H230" s="19">
        <f t="shared" si="10"/>
        <v>98628.053296266953</v>
      </c>
      <c r="I230" s="66">
        <f t="shared" si="11"/>
        <v>-8542.9072010343807</v>
      </c>
    </row>
    <row r="231" spans="1:9" x14ac:dyDescent="0.25">
      <c r="A231" s="57">
        <f>'A) Base RI'!A222</f>
        <v>5752</v>
      </c>
      <c r="B231" s="40" t="str">
        <f>'A) Base RI'!B222</f>
        <v>Croy</v>
      </c>
      <c r="C231" s="39">
        <f>'D) Ecrêtage'!M220</f>
        <v>9213.5061196911174</v>
      </c>
      <c r="D231" s="19">
        <f>'A) Base RI'!U222</f>
        <v>344</v>
      </c>
      <c r="E231" s="14">
        <f t="shared" si="9"/>
        <v>173275.03796720007</v>
      </c>
      <c r="F231" s="19">
        <f>'F) Population'!K223</f>
        <v>33915.492957746479</v>
      </c>
      <c r="G231" s="14">
        <f>'G) Solidarité'!I220</f>
        <v>139174.11209209805</v>
      </c>
      <c r="H231" s="19">
        <f t="shared" si="10"/>
        <v>173089.60504984454</v>
      </c>
      <c r="I231" s="66">
        <f t="shared" si="11"/>
        <v>185.43291735553066</v>
      </c>
    </row>
    <row r="232" spans="1:9" x14ac:dyDescent="0.25">
      <c r="A232" s="57">
        <f>'A) Base RI'!A223</f>
        <v>5754</v>
      </c>
      <c r="B232" s="40" t="str">
        <f>'A) Base RI'!B223</f>
        <v>Juriens</v>
      </c>
      <c r="C232" s="39">
        <f>'D) Ecrêtage'!M221</f>
        <v>7202.565316455697</v>
      </c>
      <c r="D232" s="19">
        <f>'A) Base RI'!U223</f>
        <v>302</v>
      </c>
      <c r="E232" s="14">
        <f t="shared" si="9"/>
        <v>135456.01017215574</v>
      </c>
      <c r="F232" s="19">
        <f>'F) Population'!K224</f>
        <v>29774.647887323943</v>
      </c>
      <c r="G232" s="14">
        <f>'G) Solidarité'!I221</f>
        <v>161301.62393472999</v>
      </c>
      <c r="H232" s="19">
        <f t="shared" si="10"/>
        <v>191076.27182205394</v>
      </c>
      <c r="I232" s="66">
        <f t="shared" si="11"/>
        <v>-55620.261649898195</v>
      </c>
    </row>
    <row r="233" spans="1:9" x14ac:dyDescent="0.25">
      <c r="A233" s="57">
        <f>'A) Base RI'!A224</f>
        <v>5755</v>
      </c>
      <c r="B233" s="40" t="str">
        <f>'A) Base RI'!B224</f>
        <v>Lignerolle</v>
      </c>
      <c r="C233" s="39">
        <f>'D) Ecrêtage'!M222</f>
        <v>9116.1979107142852</v>
      </c>
      <c r="D233" s="19">
        <f>'A) Base RI'!U224</f>
        <v>405</v>
      </c>
      <c r="E233" s="14">
        <f t="shared" si="9"/>
        <v>171444.99809031267</v>
      </c>
      <c r="F233" s="19">
        <f>'F) Population'!K225</f>
        <v>39929.57746478873</v>
      </c>
      <c r="G233" s="14">
        <f>'G) Solidarité'!I222</f>
        <v>235680.75538965935</v>
      </c>
      <c r="H233" s="19">
        <f t="shared" si="10"/>
        <v>275610.33285444806</v>
      </c>
      <c r="I233" s="66">
        <f t="shared" si="11"/>
        <v>-104165.33476413539</v>
      </c>
    </row>
    <row r="234" spans="1:9" x14ac:dyDescent="0.25">
      <c r="A234" s="57">
        <f>'A) Base RI'!A225</f>
        <v>5756</v>
      </c>
      <c r="B234" s="40" t="str">
        <f>'A) Base RI'!B225</f>
        <v>Montcherand</v>
      </c>
      <c r="C234" s="39">
        <f>'D) Ecrêtage'!M223</f>
        <v>14643.939999999999</v>
      </c>
      <c r="D234" s="19">
        <f>'A) Base RI'!U225</f>
        <v>469</v>
      </c>
      <c r="E234" s="14">
        <f t="shared" si="9"/>
        <v>275403.2207203295</v>
      </c>
      <c r="F234" s="19">
        <f>'F) Population'!K226</f>
        <v>46239.436619718304</v>
      </c>
      <c r="G234" s="14">
        <f>'G) Solidarité'!I223</f>
        <v>136578.48354167689</v>
      </c>
      <c r="H234" s="19">
        <f t="shared" si="10"/>
        <v>182817.92016139519</v>
      </c>
      <c r="I234" s="66">
        <f t="shared" si="11"/>
        <v>92585.300558934308</v>
      </c>
    </row>
    <row r="235" spans="1:9" x14ac:dyDescent="0.25">
      <c r="A235" s="57">
        <f>'A) Base RI'!A226</f>
        <v>5757</v>
      </c>
      <c r="B235" s="40" t="str">
        <f>'A) Base RI'!B226</f>
        <v>Orbe</v>
      </c>
      <c r="C235" s="39">
        <f>'D) Ecrêtage'!M224</f>
        <v>219459.11337837842</v>
      </c>
      <c r="D235" s="19">
        <f>'A) Base RI'!U226</f>
        <v>6805</v>
      </c>
      <c r="E235" s="14">
        <f t="shared" si="9"/>
        <v>4127287.2355959788</v>
      </c>
      <c r="F235" s="19">
        <f>'F) Population'!K227</f>
        <v>2842394.3661971828</v>
      </c>
      <c r="G235" s="14">
        <f>'G) Solidarité'!I224</f>
        <v>1940871.0203336955</v>
      </c>
      <c r="H235" s="19">
        <f t="shared" si="10"/>
        <v>4783265.386530878</v>
      </c>
      <c r="I235" s="66">
        <f t="shared" si="11"/>
        <v>-655978.15093489923</v>
      </c>
    </row>
    <row r="236" spans="1:9" x14ac:dyDescent="0.25">
      <c r="A236" s="57">
        <f>'A) Base RI'!A227</f>
        <v>5758</v>
      </c>
      <c r="B236" s="40" t="str">
        <f>'A) Base RI'!B227</f>
        <v>La Praz</v>
      </c>
      <c r="C236" s="39">
        <f>'D) Ecrêtage'!M225</f>
        <v>3792.6817536813919</v>
      </c>
      <c r="D236" s="19">
        <f>'A) Base RI'!U227</f>
        <v>159</v>
      </c>
      <c r="E236" s="14">
        <f t="shared" si="9"/>
        <v>71327.577832952258</v>
      </c>
      <c r="F236" s="19">
        <f>'F) Population'!K228</f>
        <v>15676.056338028167</v>
      </c>
      <c r="G236" s="14">
        <f>'G) Solidarité'!I225</f>
        <v>93724.733686688574</v>
      </c>
      <c r="H236" s="19">
        <f t="shared" si="10"/>
        <v>109400.79002471674</v>
      </c>
      <c r="I236" s="66">
        <f t="shared" si="11"/>
        <v>-38073.212191764484</v>
      </c>
    </row>
    <row r="237" spans="1:9" x14ac:dyDescent="0.25">
      <c r="A237" s="57">
        <f>'A) Base RI'!A228</f>
        <v>5759</v>
      </c>
      <c r="B237" s="40" t="str">
        <f>'A) Base RI'!B228</f>
        <v>Premier</v>
      </c>
      <c r="C237" s="39">
        <f>'D) Ecrêtage'!M226</f>
        <v>4689.5245679012341</v>
      </c>
      <c r="D237" s="19">
        <f>'A) Base RI'!U228</f>
        <v>196</v>
      </c>
      <c r="E237" s="14">
        <f t="shared" si="9"/>
        <v>88194.172445879434</v>
      </c>
      <c r="F237" s="19">
        <f>'F) Population'!K229</f>
        <v>19323.943661971829</v>
      </c>
      <c r="G237" s="14">
        <f>'G) Solidarité'!I226</f>
        <v>109660.70568347434</v>
      </c>
      <c r="H237" s="19">
        <f t="shared" si="10"/>
        <v>128984.64934544617</v>
      </c>
      <c r="I237" s="66">
        <f t="shared" si="11"/>
        <v>-40790.47689956674</v>
      </c>
    </row>
    <row r="238" spans="1:9" x14ac:dyDescent="0.25">
      <c r="A238" s="57">
        <f>'A) Base RI'!A229</f>
        <v>5760</v>
      </c>
      <c r="B238" s="40" t="str">
        <f>'A) Base RI'!B229</f>
        <v>Rances</v>
      </c>
      <c r="C238" s="39">
        <f>'D) Ecrêtage'!M227</f>
        <v>13227.609572649571</v>
      </c>
      <c r="D238" s="19">
        <f>'A) Base RI'!U229</f>
        <v>473</v>
      </c>
      <c r="E238" s="14">
        <f t="shared" si="9"/>
        <v>248766.81267054862</v>
      </c>
      <c r="F238" s="19">
        <f>'F) Population'!K230</f>
        <v>46633.802816901407</v>
      </c>
      <c r="G238" s="14">
        <f>'G) Solidarité'!I227</f>
        <v>199048.75471139472</v>
      </c>
      <c r="H238" s="19">
        <f t="shared" si="10"/>
        <v>245682.55752829614</v>
      </c>
      <c r="I238" s="66">
        <f t="shared" si="11"/>
        <v>3084.2551422524848</v>
      </c>
    </row>
    <row r="239" spans="1:9" x14ac:dyDescent="0.25">
      <c r="A239" s="57">
        <f>'A) Base RI'!A230</f>
        <v>5761</v>
      </c>
      <c r="B239" s="40" t="str">
        <f>'A) Base RI'!B230</f>
        <v>Romainmôtier-Envy</v>
      </c>
      <c r="C239" s="39">
        <f>'D) Ecrêtage'!M228</f>
        <v>12165.915592105261</v>
      </c>
      <c r="D239" s="19">
        <f>'A) Base RI'!U230</f>
        <v>546</v>
      </c>
      <c r="E239" s="14">
        <f t="shared" si="9"/>
        <v>228799.9224988264</v>
      </c>
      <c r="F239" s="19">
        <f>'F) Population'!K231</f>
        <v>53830.985915492951</v>
      </c>
      <c r="G239" s="14">
        <f>'G) Solidarité'!I228</f>
        <v>289611.31950340205</v>
      </c>
      <c r="H239" s="19">
        <f t="shared" si="10"/>
        <v>343442.30541889498</v>
      </c>
      <c r="I239" s="66">
        <f t="shared" si="11"/>
        <v>-114642.38292006857</v>
      </c>
    </row>
    <row r="240" spans="1:9" x14ac:dyDescent="0.25">
      <c r="A240" s="57">
        <f>'A) Base RI'!A231</f>
        <v>5762</v>
      </c>
      <c r="B240" s="40" t="str">
        <f>'A) Base RI'!B231</f>
        <v>Sergey</v>
      </c>
      <c r="C240" s="39">
        <f>'D) Ecrêtage'!M229</f>
        <v>3586.5485897435897</v>
      </c>
      <c r="D240" s="19">
        <f>'A) Base RI'!U231</f>
        <v>140</v>
      </c>
      <c r="E240" s="14">
        <f t="shared" si="9"/>
        <v>67450.906851936059</v>
      </c>
      <c r="F240" s="19">
        <f>'F) Population'!K232</f>
        <v>13802.816901408451</v>
      </c>
      <c r="G240" s="14">
        <f>'G) Solidarité'!I229</f>
        <v>66887.2279677513</v>
      </c>
      <c r="H240" s="19">
        <f t="shared" si="10"/>
        <v>80690.044869159756</v>
      </c>
      <c r="I240" s="66">
        <f t="shared" si="11"/>
        <v>-13239.138017223697</v>
      </c>
    </row>
    <row r="241" spans="1:9" x14ac:dyDescent="0.25">
      <c r="A241" s="57">
        <f>'A) Base RI'!A232</f>
        <v>5763</v>
      </c>
      <c r="B241" s="40" t="str">
        <f>'A) Base RI'!B232</f>
        <v>Valeyres-sous-Rances</v>
      </c>
      <c r="C241" s="39">
        <f>'D) Ecrêtage'!M230</f>
        <v>16085.850769230768</v>
      </c>
      <c r="D241" s="19">
        <f>'A) Base RI'!U232</f>
        <v>623</v>
      </c>
      <c r="E241" s="14">
        <f t="shared" si="9"/>
        <v>302520.70889888541</v>
      </c>
      <c r="F241" s="19">
        <f>'F) Population'!K233</f>
        <v>61422.535211267605</v>
      </c>
      <c r="G241" s="14">
        <f>'G) Solidarité'!I230</f>
        <v>204582.17143510072</v>
      </c>
      <c r="H241" s="19">
        <f t="shared" si="10"/>
        <v>266004.70664636831</v>
      </c>
      <c r="I241" s="66">
        <f t="shared" si="11"/>
        <v>36516.002252517093</v>
      </c>
    </row>
    <row r="242" spans="1:9" x14ac:dyDescent="0.25">
      <c r="A242" s="57">
        <f>'A) Base RI'!A233</f>
        <v>5764</v>
      </c>
      <c r="B242" s="40" t="str">
        <f>'A) Base RI'!B233</f>
        <v>Vallorbe</v>
      </c>
      <c r="C242" s="39">
        <f>'D) Ecrêtage'!M231</f>
        <v>84513.608378378369</v>
      </c>
      <c r="D242" s="19">
        <f>'A) Base RI'!U233</f>
        <v>3747</v>
      </c>
      <c r="E242" s="14">
        <f t="shared" si="9"/>
        <v>1589416.5055375828</v>
      </c>
      <c r="F242" s="19">
        <f>'F) Population'!K234</f>
        <v>1156971.8309859154</v>
      </c>
      <c r="G242" s="14">
        <f>'G) Solidarité'!I231</f>
        <v>1861922.5365769563</v>
      </c>
      <c r="H242" s="19">
        <f t="shared" si="10"/>
        <v>3018894.3675628714</v>
      </c>
      <c r="I242" s="66">
        <f t="shared" si="11"/>
        <v>-1429477.8620252886</v>
      </c>
    </row>
    <row r="243" spans="1:9" x14ac:dyDescent="0.25">
      <c r="A243" s="57">
        <f>'A) Base RI'!A234</f>
        <v>5765</v>
      </c>
      <c r="B243" s="40" t="str">
        <f>'A) Base RI'!B234</f>
        <v>Vaulion</v>
      </c>
      <c r="C243" s="39">
        <f>'D) Ecrêtage'!M232</f>
        <v>10199.027160493826</v>
      </c>
      <c r="D243" s="19">
        <f>'A) Base RI'!U234</f>
        <v>494</v>
      </c>
      <c r="E243" s="14">
        <f t="shared" si="9"/>
        <v>191809.37153622025</v>
      </c>
      <c r="F243" s="19">
        <f>'F) Population'!K235</f>
        <v>48704.225352112669</v>
      </c>
      <c r="G243" s="14">
        <f>'G) Solidarité'!I232</f>
        <v>318786.75821642997</v>
      </c>
      <c r="H243" s="19">
        <f t="shared" si="10"/>
        <v>367490.98356854264</v>
      </c>
      <c r="I243" s="66">
        <f t="shared" si="11"/>
        <v>-175681.61203232239</v>
      </c>
    </row>
    <row r="244" spans="1:9" x14ac:dyDescent="0.25">
      <c r="A244" s="57">
        <f>'A) Base RI'!A235</f>
        <v>5766</v>
      </c>
      <c r="B244" s="40" t="str">
        <f>'A) Base RI'!B235</f>
        <v>Vuiteboeuf</v>
      </c>
      <c r="C244" s="39">
        <f>'D) Ecrêtage'!M233</f>
        <v>13023.960575139146</v>
      </c>
      <c r="D244" s="19">
        <f>'A) Base RI'!U235</f>
        <v>556</v>
      </c>
      <c r="E244" s="14">
        <f t="shared" si="9"/>
        <v>244936.8604984667</v>
      </c>
      <c r="F244" s="19">
        <f>'F) Population'!K236</f>
        <v>54816.9014084507</v>
      </c>
      <c r="G244" s="14">
        <f>'G) Solidarité'!I233</f>
        <v>287708.96685779124</v>
      </c>
      <c r="H244" s="19">
        <f t="shared" si="10"/>
        <v>342525.86826624192</v>
      </c>
      <c r="I244" s="66">
        <f t="shared" si="11"/>
        <v>-97589.007767775212</v>
      </c>
    </row>
    <row r="245" spans="1:9" x14ac:dyDescent="0.25">
      <c r="A245" s="57">
        <f>'A) Base RI'!A236</f>
        <v>5785</v>
      </c>
      <c r="B245" s="40" t="str">
        <f>'A) Base RI'!B236</f>
        <v>Corcelles-le-Jorat</v>
      </c>
      <c r="C245" s="39">
        <f>'D) Ecrêtage'!M234</f>
        <v>12275.22831168831</v>
      </c>
      <c r="D245" s="19">
        <f>'A) Base RI'!U236</f>
        <v>425</v>
      </c>
      <c r="E245" s="14">
        <f t="shared" si="9"/>
        <v>230855.72681370817</v>
      </c>
      <c r="F245" s="19">
        <f>'F) Population'!K237</f>
        <v>41901.408450704221</v>
      </c>
      <c r="G245" s="14">
        <f>'G) Solidarité'!I234</f>
        <v>165073.14440492331</v>
      </c>
      <c r="H245" s="19">
        <f t="shared" si="10"/>
        <v>206974.55285562752</v>
      </c>
      <c r="I245" s="66">
        <f t="shared" si="11"/>
        <v>23881.173958080646</v>
      </c>
    </row>
    <row r="246" spans="1:9" x14ac:dyDescent="0.25">
      <c r="A246" s="57">
        <f>'A) Base RI'!A237</f>
        <v>5788</v>
      </c>
      <c r="B246" s="40" t="str">
        <f>'A) Base RI'!B237</f>
        <v>Essertes</v>
      </c>
      <c r="C246" s="39">
        <f>'D) Ecrêtage'!M235</f>
        <v>9663.2152777777756</v>
      </c>
      <c r="D246" s="19">
        <f>'A) Base RI'!U237</f>
        <v>335</v>
      </c>
      <c r="E246" s="14">
        <f t="shared" si="9"/>
        <v>181732.55353503861</v>
      </c>
      <c r="F246" s="19">
        <f>'F) Population'!K238</f>
        <v>33028.169014084502</v>
      </c>
      <c r="G246" s="14">
        <f>'G) Solidarité'!I235</f>
        <v>114026.37387586803</v>
      </c>
      <c r="H246" s="19">
        <f t="shared" si="10"/>
        <v>147054.54288995254</v>
      </c>
      <c r="I246" s="66">
        <f t="shared" si="11"/>
        <v>34678.010645086062</v>
      </c>
    </row>
    <row r="247" spans="1:9" x14ac:dyDescent="0.25">
      <c r="A247" s="57">
        <f>'A) Base RI'!A238</f>
        <v>5790</v>
      </c>
      <c r="B247" s="40" t="str">
        <f>'A) Base RI'!B238</f>
        <v>Maracon</v>
      </c>
      <c r="C247" s="39">
        <f>'D) Ecrêtage'!M236</f>
        <v>12077.747368421051</v>
      </c>
      <c r="D247" s="19">
        <f>'A) Base RI'!U238</f>
        <v>449</v>
      </c>
      <c r="E247" s="14">
        <f t="shared" si="9"/>
        <v>227141.774980616</v>
      </c>
      <c r="F247" s="19">
        <f>'F) Population'!K239</f>
        <v>44267.605633802814</v>
      </c>
      <c r="G247" s="14">
        <f>'G) Solidarité'!I236</f>
        <v>190409.21456520795</v>
      </c>
      <c r="H247" s="19">
        <f t="shared" si="10"/>
        <v>234676.82019901078</v>
      </c>
      <c r="I247" s="66">
        <f t="shared" si="11"/>
        <v>-7535.0452183947782</v>
      </c>
    </row>
    <row r="248" spans="1:9" x14ac:dyDescent="0.25">
      <c r="A248" s="57">
        <f>'A) Base RI'!A239</f>
        <v>5792</v>
      </c>
      <c r="B248" s="40" t="str">
        <f>'A) Base RI'!B239</f>
        <v>Montpreveyres</v>
      </c>
      <c r="C248" s="39">
        <f>'D) Ecrêtage'!M237</f>
        <v>15670.869999999999</v>
      </c>
      <c r="D248" s="19">
        <f>'A) Base RI'!U239</f>
        <v>621</v>
      </c>
      <c r="E248" s="14">
        <f t="shared" si="9"/>
        <v>294716.31743161951</v>
      </c>
      <c r="F248" s="19">
        <f>'F) Population'!K240</f>
        <v>61225.352112676053</v>
      </c>
      <c r="G248" s="14">
        <f>'G) Solidarité'!I237</f>
        <v>294761.72808676044</v>
      </c>
      <c r="H248" s="19">
        <f t="shared" si="10"/>
        <v>355987.08019943652</v>
      </c>
      <c r="I248" s="66">
        <f t="shared" si="11"/>
        <v>-61270.76276781701</v>
      </c>
    </row>
    <row r="249" spans="1:9" x14ac:dyDescent="0.25">
      <c r="A249" s="57">
        <f>'A) Base RI'!A240</f>
        <v>5798</v>
      </c>
      <c r="B249" s="40" t="str">
        <f>'A) Base RI'!B240</f>
        <v>Ropraz</v>
      </c>
      <c r="C249" s="39">
        <f>'D) Ecrêtage'!M238</f>
        <v>10971.989935483871</v>
      </c>
      <c r="D249" s="19">
        <f>'A) Base RI'!U240</f>
        <v>438</v>
      </c>
      <c r="E249" s="14">
        <f t="shared" si="9"/>
        <v>206346.19958449015</v>
      </c>
      <c r="F249" s="19">
        <f>'F) Population'!K241</f>
        <v>43183.098591549293</v>
      </c>
      <c r="G249" s="14">
        <f>'G) Solidarité'!I238</f>
        <v>212545.83006050307</v>
      </c>
      <c r="H249" s="19">
        <f t="shared" si="10"/>
        <v>255728.92865205236</v>
      </c>
      <c r="I249" s="66">
        <f t="shared" si="11"/>
        <v>-49382.729067562206</v>
      </c>
    </row>
    <row r="250" spans="1:9" x14ac:dyDescent="0.25">
      <c r="A250" s="57">
        <f>'A) Base RI'!A241</f>
        <v>5799</v>
      </c>
      <c r="B250" s="40" t="str">
        <f>'A) Base RI'!B241</f>
        <v>Servion</v>
      </c>
      <c r="C250" s="39">
        <f>'D) Ecrêtage'!M239</f>
        <v>60598.657971014502</v>
      </c>
      <c r="D250" s="19">
        <f>'A) Base RI'!U241</f>
        <v>1918</v>
      </c>
      <c r="E250" s="14">
        <f t="shared" si="9"/>
        <v>1139656.7847551317</v>
      </c>
      <c r="F250" s="19">
        <f>'F) Population'!K242</f>
        <v>415366.19718309859</v>
      </c>
      <c r="G250" s="14">
        <f>'G) Solidarité'!I239</f>
        <v>499461.08859390463</v>
      </c>
      <c r="H250" s="19">
        <f t="shared" si="10"/>
        <v>914827.28577700327</v>
      </c>
      <c r="I250" s="66">
        <f t="shared" si="11"/>
        <v>224829.49897812842</v>
      </c>
    </row>
    <row r="251" spans="1:9" x14ac:dyDescent="0.25">
      <c r="A251" s="57">
        <f>'A) Base RI'!A242</f>
        <v>5803</v>
      </c>
      <c r="B251" s="40" t="str">
        <f>'A) Base RI'!B242</f>
        <v>Vulliens</v>
      </c>
      <c r="C251" s="39">
        <f>'D) Ecrêtage'!M240</f>
        <v>14215.08564102564</v>
      </c>
      <c r="D251" s="19">
        <f>'A) Base RI'!U242</f>
        <v>466</v>
      </c>
      <c r="E251" s="14">
        <f t="shared" si="9"/>
        <v>267337.91372771066</v>
      </c>
      <c r="F251" s="19">
        <f>'F) Population'!K243</f>
        <v>45943.661971830981</v>
      </c>
      <c r="G251" s="14">
        <f>'G) Solidarité'!I240</f>
        <v>167396.5892278383</v>
      </c>
      <c r="H251" s="19">
        <f t="shared" si="10"/>
        <v>213340.25119966926</v>
      </c>
      <c r="I251" s="66">
        <f t="shared" si="11"/>
        <v>53997.662528041401</v>
      </c>
    </row>
    <row r="252" spans="1:9" x14ac:dyDescent="0.25">
      <c r="A252" s="57">
        <f>'A) Base RI'!A243</f>
        <v>5804</v>
      </c>
      <c r="B252" s="40" t="str">
        <f>'A) Base RI'!B243</f>
        <v>Jorat-Menthue</v>
      </c>
      <c r="C252" s="39">
        <f>'D) Ecrêtage'!M241</f>
        <v>48554.511111111118</v>
      </c>
      <c r="D252" s="19">
        <f>'A) Base RI'!U243</f>
        <v>1545</v>
      </c>
      <c r="E252" s="14">
        <f t="shared" si="9"/>
        <v>913146.92224230827</v>
      </c>
      <c r="F252" s="19">
        <f>'F) Population'!K244</f>
        <v>286654.92957746476</v>
      </c>
      <c r="G252" s="14">
        <f>'G) Solidarité'!I241</f>
        <v>443435.54946160177</v>
      </c>
      <c r="H252" s="19">
        <f t="shared" si="10"/>
        <v>730090.47903906647</v>
      </c>
      <c r="I252" s="66">
        <f t="shared" si="11"/>
        <v>183056.4432032418</v>
      </c>
    </row>
    <row r="253" spans="1:9" x14ac:dyDescent="0.25">
      <c r="A253" s="57">
        <f>'A) Base RI'!A244</f>
        <v>5805</v>
      </c>
      <c r="B253" s="40" t="str">
        <f>'A) Base RI'!B244</f>
        <v>Oron</v>
      </c>
      <c r="C253" s="39">
        <f>'D) Ecrêtage'!M242</f>
        <v>147104.2625559947</v>
      </c>
      <c r="D253" s="19">
        <f>'A) Base RI'!U244</f>
        <v>5397</v>
      </c>
      <c r="E253" s="14">
        <f t="shared" si="9"/>
        <v>2766536.0339915296</v>
      </c>
      <c r="F253" s="19">
        <f>'F) Population'!K245</f>
        <v>2009492.9577464787</v>
      </c>
      <c r="G253" s="14">
        <f>'G) Solidarité'!I242</f>
        <v>1849909.2715898138</v>
      </c>
      <c r="H253" s="19">
        <f t="shared" si="10"/>
        <v>3859402.2293362925</v>
      </c>
      <c r="I253" s="66">
        <f t="shared" si="11"/>
        <v>-1092866.1953447629</v>
      </c>
    </row>
    <row r="254" spans="1:9" x14ac:dyDescent="0.25">
      <c r="A254" s="57">
        <f>'A) Base RI'!A245</f>
        <v>5806</v>
      </c>
      <c r="B254" s="40" t="str">
        <f>'A) Base RI'!B245</f>
        <v>Jorat-Mézières</v>
      </c>
      <c r="C254" s="39">
        <f>'D) Ecrêtage'!M243</f>
        <v>90980.17</v>
      </c>
      <c r="D254" s="19">
        <f>'A) Base RI'!U245</f>
        <v>2814</v>
      </c>
      <c r="E254" s="14">
        <f t="shared" si="9"/>
        <v>1711030.7635570143</v>
      </c>
      <c r="F254" s="19">
        <f>'F) Population'!K246</f>
        <v>724549.29577464785</v>
      </c>
      <c r="G254" s="14">
        <f>'G) Solidarité'!I243</f>
        <v>841270.09193763498</v>
      </c>
      <c r="H254" s="19">
        <f t="shared" si="10"/>
        <v>1565819.3877122828</v>
      </c>
      <c r="I254" s="66">
        <f t="shared" si="11"/>
        <v>145211.37584473146</v>
      </c>
    </row>
    <row r="255" spans="1:9" x14ac:dyDescent="0.25">
      <c r="A255" s="57">
        <f>'A) Base RI'!A246</f>
        <v>5812</v>
      </c>
      <c r="B255" s="40" t="str">
        <f>'A) Base RI'!B246</f>
        <v>Champtauroz</v>
      </c>
      <c r="C255" s="39">
        <f>'D) Ecrêtage'!M244</f>
        <v>2326.5760389610391</v>
      </c>
      <c r="D255" s="19">
        <f>'A) Base RI'!U246</f>
        <v>130</v>
      </c>
      <c r="E255" s="14">
        <f t="shared" si="9"/>
        <v>43755.064168565092</v>
      </c>
      <c r="F255" s="19">
        <f>'F) Population'!K247</f>
        <v>12816.901408450703</v>
      </c>
      <c r="G255" s="14">
        <f>'G) Solidarité'!I244</f>
        <v>84259.740802207554</v>
      </c>
      <c r="H255" s="19">
        <f t="shared" si="10"/>
        <v>97076.642210658261</v>
      </c>
      <c r="I255" s="66">
        <f t="shared" si="11"/>
        <v>-53321.57804209317</v>
      </c>
    </row>
    <row r="256" spans="1:9" x14ac:dyDescent="0.25">
      <c r="A256" s="57">
        <f>'A) Base RI'!A247</f>
        <v>5813</v>
      </c>
      <c r="B256" s="40" t="str">
        <f>'A) Base RI'!B247</f>
        <v>Chevroux</v>
      </c>
      <c r="C256" s="39">
        <f>'D) Ecrêtage'!M245</f>
        <v>11503.329976190478</v>
      </c>
      <c r="D256" s="19">
        <f>'A) Base RI'!U247</f>
        <v>446</v>
      </c>
      <c r="E256" s="14">
        <f t="shared" si="9"/>
        <v>216338.91728944323</v>
      </c>
      <c r="F256" s="19">
        <f>'F) Population'!K248</f>
        <v>43971.830985915491</v>
      </c>
      <c r="G256" s="14">
        <f>'G) Solidarité'!I245</f>
        <v>170099.16757695808</v>
      </c>
      <c r="H256" s="19">
        <f t="shared" si="10"/>
        <v>214070.99856287357</v>
      </c>
      <c r="I256" s="66">
        <f t="shared" si="11"/>
        <v>2267.9187265696528</v>
      </c>
    </row>
    <row r="257" spans="1:9" x14ac:dyDescent="0.25">
      <c r="A257" s="57">
        <f>'A) Base RI'!A248</f>
        <v>5816</v>
      </c>
      <c r="B257" s="40" t="str">
        <f>'A) Base RI'!B248</f>
        <v>Corcelles-près-Payerne</v>
      </c>
      <c r="C257" s="39">
        <f>'D) Ecrêtage'!M246</f>
        <v>56641.066845238092</v>
      </c>
      <c r="D257" s="19">
        <f>'A) Base RI'!U248</f>
        <v>2393</v>
      </c>
      <c r="E257" s="14">
        <f t="shared" si="9"/>
        <v>1065227.8167087578</v>
      </c>
      <c r="F257" s="19">
        <f>'F) Population'!K249</f>
        <v>579274.64788732387</v>
      </c>
      <c r="G257" s="14">
        <f>'G) Solidarité'!I246</f>
        <v>1070567.5657315885</v>
      </c>
      <c r="H257" s="19">
        <f t="shared" si="10"/>
        <v>1649842.2136189123</v>
      </c>
      <c r="I257" s="66">
        <f t="shared" si="11"/>
        <v>-584614.39691015449</v>
      </c>
    </row>
    <row r="258" spans="1:9" x14ac:dyDescent="0.25">
      <c r="A258" s="57">
        <f>'A) Base RI'!A249</f>
        <v>5817</v>
      </c>
      <c r="B258" s="40" t="str">
        <f>'A) Base RI'!B249</f>
        <v>Grandcour</v>
      </c>
      <c r="C258" s="39">
        <f>'D) Ecrêtage'!M247</f>
        <v>20990.550314465407</v>
      </c>
      <c r="D258" s="19">
        <f>'A) Base RI'!U249</f>
        <v>885</v>
      </c>
      <c r="E258" s="14">
        <f t="shared" si="9"/>
        <v>394761.59840151621</v>
      </c>
      <c r="F258" s="19">
        <f>'F) Population'!K250</f>
        <v>87253.521126760563</v>
      </c>
      <c r="G258" s="14">
        <f>'G) Solidarité'!I247</f>
        <v>481622.11118831637</v>
      </c>
      <c r="H258" s="19">
        <f t="shared" si="10"/>
        <v>568875.63231507689</v>
      </c>
      <c r="I258" s="66">
        <f t="shared" si="11"/>
        <v>-174114.03391356068</v>
      </c>
    </row>
    <row r="259" spans="1:9" x14ac:dyDescent="0.25">
      <c r="A259" s="57">
        <f>'A) Base RI'!A250</f>
        <v>5819</v>
      </c>
      <c r="B259" s="40" t="str">
        <f>'A) Base RI'!B250</f>
        <v>Henniez</v>
      </c>
      <c r="C259" s="39">
        <f>'D) Ecrêtage'!M248</f>
        <v>14949.743880597016</v>
      </c>
      <c r="D259" s="19">
        <f>'A) Base RI'!U250</f>
        <v>338</v>
      </c>
      <c r="E259" s="14">
        <f t="shared" si="9"/>
        <v>281154.36239567056</v>
      </c>
      <c r="F259" s="19">
        <f>'F) Population'!K251</f>
        <v>33323.943661971825</v>
      </c>
      <c r="G259" s="14">
        <f>'G) Solidarité'!I248</f>
        <v>6540.2501396273692</v>
      </c>
      <c r="H259" s="19">
        <f t="shared" si="10"/>
        <v>39864.193801599191</v>
      </c>
      <c r="I259" s="66">
        <f t="shared" si="11"/>
        <v>241290.16859407135</v>
      </c>
    </row>
    <row r="260" spans="1:9" x14ac:dyDescent="0.25">
      <c r="A260" s="57">
        <f>'A) Base RI'!A251</f>
        <v>5821</v>
      </c>
      <c r="B260" s="40" t="str">
        <f>'A) Base RI'!B251</f>
        <v>Missy</v>
      </c>
      <c r="C260" s="39">
        <f>'D) Ecrêtage'!M249</f>
        <v>7776.2584722222218</v>
      </c>
      <c r="D260" s="19">
        <f>'A) Base RI'!U251</f>
        <v>361</v>
      </c>
      <c r="E260" s="14">
        <f t="shared" si="9"/>
        <v>146245.24741317905</v>
      </c>
      <c r="F260" s="19">
        <f>'F) Population'!K252</f>
        <v>35591.549295774646</v>
      </c>
      <c r="G260" s="14">
        <f>'G) Solidarité'!I249</f>
        <v>177387.17763884593</v>
      </c>
      <c r="H260" s="19">
        <f t="shared" si="10"/>
        <v>212978.72693462059</v>
      </c>
      <c r="I260" s="66">
        <f t="shared" si="11"/>
        <v>-66733.479521441535</v>
      </c>
    </row>
    <row r="261" spans="1:9" x14ac:dyDescent="0.25">
      <c r="A261" s="57">
        <f>'A) Base RI'!A252</f>
        <v>5822</v>
      </c>
      <c r="B261" s="40" t="str">
        <f>'A) Base RI'!B252</f>
        <v>Payerne</v>
      </c>
      <c r="C261" s="39">
        <f>'D) Ecrêtage'!M250</f>
        <v>231493.6713333333</v>
      </c>
      <c r="D261" s="19">
        <f>'A) Base RI'!U252</f>
        <v>9301</v>
      </c>
      <c r="E261" s="14">
        <f t="shared" si="9"/>
        <v>4353616.7630824363</v>
      </c>
      <c r="F261" s="19">
        <f>'F) Population'!K253</f>
        <v>4393091.5492957747</v>
      </c>
      <c r="G261" s="14">
        <f>'G) Solidarité'!I250</f>
        <v>4260558.8816941073</v>
      </c>
      <c r="H261" s="19">
        <f t="shared" si="10"/>
        <v>8653650.430989882</v>
      </c>
      <c r="I261" s="66">
        <f t="shared" si="11"/>
        <v>-4300033.6679074457</v>
      </c>
    </row>
    <row r="262" spans="1:9" x14ac:dyDescent="0.25">
      <c r="A262" s="57">
        <f>'A) Base RI'!A253</f>
        <v>5827</v>
      </c>
      <c r="B262" s="40" t="str">
        <f>'A) Base RI'!B253</f>
        <v>Trey</v>
      </c>
      <c r="C262" s="39">
        <f>'D) Ecrêtage'!M251</f>
        <v>6204.9173749999991</v>
      </c>
      <c r="D262" s="19">
        <f>'A) Base RI'!U253</f>
        <v>260</v>
      </c>
      <c r="E262" s="14">
        <f t="shared" si="9"/>
        <v>116693.61042031943</v>
      </c>
      <c r="F262" s="19">
        <f>'F) Population'!K254</f>
        <v>25633.802816901407</v>
      </c>
      <c r="G262" s="14">
        <f>'G) Solidarité'!I251</f>
        <v>142303.93347332845</v>
      </c>
      <c r="H262" s="19">
        <f t="shared" si="10"/>
        <v>167937.73629022986</v>
      </c>
      <c r="I262" s="66">
        <f t="shared" si="11"/>
        <v>-51244.125869910436</v>
      </c>
    </row>
    <row r="263" spans="1:9" x14ac:dyDescent="0.25">
      <c r="A263" s="57">
        <f>'A) Base RI'!A254</f>
        <v>5828</v>
      </c>
      <c r="B263" s="40" t="str">
        <f>'A) Base RI'!B254</f>
        <v>Treytorrens (Payerne)</v>
      </c>
      <c r="C263" s="39">
        <f>'D) Ecrêtage'!M252</f>
        <v>2352.5354761904764</v>
      </c>
      <c r="D263" s="19">
        <f>'A) Base RI'!U254</f>
        <v>131</v>
      </c>
      <c r="E263" s="14">
        <f t="shared" si="9"/>
        <v>44243.273804842916</v>
      </c>
      <c r="F263" s="19">
        <f>'F) Population'!K255</f>
        <v>12915.492957746477</v>
      </c>
      <c r="G263" s="14">
        <f>'G) Solidarité'!I252</f>
        <v>100820.54927501072</v>
      </c>
      <c r="H263" s="19">
        <f t="shared" si="10"/>
        <v>113736.0422327572</v>
      </c>
      <c r="I263" s="66">
        <f t="shared" si="11"/>
        <v>-69492.768427914285</v>
      </c>
    </row>
    <row r="264" spans="1:9" x14ac:dyDescent="0.25">
      <c r="A264" s="57">
        <f>'A) Base RI'!A255</f>
        <v>5830</v>
      </c>
      <c r="B264" s="40" t="str">
        <f>'A) Base RI'!B255</f>
        <v>Villarzel</v>
      </c>
      <c r="C264" s="39">
        <f>'D) Ecrêtage'!M253</f>
        <v>9737.3892405063307</v>
      </c>
      <c r="D264" s="19">
        <f>'A) Base RI'!U255</f>
        <v>424</v>
      </c>
      <c r="E264" s="14">
        <f t="shared" si="9"/>
        <v>183127.51610856963</v>
      </c>
      <c r="F264" s="19">
        <f>'F) Population'!K256</f>
        <v>41802.816901408449</v>
      </c>
      <c r="G264" s="14">
        <f>'G) Solidarité'!I253</f>
        <v>235791.41302834719</v>
      </c>
      <c r="H264" s="19">
        <f t="shared" si="10"/>
        <v>277594.22992975562</v>
      </c>
      <c r="I264" s="66">
        <f t="shared" si="11"/>
        <v>-94466.713821185986</v>
      </c>
    </row>
    <row r="265" spans="1:9" x14ac:dyDescent="0.25">
      <c r="A265" s="57">
        <f>'A) Base RI'!A256</f>
        <v>5831</v>
      </c>
      <c r="B265" s="40" t="str">
        <f>'A) Base RI'!B256</f>
        <v>Valbroye</v>
      </c>
      <c r="C265" s="39">
        <f>'D) Ecrêtage'!M254</f>
        <v>75142.69210045661</v>
      </c>
      <c r="D265" s="19">
        <f>'A) Base RI'!U256</f>
        <v>2974</v>
      </c>
      <c r="E265" s="14">
        <f t="shared" si="9"/>
        <v>1413181.1123278171</v>
      </c>
      <c r="F265" s="19">
        <f>'F) Population'!K257</f>
        <v>779760.56338028167</v>
      </c>
      <c r="G265" s="14">
        <f>'G) Solidarité'!I254</f>
        <v>1266775.3991823597</v>
      </c>
      <c r="H265" s="19">
        <f t="shared" si="10"/>
        <v>2046535.9625626414</v>
      </c>
      <c r="I265" s="66">
        <f t="shared" si="11"/>
        <v>-633354.85023482423</v>
      </c>
    </row>
    <row r="266" spans="1:9" x14ac:dyDescent="0.25">
      <c r="A266" s="57">
        <f>'A) Base RI'!A257</f>
        <v>5841</v>
      </c>
      <c r="B266" s="40" t="str">
        <f>'A) Base RI'!B257</f>
        <v>Château-d'Oex</v>
      </c>
      <c r="C266" s="39">
        <f>'D) Ecrêtage'!M255</f>
        <v>106457.35927710844</v>
      </c>
      <c r="D266" s="19">
        <f>'A) Base RI'!U257</f>
        <v>3477</v>
      </c>
      <c r="E266" s="14">
        <f t="shared" si="9"/>
        <v>2002104.5985094802</v>
      </c>
      <c r="F266" s="19">
        <f>'F) Population'!K258</f>
        <v>1023873.2394366197</v>
      </c>
      <c r="G266" s="14">
        <f>'G) Solidarité'!I255</f>
        <v>1403465.7942707806</v>
      </c>
      <c r="H266" s="19">
        <f t="shared" si="10"/>
        <v>2427339.0337074003</v>
      </c>
      <c r="I266" s="66">
        <f t="shared" si="11"/>
        <v>-425234.43519792007</v>
      </c>
    </row>
    <row r="267" spans="1:9" x14ac:dyDescent="0.25">
      <c r="A267" s="57">
        <f>'A) Base RI'!A258</f>
        <v>5842</v>
      </c>
      <c r="B267" s="40" t="str">
        <f>'A) Base RI'!B258</f>
        <v>Rossinière</v>
      </c>
      <c r="C267" s="39">
        <f>'D) Ecrêtage'!M256</f>
        <v>13519.399629629628</v>
      </c>
      <c r="D267" s="19">
        <f>'A) Base RI'!U258</f>
        <v>546</v>
      </c>
      <c r="E267" s="14">
        <f t="shared" si="9"/>
        <v>254254.40149339795</v>
      </c>
      <c r="F267" s="19">
        <f>'F) Population'!K259</f>
        <v>53830.985915492951</v>
      </c>
      <c r="G267" s="14">
        <f>'G) Solidarité'!I256</f>
        <v>293560.23810088745</v>
      </c>
      <c r="H267" s="19">
        <f t="shared" si="10"/>
        <v>347391.22401638038</v>
      </c>
      <c r="I267" s="66">
        <f t="shared" si="11"/>
        <v>-93136.822522982431</v>
      </c>
    </row>
    <row r="268" spans="1:9" x14ac:dyDescent="0.25">
      <c r="A268" s="57">
        <f>'A) Base RI'!A259</f>
        <v>5843</v>
      </c>
      <c r="B268" s="40" t="str">
        <f>'A) Base RI'!B259</f>
        <v>Rougemont</v>
      </c>
      <c r="C268" s="39">
        <f>'D) Ecrêtage'!M257</f>
        <v>79766.061543453106</v>
      </c>
      <c r="D268" s="19">
        <f>'A) Base RI'!U259</f>
        <v>892</v>
      </c>
      <c r="E268" s="14">
        <f t="shared" si="9"/>
        <v>1500131.1295486738</v>
      </c>
      <c r="F268" s="19">
        <f>'F) Population'!K260</f>
        <v>87943.661971830981</v>
      </c>
      <c r="G268" s="14">
        <f>'G) Solidarité'!I257</f>
        <v>0</v>
      </c>
      <c r="H268" s="19">
        <f t="shared" si="10"/>
        <v>87943.661971830981</v>
      </c>
      <c r="I268" s="66">
        <f t="shared" si="11"/>
        <v>1412187.4675768428</v>
      </c>
    </row>
    <row r="269" spans="1:9" x14ac:dyDescent="0.25">
      <c r="A269" s="57">
        <f>'A) Base RI'!A260</f>
        <v>5851</v>
      </c>
      <c r="B269" s="40" t="str">
        <f>'A) Base RI'!B260</f>
        <v>Allaman</v>
      </c>
      <c r="C269" s="39">
        <f>'D) Ecrêtage'!M258</f>
        <v>26406.752515655604</v>
      </c>
      <c r="D269" s="19">
        <f>'A) Base RI'!U260</f>
        <v>432</v>
      </c>
      <c r="E269" s="14">
        <f t="shared" si="9"/>
        <v>496622.13117345591</v>
      </c>
      <c r="F269" s="19">
        <f>'F) Population'!K261</f>
        <v>42591.549295774646</v>
      </c>
      <c r="G269" s="14">
        <f>'G) Solidarité'!I258</f>
        <v>0</v>
      </c>
      <c r="H269" s="19">
        <f t="shared" si="10"/>
        <v>42591.549295774646</v>
      </c>
      <c r="I269" s="66">
        <f t="shared" si="11"/>
        <v>454030.58187768125</v>
      </c>
    </row>
    <row r="270" spans="1:9" x14ac:dyDescent="0.25">
      <c r="A270" s="57">
        <f>'A) Base RI'!A261</f>
        <v>5852</v>
      </c>
      <c r="B270" s="40" t="str">
        <f>'A) Base RI'!B261</f>
        <v>Bursinel</v>
      </c>
      <c r="C270" s="39">
        <f>'D) Ecrêtage'!M259</f>
        <v>29417.979610243983</v>
      </c>
      <c r="D270" s="19">
        <f>'A) Base RI'!U261</f>
        <v>485</v>
      </c>
      <c r="E270" s="14">
        <f t="shared" si="9"/>
        <v>553253.1772013664</v>
      </c>
      <c r="F270" s="19">
        <f>'F) Population'!K262</f>
        <v>47816.9014084507</v>
      </c>
      <c r="G270" s="14">
        <f>'G) Solidarité'!I259</f>
        <v>0</v>
      </c>
      <c r="H270" s="19">
        <f t="shared" si="10"/>
        <v>47816.9014084507</v>
      </c>
      <c r="I270" s="66">
        <f t="shared" si="11"/>
        <v>505436.27579291572</v>
      </c>
    </row>
    <row r="271" spans="1:9" x14ac:dyDescent="0.25">
      <c r="A271" s="57">
        <f>'A) Base RI'!A262</f>
        <v>5853</v>
      </c>
      <c r="B271" s="40" t="str">
        <f>'A) Base RI'!B262</f>
        <v>Bursins</v>
      </c>
      <c r="C271" s="39">
        <f>'D) Ecrêtage'!M260</f>
        <v>40543.223380281692</v>
      </c>
      <c r="D271" s="19">
        <f>'A) Base RI'!U262</f>
        <v>766</v>
      </c>
      <c r="E271" s="14">
        <f t="shared" si="9"/>
        <v>762481.56557001348</v>
      </c>
      <c r="F271" s="19">
        <f>'F) Population'!K263</f>
        <v>75521.126760563377</v>
      </c>
      <c r="G271" s="14">
        <f>'G) Solidarité'!I260</f>
        <v>0</v>
      </c>
      <c r="H271" s="19">
        <f t="shared" si="10"/>
        <v>75521.126760563377</v>
      </c>
      <c r="I271" s="66">
        <f t="shared" si="11"/>
        <v>686960.43880945013</v>
      </c>
    </row>
    <row r="272" spans="1:9" x14ac:dyDescent="0.25">
      <c r="A272" s="57">
        <f>'A) Base RI'!A263</f>
        <v>5854</v>
      </c>
      <c r="B272" s="40" t="str">
        <f>'A) Base RI'!B263</f>
        <v>Burtigny</v>
      </c>
      <c r="C272" s="39">
        <f>'D) Ecrêtage'!M261</f>
        <v>10577.787833333332</v>
      </c>
      <c r="D272" s="19">
        <f>'A) Base RI'!U263</f>
        <v>359</v>
      </c>
      <c r="E272" s="14">
        <f t="shared" si="9"/>
        <v>198932.58490517689</v>
      </c>
      <c r="F272" s="19">
        <f>'F) Population'!K264</f>
        <v>35394.366197183095</v>
      </c>
      <c r="G272" s="14">
        <f>'G) Solidarité'!I261</f>
        <v>145185.66055633841</v>
      </c>
      <c r="H272" s="19">
        <f t="shared" si="10"/>
        <v>180580.0267535215</v>
      </c>
      <c r="I272" s="66">
        <f t="shared" si="11"/>
        <v>18352.558151655394</v>
      </c>
    </row>
    <row r="273" spans="1:9" x14ac:dyDescent="0.25">
      <c r="A273" s="57">
        <f>'A) Base RI'!A264</f>
        <v>5855</v>
      </c>
      <c r="B273" s="40" t="str">
        <f>'A) Base RI'!B264</f>
        <v>Dully</v>
      </c>
      <c r="C273" s="39">
        <f>'D) Ecrêtage'!M262</f>
        <v>68692.563814665671</v>
      </c>
      <c r="D273" s="19">
        <f>'A) Base RI'!U264</f>
        <v>633</v>
      </c>
      <c r="E273" s="14">
        <f t="shared" ref="E273:E324" si="12">C273*E$15</f>
        <v>1291875.9100416754</v>
      </c>
      <c r="F273" s="19">
        <f>'F) Population'!K265</f>
        <v>62408.450704225346</v>
      </c>
      <c r="G273" s="14">
        <f>'G) Solidarité'!I262</f>
        <v>0</v>
      </c>
      <c r="H273" s="19">
        <f t="shared" ref="H273:H324" si="13">F273+G273</f>
        <v>62408.450704225346</v>
      </c>
      <c r="I273" s="66">
        <f t="shared" ref="I273:I324" si="14">E273-H273</f>
        <v>1229467.4593374501</v>
      </c>
    </row>
    <row r="274" spans="1:9" x14ac:dyDescent="0.25">
      <c r="A274" s="57">
        <f>'A) Base RI'!A265</f>
        <v>5856</v>
      </c>
      <c r="B274" s="40" t="str">
        <f>'A) Base RI'!B265</f>
        <v>Essertines-sur-Rolle</v>
      </c>
      <c r="C274" s="39">
        <f>'D) Ecrêtage'!M263</f>
        <v>31862.802285067875</v>
      </c>
      <c r="D274" s="19">
        <f>'A) Base RI'!U265</f>
        <v>695</v>
      </c>
      <c r="E274" s="14">
        <f t="shared" si="12"/>
        <v>599232.06257897592</v>
      </c>
      <c r="F274" s="19">
        <f>'F) Population'!K266</f>
        <v>68521.126760563377</v>
      </c>
      <c r="G274" s="14">
        <f>'G) Solidarité'!I263</f>
        <v>0</v>
      </c>
      <c r="H274" s="19">
        <f t="shared" si="13"/>
        <v>68521.126760563377</v>
      </c>
      <c r="I274" s="66">
        <f t="shared" si="14"/>
        <v>530710.93581841257</v>
      </c>
    </row>
    <row r="275" spans="1:9" x14ac:dyDescent="0.25">
      <c r="A275" s="57">
        <f>'A) Base RI'!A266</f>
        <v>5857</v>
      </c>
      <c r="B275" s="40" t="str">
        <f>'A) Base RI'!B266</f>
        <v>Gilly</v>
      </c>
      <c r="C275" s="39">
        <f>'D) Ecrêtage'!M264</f>
        <v>62540.44560606061</v>
      </c>
      <c r="D275" s="19">
        <f>'A) Base RI'!U266</f>
        <v>1230</v>
      </c>
      <c r="E275" s="14">
        <f t="shared" si="12"/>
        <v>1176175.2742222156</v>
      </c>
      <c r="F275" s="19">
        <f>'F) Population'!K267</f>
        <v>177957.74647887325</v>
      </c>
      <c r="G275" s="14">
        <f>'G) Solidarité'!I264</f>
        <v>0</v>
      </c>
      <c r="H275" s="19">
        <f t="shared" si="13"/>
        <v>177957.74647887325</v>
      </c>
      <c r="I275" s="66">
        <f t="shared" si="14"/>
        <v>998217.52774334233</v>
      </c>
    </row>
    <row r="276" spans="1:9" x14ac:dyDescent="0.25">
      <c r="A276" s="57">
        <f>'A) Base RI'!A267</f>
        <v>5858</v>
      </c>
      <c r="B276" s="40" t="str">
        <f>'A) Base RI'!B267</f>
        <v>Luins</v>
      </c>
      <c r="C276" s="39">
        <f>'D) Ecrêtage'!M265</f>
        <v>35027.999071405589</v>
      </c>
      <c r="D276" s="19">
        <f>'A) Base RI'!U267</f>
        <v>625</v>
      </c>
      <c r="E276" s="14">
        <f t="shared" si="12"/>
        <v>658758.76025535562</v>
      </c>
      <c r="F276" s="19">
        <f>'F) Population'!K268</f>
        <v>61619.718309859149</v>
      </c>
      <c r="G276" s="14">
        <f>'G) Solidarité'!I265</f>
        <v>0</v>
      </c>
      <c r="H276" s="19">
        <f t="shared" si="13"/>
        <v>61619.718309859149</v>
      </c>
      <c r="I276" s="66">
        <f t="shared" si="14"/>
        <v>597139.04194549646</v>
      </c>
    </row>
    <row r="277" spans="1:9" x14ac:dyDescent="0.25">
      <c r="A277" s="57">
        <f>'A) Base RI'!A268</f>
        <v>5859</v>
      </c>
      <c r="B277" s="40" t="str">
        <f>'A) Base RI'!B268</f>
        <v>Mont-sur-Rolle</v>
      </c>
      <c r="C277" s="39">
        <f>'D) Ecrêtage'!M266</f>
        <v>130430.38093750003</v>
      </c>
      <c r="D277" s="19">
        <f>'A) Base RI'!U268</f>
        <v>2660</v>
      </c>
      <c r="E277" s="14">
        <f t="shared" si="12"/>
        <v>2452956.444096806</v>
      </c>
      <c r="F277" s="19">
        <f>'F) Population'!K269</f>
        <v>671408.45070422534</v>
      </c>
      <c r="G277" s="14">
        <f>'G) Solidarité'!I266</f>
        <v>0</v>
      </c>
      <c r="H277" s="19">
        <f t="shared" si="13"/>
        <v>671408.45070422534</v>
      </c>
      <c r="I277" s="66">
        <f t="shared" si="14"/>
        <v>1781547.9933925807</v>
      </c>
    </row>
    <row r="278" spans="1:9" x14ac:dyDescent="0.25">
      <c r="A278" s="57">
        <f>'A) Base RI'!A269</f>
        <v>5860</v>
      </c>
      <c r="B278" s="40" t="str">
        <f>'A) Base RI'!B269</f>
        <v>Perroy</v>
      </c>
      <c r="C278" s="39">
        <f>'D) Ecrêtage'!M267</f>
        <v>90679.789505177716</v>
      </c>
      <c r="D278" s="19">
        <f>'A) Base RI'!U269</f>
        <v>1453</v>
      </c>
      <c r="E278" s="14">
        <f t="shared" si="12"/>
        <v>1705381.6175132841</v>
      </c>
      <c r="F278" s="19">
        <f>'F) Population'!K270</f>
        <v>254908.45070422534</v>
      </c>
      <c r="G278" s="14">
        <f>'G) Solidarité'!I267</f>
        <v>0</v>
      </c>
      <c r="H278" s="19">
        <f t="shared" si="13"/>
        <v>254908.45070422534</v>
      </c>
      <c r="I278" s="66">
        <f t="shared" si="14"/>
        <v>1450473.1668090587</v>
      </c>
    </row>
    <row r="279" spans="1:9" x14ac:dyDescent="0.25">
      <c r="A279" s="57">
        <f>'A) Base RI'!A270</f>
        <v>5861</v>
      </c>
      <c r="B279" s="40" t="str">
        <f>'A) Base RI'!B270</f>
        <v>Rolle</v>
      </c>
      <c r="C279" s="39">
        <f>'D) Ecrêtage'!M268</f>
        <v>712955.93825545628</v>
      </c>
      <c r="D279" s="19">
        <f>'A) Base RI'!U270</f>
        <v>6142</v>
      </c>
      <c r="E279" s="14">
        <f t="shared" si="12"/>
        <v>13408301.428934909</v>
      </c>
      <c r="F279" s="19">
        <f>'F) Population'!K271</f>
        <v>2450197.1830985914</v>
      </c>
      <c r="G279" s="14">
        <f>'G) Solidarité'!I268</f>
        <v>0</v>
      </c>
      <c r="H279" s="19">
        <f t="shared" si="13"/>
        <v>2450197.1830985914</v>
      </c>
      <c r="I279" s="66">
        <f t="shared" si="14"/>
        <v>10958104.245836318</v>
      </c>
    </row>
    <row r="280" spans="1:9" x14ac:dyDescent="0.25">
      <c r="A280" s="57">
        <f>'A) Base RI'!A271</f>
        <v>5862</v>
      </c>
      <c r="B280" s="40" t="str">
        <f>'A) Base RI'!B271</f>
        <v>Tartegnin</v>
      </c>
      <c r="C280" s="39">
        <f>'D) Ecrêtage'!M269</f>
        <v>8301.4215873015874</v>
      </c>
      <c r="D280" s="19">
        <f>'A) Base RI'!U271</f>
        <v>236</v>
      </c>
      <c r="E280" s="14">
        <f t="shared" si="12"/>
        <v>156121.79793826849</v>
      </c>
      <c r="F280" s="19">
        <f>'F) Population'!K272</f>
        <v>23267.605633802814</v>
      </c>
      <c r="G280" s="14">
        <f>'G) Solidarité'!I269</f>
        <v>67302.786483888864</v>
      </c>
      <c r="H280" s="19">
        <f t="shared" si="13"/>
        <v>90570.392117691677</v>
      </c>
      <c r="I280" s="66">
        <f t="shared" si="14"/>
        <v>65551.405820576809</v>
      </c>
    </row>
    <row r="281" spans="1:9" x14ac:dyDescent="0.25">
      <c r="A281" s="57">
        <f>'A) Base RI'!A272</f>
        <v>5863</v>
      </c>
      <c r="B281" s="40" t="str">
        <f>'A) Base RI'!B272</f>
        <v>Vinzel</v>
      </c>
      <c r="C281" s="39">
        <f>'D) Ecrêtage'!M270</f>
        <v>23656.271771824515</v>
      </c>
      <c r="D281" s="19">
        <f>'A) Base RI'!U272</f>
        <v>352</v>
      </c>
      <c r="E281" s="14">
        <f t="shared" si="12"/>
        <v>444894.84634571627</v>
      </c>
      <c r="F281" s="19">
        <f>'F) Population'!K273</f>
        <v>34704.225352112677</v>
      </c>
      <c r="G281" s="14">
        <f>'G) Solidarité'!I270</f>
        <v>0</v>
      </c>
      <c r="H281" s="19">
        <f t="shared" si="13"/>
        <v>34704.225352112677</v>
      </c>
      <c r="I281" s="66">
        <f t="shared" si="14"/>
        <v>410190.6209936036</v>
      </c>
    </row>
    <row r="282" spans="1:9" x14ac:dyDescent="0.25">
      <c r="A282" s="57">
        <f>'A) Base RI'!A273</f>
        <v>5871</v>
      </c>
      <c r="B282" s="40" t="str">
        <f>'A) Base RI'!B273</f>
        <v>L'Abbaye</v>
      </c>
      <c r="C282" s="39">
        <f>'D) Ecrêtage'!M271</f>
        <v>48996.378091415252</v>
      </c>
      <c r="D282" s="19">
        <f>'A) Base RI'!U273</f>
        <v>1439</v>
      </c>
      <c r="E282" s="14">
        <f t="shared" si="12"/>
        <v>921456.9528423876</v>
      </c>
      <c r="F282" s="19">
        <f>'F) Population'!K274</f>
        <v>250077.46478873241</v>
      </c>
      <c r="G282" s="14">
        <f>'G) Solidarité'!I271</f>
        <v>385451.75106340449</v>
      </c>
      <c r="H282" s="19">
        <f t="shared" si="13"/>
        <v>635529.21585213696</v>
      </c>
      <c r="I282" s="66">
        <f t="shared" si="14"/>
        <v>285927.73699025065</v>
      </c>
    </row>
    <row r="283" spans="1:9" x14ac:dyDescent="0.25">
      <c r="A283" s="57">
        <f>'A) Base RI'!A274</f>
        <v>5872</v>
      </c>
      <c r="B283" s="40" t="str">
        <f>'A) Base RI'!B274</f>
        <v>Le Chenit</v>
      </c>
      <c r="C283" s="39">
        <f>'D) Ecrêtage'!M272</f>
        <v>305110.86205505329</v>
      </c>
      <c r="D283" s="19">
        <f>'A) Base RI'!U274</f>
        <v>4608</v>
      </c>
      <c r="E283" s="14">
        <f t="shared" si="12"/>
        <v>5738108.3292281898</v>
      </c>
      <c r="F283" s="19">
        <f>'F) Population'!K275</f>
        <v>1581408.4507042253</v>
      </c>
      <c r="G283" s="14">
        <f>'G) Solidarité'!I272</f>
        <v>0</v>
      </c>
      <c r="H283" s="19">
        <f t="shared" si="13"/>
        <v>1581408.4507042253</v>
      </c>
      <c r="I283" s="66">
        <f t="shared" si="14"/>
        <v>4156699.8785239644</v>
      </c>
    </row>
    <row r="284" spans="1:9" x14ac:dyDescent="0.25">
      <c r="A284" s="57">
        <f>'A) Base RI'!A275</f>
        <v>5873</v>
      </c>
      <c r="B284" s="40" t="str">
        <f>'A) Base RI'!B275</f>
        <v>Le Lieu</v>
      </c>
      <c r="C284" s="39">
        <f>'D) Ecrêtage'!M273</f>
        <v>30587.067025641027</v>
      </c>
      <c r="D284" s="19">
        <f>'A) Base RI'!U275</f>
        <v>873</v>
      </c>
      <c r="E284" s="14">
        <f t="shared" si="12"/>
        <v>575239.77640239778</v>
      </c>
      <c r="F284" s="19">
        <f>'F) Population'!K276</f>
        <v>86070.422535211255</v>
      </c>
      <c r="G284" s="14">
        <f>'G) Solidarité'!I273</f>
        <v>151115.77706344367</v>
      </c>
      <c r="H284" s="19">
        <f t="shared" si="13"/>
        <v>237186.19959865493</v>
      </c>
      <c r="I284" s="66">
        <f t="shared" si="14"/>
        <v>338053.57680374285</v>
      </c>
    </row>
    <row r="285" spans="1:9" x14ac:dyDescent="0.25">
      <c r="A285" s="57">
        <f>'A) Base RI'!A276</f>
        <v>5881</v>
      </c>
      <c r="B285" s="40" t="str">
        <f>'A) Base RI'!B276</f>
        <v>Blonay</v>
      </c>
      <c r="C285" s="39">
        <f>'D) Ecrêtage'!M274</f>
        <v>332407.86157142854</v>
      </c>
      <c r="D285" s="19">
        <f>'A) Base RI'!U276</f>
        <v>6116</v>
      </c>
      <c r="E285" s="14">
        <f t="shared" si="12"/>
        <v>6251473.0099637723</v>
      </c>
      <c r="F285" s="19">
        <f>'F) Population'!K277</f>
        <v>2434816.9014084507</v>
      </c>
      <c r="G285" s="14">
        <f>'G) Solidarité'!I274</f>
        <v>0</v>
      </c>
      <c r="H285" s="19">
        <f t="shared" si="13"/>
        <v>2434816.9014084507</v>
      </c>
      <c r="I285" s="66">
        <f t="shared" si="14"/>
        <v>3816656.1085553216</v>
      </c>
    </row>
    <row r="286" spans="1:9" x14ac:dyDescent="0.25">
      <c r="A286" s="57">
        <f>'A) Base RI'!A277</f>
        <v>5882</v>
      </c>
      <c r="B286" s="40" t="str">
        <f>'A) Base RI'!B277</f>
        <v>Chardonne</v>
      </c>
      <c r="C286" s="39">
        <f>'D) Ecrêtage'!M275</f>
        <v>151089.46617647054</v>
      </c>
      <c r="D286" s="19">
        <f>'A) Base RI'!U277</f>
        <v>2916</v>
      </c>
      <c r="E286" s="14">
        <f t="shared" si="12"/>
        <v>2841484.3001210932</v>
      </c>
      <c r="F286" s="19">
        <f>'F) Population'!K278</f>
        <v>759746.47887323948</v>
      </c>
      <c r="G286" s="14">
        <f>'G) Solidarité'!I275</f>
        <v>0</v>
      </c>
      <c r="H286" s="19">
        <f t="shared" si="13"/>
        <v>759746.47887323948</v>
      </c>
      <c r="I286" s="66">
        <f t="shared" si="14"/>
        <v>2081737.8212478538</v>
      </c>
    </row>
    <row r="287" spans="1:9" x14ac:dyDescent="0.25">
      <c r="A287" s="57">
        <f>'A) Base RI'!A278</f>
        <v>5883</v>
      </c>
      <c r="B287" s="40" t="str">
        <f>'A) Base RI'!B278</f>
        <v>Corseaux</v>
      </c>
      <c r="C287" s="39">
        <f>'D) Ecrêtage'!M276</f>
        <v>146181.03827538589</v>
      </c>
      <c r="D287" s="19">
        <f>'A) Base RI'!U278</f>
        <v>2212</v>
      </c>
      <c r="E287" s="14">
        <f t="shared" si="12"/>
        <v>2749173.2927943598</v>
      </c>
      <c r="F287" s="19">
        <f>'F) Population'!K279</f>
        <v>516816.90140845074</v>
      </c>
      <c r="G287" s="14">
        <f>'G) Solidarité'!I276</f>
        <v>0</v>
      </c>
      <c r="H287" s="19">
        <f t="shared" si="13"/>
        <v>516816.90140845074</v>
      </c>
      <c r="I287" s="66">
        <f t="shared" si="14"/>
        <v>2232356.3913859092</v>
      </c>
    </row>
    <row r="288" spans="1:9" x14ac:dyDescent="0.25">
      <c r="A288" s="57">
        <f>'A) Base RI'!A279</f>
        <v>5884</v>
      </c>
      <c r="B288" s="40" t="str">
        <f>'A) Base RI'!B279</f>
        <v>Corsier-sur-Vevey</v>
      </c>
      <c r="C288" s="39">
        <f>'D) Ecrêtage'!M277</f>
        <v>116440.6211111111</v>
      </c>
      <c r="D288" s="19">
        <f>'A) Base RI'!U279</f>
        <v>3403</v>
      </c>
      <c r="E288" s="14">
        <f t="shared" si="12"/>
        <v>2189856.150508374</v>
      </c>
      <c r="F288" s="19">
        <f>'F) Population'!K280</f>
        <v>987394.36619718303</v>
      </c>
      <c r="G288" s="14">
        <f>'G) Solidarité'!I277</f>
        <v>655773.83048315626</v>
      </c>
      <c r="H288" s="19">
        <f t="shared" si="13"/>
        <v>1643168.1966803393</v>
      </c>
      <c r="I288" s="66">
        <f t="shared" si="14"/>
        <v>546687.95382803469</v>
      </c>
    </row>
    <row r="289" spans="1:9" x14ac:dyDescent="0.25">
      <c r="A289" s="57">
        <f>'A) Base RI'!A280</f>
        <v>5885</v>
      </c>
      <c r="B289" s="40" t="str">
        <f>'A) Base RI'!B280</f>
        <v>Jongny</v>
      </c>
      <c r="C289" s="39">
        <f>'D) Ecrêtage'!M278</f>
        <v>81843.123028169022</v>
      </c>
      <c r="D289" s="19">
        <f>'A) Base RI'!U280</f>
        <v>1488</v>
      </c>
      <c r="E289" s="14">
        <f t="shared" si="12"/>
        <v>1539193.6648038656</v>
      </c>
      <c r="F289" s="19">
        <f>'F) Population'!K281</f>
        <v>266985.91549295775</v>
      </c>
      <c r="G289" s="14">
        <f>'G) Solidarité'!I278</f>
        <v>0</v>
      </c>
      <c r="H289" s="19">
        <f t="shared" si="13"/>
        <v>266985.91549295775</v>
      </c>
      <c r="I289" s="66">
        <f t="shared" si="14"/>
        <v>1272207.7493109079</v>
      </c>
    </row>
    <row r="290" spans="1:9" x14ac:dyDescent="0.25">
      <c r="A290" s="57">
        <f>'A) Base RI'!A281</f>
        <v>5886</v>
      </c>
      <c r="B290" s="40" t="str">
        <f>'A) Base RI'!B281</f>
        <v>Montreux</v>
      </c>
      <c r="C290" s="39">
        <f>'D) Ecrêtage'!M279</f>
        <v>1175239.0178974359</v>
      </c>
      <c r="D290" s="19">
        <f>'A) Base RI'!U281</f>
        <v>26402</v>
      </c>
      <c r="E290" s="14">
        <f t="shared" si="12"/>
        <v>22102290.138115212</v>
      </c>
      <c r="F290" s="19">
        <f>'F) Population'!K282</f>
        <v>21416154.929577462</v>
      </c>
      <c r="G290" s="14">
        <f>'G) Solidarité'!I279</f>
        <v>354837.09669096983</v>
      </c>
      <c r="H290" s="19">
        <f t="shared" si="13"/>
        <v>21770992.026268434</v>
      </c>
      <c r="I290" s="66">
        <f t="shared" si="14"/>
        <v>331298.11184677854</v>
      </c>
    </row>
    <row r="291" spans="1:9" x14ac:dyDescent="0.25">
      <c r="A291" s="57">
        <f>'A) Base RI'!A282</f>
        <v>5888</v>
      </c>
      <c r="B291" s="40" t="str">
        <f>'A) Base RI'!B282</f>
        <v>Saint-Légier-La Chiésaz</v>
      </c>
      <c r="C291" s="39">
        <f>'D) Ecrêtage'!M280</f>
        <v>303486.51738409116</v>
      </c>
      <c r="D291" s="19">
        <f>'A) Base RI'!U282</f>
        <v>5130</v>
      </c>
      <c r="E291" s="14">
        <f t="shared" si="12"/>
        <v>5707559.8734203354</v>
      </c>
      <c r="F291" s="19">
        <f>'F) Population'!K283</f>
        <v>1851549.295774648</v>
      </c>
      <c r="G291" s="14">
        <f>'G) Solidarité'!I280</f>
        <v>0</v>
      </c>
      <c r="H291" s="19">
        <f t="shared" si="13"/>
        <v>1851549.295774648</v>
      </c>
      <c r="I291" s="66">
        <f t="shared" si="14"/>
        <v>3856010.5776456874</v>
      </c>
    </row>
    <row r="292" spans="1:9" x14ac:dyDescent="0.25">
      <c r="A292" s="57">
        <f>'A) Base RI'!A283</f>
        <v>5889</v>
      </c>
      <c r="B292" s="40" t="str">
        <f>'A) Base RI'!B283</f>
        <v>La Tour-de-Peilz</v>
      </c>
      <c r="C292" s="39">
        <f>'D) Ecrêtage'!M281</f>
        <v>618611.02559895837</v>
      </c>
      <c r="D292" s="19">
        <f>'A) Base RI'!U283</f>
        <v>11637</v>
      </c>
      <c r="E292" s="14">
        <f t="shared" si="12"/>
        <v>11633991.181543995</v>
      </c>
      <c r="F292" s="19">
        <f>'F) Population'!K284</f>
        <v>6350725.3521126751</v>
      </c>
      <c r="G292" s="14">
        <f>'G) Solidarité'!I281</f>
        <v>0</v>
      </c>
      <c r="H292" s="19">
        <f t="shared" si="13"/>
        <v>6350725.3521126751</v>
      </c>
      <c r="I292" s="66">
        <f t="shared" si="14"/>
        <v>5283265.8294313196</v>
      </c>
    </row>
    <row r="293" spans="1:9" x14ac:dyDescent="0.25">
      <c r="A293" s="57">
        <f>'A) Base RI'!A284</f>
        <v>5890</v>
      </c>
      <c r="B293" s="40" t="str">
        <f>'A) Base RI'!B284</f>
        <v>Vevey</v>
      </c>
      <c r="C293" s="39">
        <f>'D) Ecrêtage'!M282</f>
        <v>909212.90865296812</v>
      </c>
      <c r="D293" s="19">
        <f>'A) Base RI'!U284</f>
        <v>19605</v>
      </c>
      <c r="E293" s="14">
        <f t="shared" si="12"/>
        <v>17099234.452171084</v>
      </c>
      <c r="F293" s="19">
        <f>'F) Population'!K285</f>
        <v>14379823.943661971</v>
      </c>
      <c r="G293" s="14">
        <f>'G) Solidarité'!I282</f>
        <v>0</v>
      </c>
      <c r="H293" s="19">
        <f t="shared" si="13"/>
        <v>14379823.943661971</v>
      </c>
      <c r="I293" s="66">
        <f t="shared" si="14"/>
        <v>2719410.5085091125</v>
      </c>
    </row>
    <row r="294" spans="1:9" x14ac:dyDescent="0.25">
      <c r="A294" s="57">
        <f>'A) Base RI'!A285</f>
        <v>5891</v>
      </c>
      <c r="B294" s="40" t="str">
        <f>'A) Base RI'!B285</f>
        <v>Veytaux</v>
      </c>
      <c r="C294" s="39">
        <f>'D) Ecrêtage'!M283</f>
        <v>39510.481835748789</v>
      </c>
      <c r="D294" s="19">
        <f>'A) Base RI'!U285</f>
        <v>850</v>
      </c>
      <c r="E294" s="14">
        <f t="shared" si="12"/>
        <v>743059.17326739221</v>
      </c>
      <c r="F294" s="19">
        <f>'F) Population'!K286</f>
        <v>83802.816901408441</v>
      </c>
      <c r="G294" s="14">
        <f>'G) Solidarité'!I283</f>
        <v>0</v>
      </c>
      <c r="H294" s="19">
        <f t="shared" si="13"/>
        <v>83802.816901408441</v>
      </c>
      <c r="I294" s="66">
        <f t="shared" si="14"/>
        <v>659256.35636598372</v>
      </c>
    </row>
    <row r="295" spans="1:9" x14ac:dyDescent="0.25">
      <c r="A295" s="57">
        <f>'A) Base RI'!A286</f>
        <v>5902</v>
      </c>
      <c r="B295" s="40" t="str">
        <f>'A) Base RI'!B286</f>
        <v>Belmont-sur-Yverdon</v>
      </c>
      <c r="C295" s="39">
        <f>'D) Ecrêtage'!M284</f>
        <v>9227.1448684210518</v>
      </c>
      <c r="D295" s="19">
        <f>'A) Base RI'!U286</f>
        <v>368</v>
      </c>
      <c r="E295" s="14">
        <f t="shared" si="12"/>
        <v>173531.53692354783</v>
      </c>
      <c r="F295" s="19">
        <f>'F) Population'!K287</f>
        <v>36281.690140845065</v>
      </c>
      <c r="G295" s="14">
        <f>'G) Solidarité'!I284</f>
        <v>171531.86656893999</v>
      </c>
      <c r="H295" s="19">
        <f t="shared" si="13"/>
        <v>207813.55670978507</v>
      </c>
      <c r="I295" s="66">
        <f t="shared" si="14"/>
        <v>-34282.019786237244</v>
      </c>
    </row>
    <row r="296" spans="1:9" x14ac:dyDescent="0.25">
      <c r="A296" s="57">
        <f>'A) Base RI'!A287</f>
        <v>5903</v>
      </c>
      <c r="B296" s="40" t="str">
        <f>'A) Base RI'!B287</f>
        <v>Bioley-Magnoux</v>
      </c>
      <c r="C296" s="39">
        <f>'D) Ecrêtage'!M285</f>
        <v>5953.911158301159</v>
      </c>
      <c r="D296" s="19">
        <f>'A) Base RI'!U287</f>
        <v>230</v>
      </c>
      <c r="E296" s="14">
        <f t="shared" si="12"/>
        <v>111973.02835704373</v>
      </c>
      <c r="F296" s="19">
        <f>'F) Population'!K288</f>
        <v>22676.056338028167</v>
      </c>
      <c r="G296" s="14">
        <f>'G) Solidarité'!I285</f>
        <v>97556.92959246166</v>
      </c>
      <c r="H296" s="19">
        <f t="shared" si="13"/>
        <v>120232.98593048983</v>
      </c>
      <c r="I296" s="66">
        <f t="shared" si="14"/>
        <v>-8259.9575734460959</v>
      </c>
    </row>
    <row r="297" spans="1:9" x14ac:dyDescent="0.25">
      <c r="A297" s="57">
        <f>'A) Base RI'!A288</f>
        <v>5904</v>
      </c>
      <c r="B297" s="40" t="str">
        <f>'A) Base RI'!B288</f>
        <v>Chamblon</v>
      </c>
      <c r="C297" s="39">
        <f>'D) Ecrêtage'!M286</f>
        <v>22914.009848484849</v>
      </c>
      <c r="D297" s="19">
        <f>'A) Base RI'!U288</f>
        <v>548</v>
      </c>
      <c r="E297" s="14">
        <f t="shared" si="12"/>
        <v>430935.39797964739</v>
      </c>
      <c r="F297" s="19">
        <f>'F) Population'!K289</f>
        <v>54028.169014084502</v>
      </c>
      <c r="G297" s="14">
        <f>'G) Solidarité'!I286</f>
        <v>33288.452310583787</v>
      </c>
      <c r="H297" s="19">
        <f t="shared" si="13"/>
        <v>87316.621324668289</v>
      </c>
      <c r="I297" s="66">
        <f t="shared" si="14"/>
        <v>343618.7766549791</v>
      </c>
    </row>
    <row r="298" spans="1:9" x14ac:dyDescent="0.25">
      <c r="A298" s="57">
        <f>'A) Base RI'!A289</f>
        <v>5905</v>
      </c>
      <c r="B298" s="40" t="str">
        <f>'A) Base RI'!B289</f>
        <v>Champvent</v>
      </c>
      <c r="C298" s="39">
        <f>'D) Ecrêtage'!M287</f>
        <v>21038.740140845071</v>
      </c>
      <c r="D298" s="19">
        <f>'A) Base RI'!U289</f>
        <v>652</v>
      </c>
      <c r="E298" s="14">
        <f t="shared" si="12"/>
        <v>395667.88683146832</v>
      </c>
      <c r="F298" s="19">
        <f>'F) Population'!K290</f>
        <v>64281.690140845065</v>
      </c>
      <c r="G298" s="14">
        <f>'G) Solidarité'!I287</f>
        <v>170946.34184214319</v>
      </c>
      <c r="H298" s="19">
        <f t="shared" si="13"/>
        <v>235228.03198298824</v>
      </c>
      <c r="I298" s="66">
        <f t="shared" si="14"/>
        <v>160439.85484848008</v>
      </c>
    </row>
    <row r="299" spans="1:9" x14ac:dyDescent="0.25">
      <c r="A299" s="57">
        <f>'A) Base RI'!A290</f>
        <v>5907</v>
      </c>
      <c r="B299" s="40" t="str">
        <f>'A) Base RI'!B290</f>
        <v>Chavannes-le-Chêne</v>
      </c>
      <c r="C299" s="39">
        <f>'D) Ecrêtage'!M288</f>
        <v>8819.3566666666684</v>
      </c>
      <c r="D299" s="19">
        <f>'A) Base RI'!U290</f>
        <v>300</v>
      </c>
      <c r="E299" s="14">
        <f t="shared" si="12"/>
        <v>165862.41344073456</v>
      </c>
      <c r="F299" s="19">
        <f>'F) Population'!K291</f>
        <v>29577.464788732392</v>
      </c>
      <c r="G299" s="14">
        <f>'G) Solidarité'!I288</f>
        <v>115820.35298329315</v>
      </c>
      <c r="H299" s="19">
        <f t="shared" si="13"/>
        <v>145397.81777202553</v>
      </c>
      <c r="I299" s="66">
        <f t="shared" si="14"/>
        <v>20464.595668709022</v>
      </c>
    </row>
    <row r="300" spans="1:9" x14ac:dyDescent="0.25">
      <c r="A300" s="57">
        <f>'A) Base RI'!A291</f>
        <v>5908</v>
      </c>
      <c r="B300" s="40" t="str">
        <f>'A) Base RI'!B291</f>
        <v>Chêne-Pâquier</v>
      </c>
      <c r="C300" s="39">
        <f>'D) Ecrêtage'!M289</f>
        <v>2915.1287341772154</v>
      </c>
      <c r="D300" s="19">
        <f>'A) Base RI'!U291</f>
        <v>140</v>
      </c>
      <c r="E300" s="14">
        <f t="shared" si="12"/>
        <v>54823.759330261018</v>
      </c>
      <c r="F300" s="19">
        <f>'F) Population'!K292</f>
        <v>13802.816901408451</v>
      </c>
      <c r="G300" s="14">
        <f>'G) Solidarité'!I289</f>
        <v>85322.939172801242</v>
      </c>
      <c r="H300" s="19">
        <f t="shared" si="13"/>
        <v>99125.756074209698</v>
      </c>
      <c r="I300" s="66">
        <f t="shared" si="14"/>
        <v>-44301.996743948679</v>
      </c>
    </row>
    <row r="301" spans="1:9" x14ac:dyDescent="0.25">
      <c r="A301" s="57">
        <f>'A) Base RI'!A292</f>
        <v>5909</v>
      </c>
      <c r="B301" s="40" t="str">
        <f>'A) Base RI'!B292</f>
        <v>Cheseaux-Noréaz</v>
      </c>
      <c r="C301" s="39">
        <f>'D) Ecrêtage'!M290</f>
        <v>24771.110857142852</v>
      </c>
      <c r="D301" s="19">
        <f>'A) Base RI'!U292</f>
        <v>670</v>
      </c>
      <c r="E301" s="14">
        <f t="shared" si="12"/>
        <v>465861.21705479978</v>
      </c>
      <c r="F301" s="19">
        <f>'F) Population'!K293</f>
        <v>66056.338028169004</v>
      </c>
      <c r="G301" s="14">
        <f>'G) Solidarité'!I290</f>
        <v>109172.32422549755</v>
      </c>
      <c r="H301" s="19">
        <f t="shared" si="13"/>
        <v>175228.66225366655</v>
      </c>
      <c r="I301" s="66">
        <f t="shared" si="14"/>
        <v>290632.55480113323</v>
      </c>
    </row>
    <row r="302" spans="1:9" x14ac:dyDescent="0.25">
      <c r="A302" s="57">
        <f>'A) Base RI'!A293</f>
        <v>5910</v>
      </c>
      <c r="B302" s="40" t="str">
        <f>'A) Base RI'!B293</f>
        <v>Cronay</v>
      </c>
      <c r="C302" s="39">
        <f>'D) Ecrêtage'!M291</f>
        <v>10097.267848101266</v>
      </c>
      <c r="D302" s="19">
        <f>'A) Base RI'!U293</f>
        <v>380</v>
      </c>
      <c r="E302" s="14">
        <f t="shared" si="12"/>
        <v>189895.62138624713</v>
      </c>
      <c r="F302" s="19">
        <f>'F) Population'!K294</f>
        <v>37464.788732394365</v>
      </c>
      <c r="G302" s="14">
        <f>'G) Solidarité'!I291</f>
        <v>177218.21408821194</v>
      </c>
      <c r="H302" s="19">
        <f t="shared" si="13"/>
        <v>214683.00282060631</v>
      </c>
      <c r="I302" s="66">
        <f t="shared" si="14"/>
        <v>-24787.38143435918</v>
      </c>
    </row>
    <row r="303" spans="1:9" x14ac:dyDescent="0.25">
      <c r="A303" s="57">
        <f>'A) Base RI'!A294</f>
        <v>5911</v>
      </c>
      <c r="B303" s="40" t="str">
        <f>'A) Base RI'!B294</f>
        <v>Cuarny</v>
      </c>
      <c r="C303" s="39">
        <f>'D) Ecrêtage'!M292</f>
        <v>7741.5774683544305</v>
      </c>
      <c r="D303" s="19">
        <f>'A) Base RI'!U294</f>
        <v>237</v>
      </c>
      <c r="E303" s="14">
        <f t="shared" si="12"/>
        <v>145593.01446473729</v>
      </c>
      <c r="F303" s="19">
        <f>'F) Population'!K295</f>
        <v>23366.197183098589</v>
      </c>
      <c r="G303" s="14">
        <f>'G) Solidarité'!I292</f>
        <v>74589.534904664426</v>
      </c>
      <c r="H303" s="19">
        <f t="shared" si="13"/>
        <v>97955.732087763012</v>
      </c>
      <c r="I303" s="66">
        <f t="shared" si="14"/>
        <v>47637.282376974283</v>
      </c>
    </row>
    <row r="304" spans="1:9" x14ac:dyDescent="0.25">
      <c r="A304" s="57">
        <f>'A) Base RI'!A295</f>
        <v>5912</v>
      </c>
      <c r="B304" s="40" t="str">
        <f>'A) Base RI'!B295</f>
        <v>Démoret</v>
      </c>
      <c r="C304" s="39">
        <f>'D) Ecrêtage'!M293</f>
        <v>2761.8208641975311</v>
      </c>
      <c r="D304" s="19">
        <f>'A) Base RI'!U295</f>
        <v>126</v>
      </c>
      <c r="E304" s="14">
        <f t="shared" si="12"/>
        <v>51940.554321624099</v>
      </c>
      <c r="F304" s="19">
        <f>'F) Population'!K296</f>
        <v>12422.535211267605</v>
      </c>
      <c r="G304" s="14">
        <f>'G) Solidarité'!I293</f>
        <v>77112.124002420736</v>
      </c>
      <c r="H304" s="19">
        <f t="shared" si="13"/>
        <v>89534.659213688341</v>
      </c>
      <c r="I304" s="66">
        <f t="shared" si="14"/>
        <v>-37594.104892064242</v>
      </c>
    </row>
    <row r="305" spans="1:9" x14ac:dyDescent="0.25">
      <c r="A305" s="57">
        <f>'A) Base RI'!A296</f>
        <v>5913</v>
      </c>
      <c r="B305" s="40" t="str">
        <f>'A) Base RI'!B296</f>
        <v>Donneloye</v>
      </c>
      <c r="C305" s="39">
        <f>'D) Ecrêtage'!M294</f>
        <v>21023.999589041094</v>
      </c>
      <c r="D305" s="19">
        <f>'A) Base RI'!U296</f>
        <v>779</v>
      </c>
      <c r="E305" s="14">
        <f t="shared" si="12"/>
        <v>395390.66666790505</v>
      </c>
      <c r="F305" s="19">
        <f>'F) Population'!K297</f>
        <v>76802.816901408441</v>
      </c>
      <c r="G305" s="14">
        <f>'G) Solidarité'!I294</f>
        <v>303310.68677008961</v>
      </c>
      <c r="H305" s="19">
        <f t="shared" si="13"/>
        <v>380113.50367149804</v>
      </c>
      <c r="I305" s="66">
        <f t="shared" si="14"/>
        <v>15277.162996407016</v>
      </c>
    </row>
    <row r="306" spans="1:9" x14ac:dyDescent="0.25">
      <c r="A306" s="57">
        <f>'A) Base RI'!A297</f>
        <v>5914</v>
      </c>
      <c r="B306" s="40" t="str">
        <f>'A) Base RI'!B297</f>
        <v>Ependes</v>
      </c>
      <c r="C306" s="39">
        <f>'D) Ecrêtage'!M295</f>
        <v>8838.0616000000009</v>
      </c>
      <c r="D306" s="19">
        <f>'A) Base RI'!U297</f>
        <v>350</v>
      </c>
      <c r="E306" s="14">
        <f t="shared" si="12"/>
        <v>166214.19027697935</v>
      </c>
      <c r="F306" s="19">
        <f>'F) Population'!K298</f>
        <v>34507.042253521126</v>
      </c>
      <c r="G306" s="14">
        <f>'G) Solidarité'!I295</f>
        <v>157480.57883533783</v>
      </c>
      <c r="H306" s="19">
        <f t="shared" si="13"/>
        <v>191987.62108885896</v>
      </c>
      <c r="I306" s="66">
        <f t="shared" si="14"/>
        <v>-25773.430811879603</v>
      </c>
    </row>
    <row r="307" spans="1:9" x14ac:dyDescent="0.25">
      <c r="A307" s="57">
        <f>'A) Base RI'!A298</f>
        <v>5919</v>
      </c>
      <c r="B307" s="40" t="str">
        <f>'A) Base RI'!B298</f>
        <v>Mathod</v>
      </c>
      <c r="C307" s="39">
        <f>'D) Ecrêtage'!M296</f>
        <v>16883.878828828827</v>
      </c>
      <c r="D307" s="19">
        <f>'A) Base RI'!U298</f>
        <v>614</v>
      </c>
      <c r="E307" s="14">
        <f t="shared" si="12"/>
        <v>317528.93058229168</v>
      </c>
      <c r="F307" s="19">
        <f>'F) Population'!K299</f>
        <v>60535.211267605628</v>
      </c>
      <c r="G307" s="14">
        <f>'G) Solidarité'!I296</f>
        <v>238826.84676174773</v>
      </c>
      <c r="H307" s="19">
        <f t="shared" si="13"/>
        <v>299362.05802935339</v>
      </c>
      <c r="I307" s="66">
        <f t="shared" si="14"/>
        <v>18166.872552938294</v>
      </c>
    </row>
    <row r="308" spans="1:9" x14ac:dyDescent="0.25">
      <c r="A308" s="57">
        <f>'A) Base RI'!A299</f>
        <v>5921</v>
      </c>
      <c r="B308" s="40" t="str">
        <f>'A) Base RI'!B299</f>
        <v>Molondin</v>
      </c>
      <c r="C308" s="39">
        <f>'D) Ecrêtage'!M297</f>
        <v>5518.0840740740732</v>
      </c>
      <c r="D308" s="19">
        <f>'A) Base RI'!U299</f>
        <v>218</v>
      </c>
      <c r="E308" s="14">
        <f t="shared" si="12"/>
        <v>103776.58787222272</v>
      </c>
      <c r="F308" s="19">
        <f>'F) Population'!K300</f>
        <v>21492.957746478871</v>
      </c>
      <c r="G308" s="14">
        <f>'G) Solidarité'!I297</f>
        <v>114063.48071523485</v>
      </c>
      <c r="H308" s="19">
        <f t="shared" si="13"/>
        <v>135556.43846171373</v>
      </c>
      <c r="I308" s="66">
        <f t="shared" si="14"/>
        <v>-31779.850589491005</v>
      </c>
    </row>
    <row r="309" spans="1:9" x14ac:dyDescent="0.25">
      <c r="A309" s="57">
        <f>'A) Base RI'!A300</f>
        <v>5922</v>
      </c>
      <c r="B309" s="40" t="str">
        <f>'A) Base RI'!B300</f>
        <v>Montagny-près-Yverdon</v>
      </c>
      <c r="C309" s="39">
        <f>'D) Ecrêtage'!M298</f>
        <v>44301.234100704613</v>
      </c>
      <c r="D309" s="19">
        <f>'A) Base RI'!U300</f>
        <v>733</v>
      </c>
      <c r="E309" s="14">
        <f t="shared" si="12"/>
        <v>833157.0979681249</v>
      </c>
      <c r="F309" s="19">
        <f>'F) Population'!K301</f>
        <v>72267.605633802814</v>
      </c>
      <c r="G309" s="14">
        <f>'G) Solidarité'!I298</f>
        <v>0</v>
      </c>
      <c r="H309" s="19">
        <f t="shared" si="13"/>
        <v>72267.605633802814</v>
      </c>
      <c r="I309" s="66">
        <f t="shared" si="14"/>
        <v>760889.49233432207</v>
      </c>
    </row>
    <row r="310" spans="1:9" x14ac:dyDescent="0.25">
      <c r="A310" s="57">
        <f>'A) Base RI'!A301</f>
        <v>5923</v>
      </c>
      <c r="B310" s="40" t="str">
        <f>'A) Base RI'!B301</f>
        <v>Oppens</v>
      </c>
      <c r="C310" s="39">
        <f>'D) Ecrêtage'!M299</f>
        <v>4881.0219753086412</v>
      </c>
      <c r="D310" s="19">
        <f>'A) Base RI'!U301</f>
        <v>182</v>
      </c>
      <c r="E310" s="14">
        <f t="shared" si="12"/>
        <v>91795.594109693469</v>
      </c>
      <c r="F310" s="19">
        <f>'F) Population'!K302</f>
        <v>17943.661971830985</v>
      </c>
      <c r="G310" s="14">
        <f>'G) Solidarité'!I299</f>
        <v>88053.879442368576</v>
      </c>
      <c r="H310" s="19">
        <f t="shared" si="13"/>
        <v>105997.54141419956</v>
      </c>
      <c r="I310" s="66">
        <f t="shared" si="14"/>
        <v>-14201.947304506088</v>
      </c>
    </row>
    <row r="311" spans="1:9" x14ac:dyDescent="0.25">
      <c r="A311" s="57">
        <f>'A) Base RI'!A302</f>
        <v>5924</v>
      </c>
      <c r="B311" s="40" t="str">
        <f>'A) Base RI'!B302</f>
        <v>Orges</v>
      </c>
      <c r="C311" s="39">
        <f>'D) Ecrêtage'!M300</f>
        <v>9476.448378378378</v>
      </c>
      <c r="D311" s="19">
        <f>'A) Base RI'!U302</f>
        <v>292</v>
      </c>
      <c r="E311" s="14">
        <f t="shared" si="12"/>
        <v>178220.09680423094</v>
      </c>
      <c r="F311" s="19">
        <f>'F) Population'!K303</f>
        <v>28788.732394366194</v>
      </c>
      <c r="G311" s="14">
        <f>'G) Solidarité'!I300</f>
        <v>81981.902679218911</v>
      </c>
      <c r="H311" s="19">
        <f t="shared" si="13"/>
        <v>110770.6350735851</v>
      </c>
      <c r="I311" s="66">
        <f t="shared" si="14"/>
        <v>67449.461730645839</v>
      </c>
    </row>
    <row r="312" spans="1:9" x14ac:dyDescent="0.25">
      <c r="A312" s="57">
        <f>'A) Base RI'!A303</f>
        <v>5925</v>
      </c>
      <c r="B312" s="40" t="str">
        <f>'A) Base RI'!B303</f>
        <v>Orzens</v>
      </c>
      <c r="C312" s="39">
        <f>'D) Ecrêtage'!M301</f>
        <v>4875.4426582278484</v>
      </c>
      <c r="D312" s="19">
        <f>'A) Base RI'!U303</f>
        <v>200</v>
      </c>
      <c r="E312" s="14">
        <f t="shared" si="12"/>
        <v>91690.665935071724</v>
      </c>
      <c r="F312" s="19">
        <f>'F) Population'!K304</f>
        <v>19718.309859154928</v>
      </c>
      <c r="G312" s="14">
        <f>'G) Solidarité'!I301</f>
        <v>104195.89091836476</v>
      </c>
      <c r="H312" s="19">
        <f t="shared" si="13"/>
        <v>123914.2007775197</v>
      </c>
      <c r="I312" s="66">
        <f t="shared" si="14"/>
        <v>-32223.534842447974</v>
      </c>
    </row>
    <row r="313" spans="1:9" x14ac:dyDescent="0.25">
      <c r="A313" s="57">
        <f>'A) Base RI'!A304</f>
        <v>5926</v>
      </c>
      <c r="B313" s="40" t="str">
        <f>'A) Base RI'!B304</f>
        <v>Pomy</v>
      </c>
      <c r="C313" s="39">
        <f>'D) Ecrêtage'!M302</f>
        <v>22774.42661971831</v>
      </c>
      <c r="D313" s="19">
        <f>'A) Base RI'!U304</f>
        <v>760</v>
      </c>
      <c r="E313" s="14">
        <f t="shared" si="12"/>
        <v>428310.30727585818</v>
      </c>
      <c r="F313" s="19">
        <f>'F) Population'!K305</f>
        <v>74929.57746478873</v>
      </c>
      <c r="G313" s="14">
        <f>'G) Solidarité'!I302</f>
        <v>234425.92690636011</v>
      </c>
      <c r="H313" s="19">
        <f t="shared" si="13"/>
        <v>309355.50437114883</v>
      </c>
      <c r="I313" s="66">
        <f t="shared" si="14"/>
        <v>118954.80290470936</v>
      </c>
    </row>
    <row r="314" spans="1:9" x14ac:dyDescent="0.25">
      <c r="A314" s="57">
        <f>'A) Base RI'!A305</f>
        <v>5928</v>
      </c>
      <c r="B314" s="40" t="str">
        <f>'A) Base RI'!B305</f>
        <v>Rovray</v>
      </c>
      <c r="C314" s="39">
        <f>'D) Ecrêtage'!M303</f>
        <v>4451.7282191780823</v>
      </c>
      <c r="D314" s="19">
        <f>'A) Base RI'!U305</f>
        <v>172</v>
      </c>
      <c r="E314" s="14">
        <f t="shared" si="12"/>
        <v>83722.023535552653</v>
      </c>
      <c r="F314" s="19">
        <f>'F) Population'!K306</f>
        <v>16957.74647887324</v>
      </c>
      <c r="G314" s="14">
        <f>'G) Solidarité'!I303</f>
        <v>71013.356120081851</v>
      </c>
      <c r="H314" s="19">
        <f t="shared" si="13"/>
        <v>87971.102598955098</v>
      </c>
      <c r="I314" s="66">
        <f t="shared" si="14"/>
        <v>-4249.0790634024452</v>
      </c>
    </row>
    <row r="315" spans="1:9" x14ac:dyDescent="0.25">
      <c r="A315" s="57">
        <f>'A) Base RI'!A306</f>
        <v>5929</v>
      </c>
      <c r="B315" s="40" t="str">
        <f>'A) Base RI'!B306</f>
        <v>Suchy</v>
      </c>
      <c r="C315" s="39">
        <f>'D) Ecrêtage'!M304</f>
        <v>16583.788428571432</v>
      </c>
      <c r="D315" s="19">
        <f>'A) Base RI'!U306</f>
        <v>606</v>
      </c>
      <c r="E315" s="14">
        <f t="shared" si="12"/>
        <v>311885.24024088494</v>
      </c>
      <c r="F315" s="19">
        <f>'F) Population'!K307</f>
        <v>59746.47887323943</v>
      </c>
      <c r="G315" s="14">
        <f>'G) Solidarité'!I304</f>
        <v>212486.32378856227</v>
      </c>
      <c r="H315" s="19">
        <f t="shared" si="13"/>
        <v>272232.80266180169</v>
      </c>
      <c r="I315" s="66">
        <f t="shared" si="14"/>
        <v>39652.437579083256</v>
      </c>
    </row>
    <row r="316" spans="1:9" x14ac:dyDescent="0.25">
      <c r="A316" s="57">
        <f>'A) Base RI'!A307</f>
        <v>5930</v>
      </c>
      <c r="B316" s="40" t="str">
        <f>'A) Base RI'!B307</f>
        <v>Suscévaz</v>
      </c>
      <c r="C316" s="39">
        <f>'D) Ecrêtage'!M305</f>
        <v>4886.5228787878787</v>
      </c>
      <c r="D316" s="19">
        <f>'A) Base RI'!U307</f>
        <v>202</v>
      </c>
      <c r="E316" s="14">
        <f t="shared" si="12"/>
        <v>91899.047588405738</v>
      </c>
      <c r="F316" s="19">
        <f>'F) Population'!K308</f>
        <v>19915.492957746479</v>
      </c>
      <c r="G316" s="14">
        <f>'G) Solidarité'!I305</f>
        <v>74106.755157654261</v>
      </c>
      <c r="H316" s="19">
        <f t="shared" si="13"/>
        <v>94022.24811540074</v>
      </c>
      <c r="I316" s="66">
        <f t="shared" si="14"/>
        <v>-2123.2005269950023</v>
      </c>
    </row>
    <row r="317" spans="1:9" x14ac:dyDescent="0.25">
      <c r="A317" s="57">
        <f>'A) Base RI'!A308</f>
        <v>5931</v>
      </c>
      <c r="B317" s="40" t="str">
        <f>'A) Base RI'!B308</f>
        <v>Treycovagnes</v>
      </c>
      <c r="C317" s="39">
        <f>'D) Ecrêtage'!M306</f>
        <v>16368.774155844154</v>
      </c>
      <c r="D317" s="19">
        <f>'A) Base RI'!U308</f>
        <v>446</v>
      </c>
      <c r="E317" s="14">
        <f t="shared" si="12"/>
        <v>307841.5454968522</v>
      </c>
      <c r="F317" s="19">
        <f>'F) Population'!K309</f>
        <v>43971.830985915491</v>
      </c>
      <c r="G317" s="14">
        <f>'G) Solidarité'!I306</f>
        <v>90786.793569373913</v>
      </c>
      <c r="H317" s="19">
        <f t="shared" si="13"/>
        <v>134758.6245552894</v>
      </c>
      <c r="I317" s="66">
        <f t="shared" si="14"/>
        <v>173082.9209415628</v>
      </c>
    </row>
    <row r="318" spans="1:9" x14ac:dyDescent="0.25">
      <c r="A318" s="57">
        <f>'A) Base RI'!A309</f>
        <v>5932</v>
      </c>
      <c r="B318" s="40" t="str">
        <f>'A) Base RI'!B309</f>
        <v>Ursins</v>
      </c>
      <c r="C318" s="39">
        <f>'D) Ecrêtage'!M307</f>
        <v>6366.2738461538456</v>
      </c>
      <c r="D318" s="19">
        <f>'A) Base RI'!U309</f>
        <v>210</v>
      </c>
      <c r="E318" s="14">
        <f t="shared" si="12"/>
        <v>119728.18252590278</v>
      </c>
      <c r="F318" s="19">
        <f>'F) Population'!K310</f>
        <v>20704.225352112673</v>
      </c>
      <c r="G318" s="14">
        <f>'G) Solidarité'!I307</f>
        <v>76398.568342579209</v>
      </c>
      <c r="H318" s="19">
        <f t="shared" si="13"/>
        <v>97102.793694691878</v>
      </c>
      <c r="I318" s="66">
        <f t="shared" si="14"/>
        <v>22625.388831210905</v>
      </c>
    </row>
    <row r="319" spans="1:9" x14ac:dyDescent="0.25">
      <c r="A319" s="57">
        <f>'A) Base RI'!A310</f>
        <v>5933</v>
      </c>
      <c r="B319" s="40" t="str">
        <f>'A) Base RI'!B310</f>
        <v>Valeyres-sous-Montagny</v>
      </c>
      <c r="C319" s="39">
        <f>'D) Ecrêtage'!M308</f>
        <v>19578.46263888889</v>
      </c>
      <c r="D319" s="19">
        <f>'A) Base RI'!U310</f>
        <v>689</v>
      </c>
      <c r="E319" s="14">
        <f t="shared" si="12"/>
        <v>368204.98223173834</v>
      </c>
      <c r="F319" s="19">
        <f>'F) Population'!K311</f>
        <v>67929.57746478873</v>
      </c>
      <c r="G319" s="14">
        <f>'G) Solidarité'!I308</f>
        <v>240639.49008542404</v>
      </c>
      <c r="H319" s="19">
        <f t="shared" si="13"/>
        <v>308569.06755021279</v>
      </c>
      <c r="I319" s="66">
        <f t="shared" si="14"/>
        <v>59635.914681525552</v>
      </c>
    </row>
    <row r="320" spans="1:9" x14ac:dyDescent="0.25">
      <c r="A320" s="57">
        <f>'A) Base RI'!A311</f>
        <v>5934</v>
      </c>
      <c r="B320" s="40" t="str">
        <f>'A) Base RI'!B311</f>
        <v>Valeyres-sous-Ursins</v>
      </c>
      <c r="C320" s="39">
        <f>'D) Ecrêtage'!M309</f>
        <v>6856.0722784810141</v>
      </c>
      <c r="D320" s="19">
        <f>'A) Base RI'!U311</f>
        <v>247</v>
      </c>
      <c r="E320" s="14">
        <f t="shared" si="12"/>
        <v>128939.64240395954</v>
      </c>
      <c r="F320" s="19">
        <f>'F) Population'!K312</f>
        <v>24352.112676056335</v>
      </c>
      <c r="G320" s="14">
        <f>'G) Solidarité'!I309</f>
        <v>107903.7116645854</v>
      </c>
      <c r="H320" s="19">
        <f t="shared" si="13"/>
        <v>132255.82434064173</v>
      </c>
      <c r="I320" s="66">
        <f t="shared" si="14"/>
        <v>-3316.1819366821874</v>
      </c>
    </row>
    <row r="321" spans="1:9" x14ac:dyDescent="0.25">
      <c r="A321" s="57">
        <f>'A) Base RI'!A312</f>
        <v>5935</v>
      </c>
      <c r="B321" s="40" t="str">
        <f>'A) Base RI'!B312</f>
        <v>Villars-Epeney</v>
      </c>
      <c r="C321" s="39">
        <f>'D) Ecrêtage'!M310</f>
        <v>4252.6353333333336</v>
      </c>
      <c r="D321" s="19">
        <f>'A) Base RI'!U312</f>
        <v>105</v>
      </c>
      <c r="E321" s="14">
        <f t="shared" si="12"/>
        <v>79977.75648828609</v>
      </c>
      <c r="F321" s="19">
        <f>'F) Population'!K313</f>
        <v>10352.112676056337</v>
      </c>
      <c r="G321" s="14">
        <f>'G) Solidarité'!I310</f>
        <v>7249.8210163048752</v>
      </c>
      <c r="H321" s="19">
        <f t="shared" si="13"/>
        <v>17601.933692361214</v>
      </c>
      <c r="I321" s="66">
        <f t="shared" si="14"/>
        <v>62375.822795924876</v>
      </c>
    </row>
    <row r="322" spans="1:9" x14ac:dyDescent="0.25">
      <c r="A322" s="57">
        <f>'A) Base RI'!A313</f>
        <v>5937</v>
      </c>
      <c r="B322" s="40" t="str">
        <f>'A) Base RI'!B313</f>
        <v>Vugelles-La Mothe</v>
      </c>
      <c r="C322" s="39">
        <f>'D) Ecrêtage'!M311</f>
        <v>2272.9823469387752</v>
      </c>
      <c r="D322" s="19">
        <f>'A) Base RI'!U313</f>
        <v>134</v>
      </c>
      <c r="E322" s="14">
        <f t="shared" si="12"/>
        <v>42747.147214983954</v>
      </c>
      <c r="F322" s="19">
        <f>'F) Population'!K314</f>
        <v>13211.267605633802</v>
      </c>
      <c r="G322" s="14">
        <f>'G) Solidarité'!I311</f>
        <v>74224.778057133095</v>
      </c>
      <c r="H322" s="19">
        <f t="shared" si="13"/>
        <v>87436.045662766905</v>
      </c>
      <c r="I322" s="66">
        <f t="shared" si="14"/>
        <v>-44688.898447782951</v>
      </c>
    </row>
    <row r="323" spans="1:9" x14ac:dyDescent="0.25">
      <c r="A323" s="57">
        <f>'A) Base RI'!A314</f>
        <v>5938</v>
      </c>
      <c r="B323" s="40" t="str">
        <f>'A) Base RI'!B314</f>
        <v>Yverdon-les-Bains</v>
      </c>
      <c r="C323" s="39">
        <f>'D) Ecrêtage'!M312</f>
        <v>809245.0162091502</v>
      </c>
      <c r="D323" s="19">
        <f>'A) Base RI'!U314</f>
        <v>29570</v>
      </c>
      <c r="E323" s="14">
        <f t="shared" si="12"/>
        <v>15219174.881614869</v>
      </c>
      <c r="F323" s="19">
        <f>'F) Population'!K315</f>
        <v>24695704.225352112</v>
      </c>
      <c r="G323" s="14">
        <f>'G) Solidarité'!I312</f>
        <v>12382537.610513175</v>
      </c>
      <c r="H323" s="19">
        <f t="shared" si="13"/>
        <v>37078241.835865289</v>
      </c>
      <c r="I323" s="66">
        <f t="shared" si="14"/>
        <v>-21859066.954250418</v>
      </c>
    </row>
    <row r="324" spans="1:9" x14ac:dyDescent="0.25">
      <c r="A324" s="57">
        <f>'A) Base RI'!A315</f>
        <v>5939</v>
      </c>
      <c r="B324" s="40" t="str">
        <f>'A) Base RI'!B315</f>
        <v>Yvonand</v>
      </c>
      <c r="C324" s="39">
        <f>'D) Ecrêtage'!M313</f>
        <v>88261.067808219188</v>
      </c>
      <c r="D324" s="19">
        <f>'A) Base RI'!U315</f>
        <v>3236</v>
      </c>
      <c r="E324" s="14">
        <f t="shared" si="12"/>
        <v>1659893.6036748963</v>
      </c>
      <c r="F324" s="19">
        <f>'F) Population'!K316</f>
        <v>905070.42253521131</v>
      </c>
      <c r="G324" s="14">
        <f>'G) Solidarité'!I313</f>
        <v>1240278.369228015</v>
      </c>
      <c r="H324" s="19">
        <f t="shared" si="13"/>
        <v>2145348.7917632265</v>
      </c>
      <c r="I324" s="66">
        <f t="shared" si="14"/>
        <v>-485455.18808833021</v>
      </c>
    </row>
    <row r="325" spans="1:9" x14ac:dyDescent="0.25">
      <c r="A325" s="38"/>
      <c r="B325" s="135">
        <f>COUNTA(B16:B324)</f>
        <v>309</v>
      </c>
      <c r="C325" s="136">
        <f>SUM(C16:C324)</f>
        <v>35263307.270035163</v>
      </c>
      <c r="D325" s="15">
        <f>SUM(D16:D324)</f>
        <v>778251</v>
      </c>
      <c r="E325" s="15">
        <f>SUM(E16:E324)</f>
        <v>663184115.4373951</v>
      </c>
      <c r="F325" s="15">
        <f>SUM(F16:F324)</f>
        <v>399519429.57746452</v>
      </c>
      <c r="G325" s="15">
        <f>SUM(G16:G324)</f>
        <v>115303715.77979061</v>
      </c>
      <c r="H325" s="15">
        <f>F325+G325</f>
        <v>514823145.3572551</v>
      </c>
      <c r="I325" s="45">
        <f>E325-H325</f>
        <v>148360970.08013999</v>
      </c>
    </row>
    <row r="326" spans="1:9" x14ac:dyDescent="0.25">
      <c r="C326" s="85"/>
      <c r="D326" s="85"/>
      <c r="E326" s="44"/>
      <c r="H326" s="44"/>
    </row>
    <row r="327" spans="1:9" x14ac:dyDescent="0.25">
      <c r="C327" s="7"/>
      <c r="D327" s="7"/>
      <c r="E327" s="8"/>
      <c r="F327" s="8"/>
      <c r="G327" s="8"/>
      <c r="H327" s="8"/>
      <c r="I327" s="8"/>
    </row>
    <row r="328" spans="1:9" x14ac:dyDescent="0.25">
      <c r="G328" s="17"/>
    </row>
    <row r="330" spans="1:9" x14ac:dyDescent="0.25">
      <c r="F330" s="17"/>
    </row>
    <row r="331" spans="1:9" x14ac:dyDescent="0.25">
      <c r="F331" s="17"/>
    </row>
    <row r="333" spans="1:9" x14ac:dyDescent="0.25">
      <c r="F333" s="123"/>
      <c r="G333" s="123"/>
      <c r="H333" s="123"/>
      <c r="I333" s="123"/>
    </row>
    <row r="334" spans="1:9" x14ac:dyDescent="0.25">
      <c r="E334" s="123"/>
      <c r="F334" s="123"/>
      <c r="G334" s="123"/>
      <c r="H334" s="123"/>
      <c r="I334" s="123"/>
    </row>
    <row r="335" spans="1:9" x14ac:dyDescent="0.25">
      <c r="E335" s="132"/>
      <c r="F335" s="132"/>
      <c r="G335" s="132"/>
      <c r="H335" s="132"/>
      <c r="I335" s="132"/>
    </row>
    <row r="342" spans="3:3" x14ac:dyDescent="0.25">
      <c r="C342" s="56"/>
    </row>
    <row r="343" spans="3:3" x14ac:dyDescent="0.25">
      <c r="C343" s="56"/>
    </row>
    <row r="344" spans="3:3" x14ac:dyDescent="0.25">
      <c r="C344" s="56"/>
    </row>
  </sheetData>
  <sheetProtection password="E95E" sheet="1" objects="1" scenarios="1"/>
  <mergeCells count="4">
    <mergeCell ref="D14:D15"/>
    <mergeCell ref="C14:C15"/>
    <mergeCell ref="B14:B15"/>
    <mergeCell ref="A14:A15"/>
  </mergeCells>
  <phoneticPr fontId="7" type="noConversion"/>
  <pageMargins left="0.25" right="0.25" top="0.75" bottom="0.75" header="0.3" footer="0.3"/>
  <pageSetup paperSize="9" orientation="landscape" horizontalDpi="4294967292" vertic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00B050"/>
  </sheetPr>
  <dimension ref="A1:Q314"/>
  <sheetViews>
    <sheetView topLeftCell="A280" workbookViewId="0">
      <selection activeCell="B32" sqref="B32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4.25" style="8" bestFit="1" customWidth="1"/>
    <col min="4" max="5" width="13.125" style="8" bestFit="1" customWidth="1"/>
    <col min="6" max="6" width="12.25" style="8" bestFit="1" customWidth="1"/>
    <col min="7" max="7" width="13.125" style="8" bestFit="1" customWidth="1"/>
    <col min="8" max="8" width="16.875" style="8" bestFit="1" customWidth="1"/>
    <col min="9" max="9" width="13.25" style="8" bestFit="1" customWidth="1"/>
    <col min="10" max="10" width="12.125" style="8" customWidth="1"/>
    <col min="11" max="11" width="10" style="8" customWidth="1"/>
    <col min="12" max="12" width="11.375" style="8" customWidth="1"/>
    <col min="13" max="13" width="10.75" style="8" customWidth="1"/>
    <col min="14" max="14" width="12.5" style="8" customWidth="1"/>
    <col min="15" max="15" width="12.875" style="8" customWidth="1"/>
    <col min="16" max="16" width="10" style="20" customWidth="1"/>
    <col min="17" max="17" width="2.5" style="18" customWidth="1"/>
    <col min="18" max="16384" width="10.75" style="18"/>
  </cols>
  <sheetData>
    <row r="1" spans="1:17" s="51" customFormat="1" ht="20.25" customHeight="1" x14ac:dyDescent="0.25">
      <c r="A1" s="59" t="s">
        <v>144</v>
      </c>
      <c r="B1" s="50"/>
      <c r="C1" s="52"/>
      <c r="D1" s="52"/>
      <c r="E1" s="52"/>
      <c r="F1" s="52"/>
      <c r="G1" s="52"/>
      <c r="H1" s="52"/>
      <c r="I1" s="52"/>
      <c r="J1" s="52"/>
      <c r="K1" s="345"/>
      <c r="L1" s="52"/>
      <c r="M1" s="345"/>
      <c r="N1" s="52"/>
      <c r="O1" s="52"/>
      <c r="P1" s="152"/>
      <c r="Q1" s="18"/>
    </row>
    <row r="3" spans="1:17" ht="60" customHeight="1" x14ac:dyDescent="0.25">
      <c r="A3" s="436" t="s">
        <v>50</v>
      </c>
      <c r="B3" s="436" t="s">
        <v>101</v>
      </c>
      <c r="C3" s="433" t="s">
        <v>433</v>
      </c>
      <c r="D3" s="433" t="s">
        <v>335</v>
      </c>
      <c r="E3" s="433" t="s">
        <v>336</v>
      </c>
      <c r="F3" s="433" t="s">
        <v>337</v>
      </c>
      <c r="G3" s="433" t="s">
        <v>308</v>
      </c>
      <c r="H3" s="433" t="s">
        <v>48</v>
      </c>
      <c r="I3" s="329" t="s">
        <v>309</v>
      </c>
      <c r="J3" s="329" t="s">
        <v>218</v>
      </c>
      <c r="K3" s="459" t="s">
        <v>219</v>
      </c>
      <c r="L3" s="433" t="s">
        <v>49</v>
      </c>
      <c r="M3" s="329" t="s">
        <v>220</v>
      </c>
      <c r="N3" s="329" t="s">
        <v>218</v>
      </c>
      <c r="O3" s="346" t="s">
        <v>374</v>
      </c>
      <c r="P3" s="385" t="s">
        <v>559</v>
      </c>
    </row>
    <row r="4" spans="1:17" x14ac:dyDescent="0.25">
      <c r="A4" s="437"/>
      <c r="B4" s="438"/>
      <c r="C4" s="434"/>
      <c r="D4" s="435"/>
      <c r="E4" s="434"/>
      <c r="F4" s="435"/>
      <c r="G4" s="434"/>
      <c r="H4" s="435"/>
      <c r="I4" s="336">
        <f>Paramètres!B41</f>
        <v>8</v>
      </c>
      <c r="J4" s="384">
        <f>+Paramètres!C41</f>
        <v>0.73388726740960408</v>
      </c>
      <c r="K4" s="460"/>
      <c r="L4" s="434"/>
      <c r="M4" s="330">
        <f>Paramètres!B42</f>
        <v>1</v>
      </c>
      <c r="N4" s="388">
        <f>+Paramètres!C42</f>
        <v>0.73388726740960408</v>
      </c>
      <c r="O4" s="347" t="s">
        <v>468</v>
      </c>
      <c r="P4" s="387" t="s">
        <v>469</v>
      </c>
    </row>
    <row r="5" spans="1:17" x14ac:dyDescent="0.25">
      <c r="A5" s="54">
        <f>+'A) Base RI'!A7</f>
        <v>5401</v>
      </c>
      <c r="B5" s="350" t="str">
        <f>+'A) Base RI'!B7</f>
        <v>Aigle</v>
      </c>
      <c r="C5" s="363">
        <f>+'D) Ecrêtage'!M5</f>
        <v>274204.16723456793</v>
      </c>
      <c r="D5" s="332">
        <v>3812060</v>
      </c>
      <c r="E5" s="363">
        <v>1233685</v>
      </c>
      <c r="F5" s="332">
        <v>13467</v>
      </c>
      <c r="G5" s="363">
        <f>SUM(D5:F5)</f>
        <v>5059212</v>
      </c>
      <c r="H5" s="332">
        <f>+C5*$I$4</f>
        <v>2193633.3378765434</v>
      </c>
      <c r="I5" s="62">
        <f>IF(G5&gt;H5,G5-H5,0)</f>
        <v>2865578.6621234566</v>
      </c>
      <c r="J5" s="361">
        <f>-I5*J$4</f>
        <v>-2103011.6938930526</v>
      </c>
      <c r="K5" s="83">
        <v>403609</v>
      </c>
      <c r="L5" s="62">
        <f>C5*M$4</f>
        <v>274204.16723456793</v>
      </c>
      <c r="M5" s="83">
        <f>IF(K5&gt;L5,K5-L5,0)</f>
        <v>129404.83276543207</v>
      </c>
      <c r="N5" s="145">
        <f>-M5*N$4</f>
        <v>-94968.559107819747</v>
      </c>
      <c r="O5" s="146">
        <f>N5+J5</f>
        <v>-2197980.2530008722</v>
      </c>
      <c r="P5" s="41">
        <f>O5/'D) Ecrêtage'!C5</f>
        <v>-8.0158528412174359</v>
      </c>
      <c r="Q5" s="141"/>
    </row>
    <row r="6" spans="1:17" x14ac:dyDescent="0.25">
      <c r="A6" s="57">
        <f>+'A) Base RI'!A8</f>
        <v>5402</v>
      </c>
      <c r="B6" s="350" t="str">
        <f>+'A) Base RI'!B8</f>
        <v>Bex</v>
      </c>
      <c r="C6" s="364">
        <f>+'D) Ecrêtage'!M6</f>
        <v>168618.65154929578</v>
      </c>
      <c r="D6" s="332">
        <v>2801622</v>
      </c>
      <c r="E6" s="364">
        <v>628851</v>
      </c>
      <c r="F6" s="332">
        <v>228411</v>
      </c>
      <c r="G6" s="364">
        <f t="shared" ref="G6:G69" si="0">SUM(D6:F6)</f>
        <v>3658884</v>
      </c>
      <c r="H6" s="332">
        <f t="shared" ref="H6:H69" si="1">+C6*$I$4</f>
        <v>1348949.2123943663</v>
      </c>
      <c r="I6" s="14">
        <f t="shared" ref="I6:I69" si="2">IF(G6&gt;H6,G6-H6,0)</f>
        <v>2309934.787605634</v>
      </c>
      <c r="J6" s="361">
        <f t="shared" ref="J6:J68" si="3">-I6*J$4</f>
        <v>-1695231.7291702828</v>
      </c>
      <c r="K6" s="19">
        <v>321014</v>
      </c>
      <c r="L6" s="14">
        <f t="shared" ref="L6:L68" si="4">C6*M$4</f>
        <v>168618.65154929578</v>
      </c>
      <c r="M6" s="19">
        <f t="shared" ref="M6:M59" si="5">IF(K6&gt;L6,K6-L6,0)</f>
        <v>152395.34845070422</v>
      </c>
      <c r="N6" s="4">
        <f t="shared" ref="N6:N68" si="6">-M6*N$4</f>
        <v>-111841.00584042176</v>
      </c>
      <c r="O6" s="147">
        <f t="shared" ref="O6:O59" si="7">N6+J6</f>
        <v>-1807072.7350107045</v>
      </c>
      <c r="P6" s="41">
        <f>O6/'D) Ecrêtage'!C6</f>
        <v>-10.716920805658356</v>
      </c>
      <c r="Q6" s="141"/>
    </row>
    <row r="7" spans="1:17" x14ac:dyDescent="0.25">
      <c r="A7" s="57">
        <f>+'A) Base RI'!A9</f>
        <v>5403</v>
      </c>
      <c r="B7" s="350" t="str">
        <f>+'A) Base RI'!B9</f>
        <v>Chessel</v>
      </c>
      <c r="C7" s="364">
        <f>+'D) Ecrêtage'!M7</f>
        <v>8336.8572368421064</v>
      </c>
      <c r="D7" s="332">
        <v>57908</v>
      </c>
      <c r="E7" s="364">
        <v>16082</v>
      </c>
      <c r="F7" s="332">
        <v>0</v>
      </c>
      <c r="G7" s="364">
        <f t="shared" si="0"/>
        <v>73990</v>
      </c>
      <c r="H7" s="332">
        <f t="shared" si="1"/>
        <v>66694.857894736851</v>
      </c>
      <c r="I7" s="14">
        <f t="shared" si="2"/>
        <v>7295.1421052631486</v>
      </c>
      <c r="J7" s="361">
        <f t="shared" si="3"/>
        <v>-5353.8119049963188</v>
      </c>
      <c r="K7" s="19">
        <v>42012</v>
      </c>
      <c r="L7" s="14">
        <f t="shared" si="4"/>
        <v>8336.8572368421064</v>
      </c>
      <c r="M7" s="19">
        <f t="shared" si="5"/>
        <v>33675.142763157892</v>
      </c>
      <c r="N7" s="4">
        <f t="shared" si="6"/>
        <v>-24713.758502082248</v>
      </c>
      <c r="O7" s="147">
        <f t="shared" si="7"/>
        <v>-30067.570407078565</v>
      </c>
      <c r="P7" s="41">
        <f>O7/'D) Ecrêtage'!C7</f>
        <v>-3.6065833386476185</v>
      </c>
      <c r="Q7" s="143"/>
    </row>
    <row r="8" spans="1:17" x14ac:dyDescent="0.25">
      <c r="A8" s="57">
        <f>+'A) Base RI'!A10</f>
        <v>5404</v>
      </c>
      <c r="B8" s="350" t="str">
        <f>+'A) Base RI'!B10</f>
        <v>Corbeyrier</v>
      </c>
      <c r="C8" s="364">
        <f>+'D) Ecrêtage'!M8</f>
        <v>11349.824285714287</v>
      </c>
      <c r="D8" s="332">
        <v>240716</v>
      </c>
      <c r="E8" s="364">
        <v>17585</v>
      </c>
      <c r="F8" s="332">
        <v>31083</v>
      </c>
      <c r="G8" s="364">
        <f t="shared" si="0"/>
        <v>289384</v>
      </c>
      <c r="H8" s="332">
        <f t="shared" si="1"/>
        <v>90798.594285714295</v>
      </c>
      <c r="I8" s="14">
        <f t="shared" si="2"/>
        <v>198585.40571428571</v>
      </c>
      <c r="J8" s="361">
        <f t="shared" si="3"/>
        <v>-145739.30074708472</v>
      </c>
      <c r="K8" s="19">
        <v>35552</v>
      </c>
      <c r="L8" s="14">
        <f t="shared" si="4"/>
        <v>11349.824285714287</v>
      </c>
      <c r="M8" s="19">
        <f t="shared" si="5"/>
        <v>24202.175714285713</v>
      </c>
      <c r="N8" s="4">
        <f t="shared" si="6"/>
        <v>-17761.668600324225</v>
      </c>
      <c r="O8" s="147">
        <f t="shared" si="7"/>
        <v>-163500.96934740894</v>
      </c>
      <c r="P8" s="41">
        <f>O8/'D) Ecrêtage'!C8</f>
        <v>-14.405594767947477</v>
      </c>
      <c r="Q8" s="143"/>
    </row>
    <row r="9" spans="1:17" x14ac:dyDescent="0.25">
      <c r="A9" s="57">
        <f>+'A) Base RI'!A11</f>
        <v>5405</v>
      </c>
      <c r="B9" s="350" t="str">
        <f>+'A) Base RI'!B11</f>
        <v>Gryon</v>
      </c>
      <c r="C9" s="364">
        <f>+'D) Ecrêtage'!M9</f>
        <v>64864.951911111115</v>
      </c>
      <c r="D9" s="332">
        <v>919073</v>
      </c>
      <c r="E9" s="364">
        <v>137838</v>
      </c>
      <c r="F9" s="332">
        <v>40713</v>
      </c>
      <c r="G9" s="364">
        <f t="shared" si="0"/>
        <v>1097624</v>
      </c>
      <c r="H9" s="332">
        <f t="shared" si="1"/>
        <v>518919.61528888892</v>
      </c>
      <c r="I9" s="14">
        <f t="shared" si="2"/>
        <v>578704.38471111108</v>
      </c>
      <c r="J9" s="361">
        <f t="shared" si="3"/>
        <v>-424703.77953359357</v>
      </c>
      <c r="K9" s="19">
        <v>2995</v>
      </c>
      <c r="L9" s="14">
        <f t="shared" si="4"/>
        <v>64864.951911111115</v>
      </c>
      <c r="M9" s="19">
        <f t="shared" si="5"/>
        <v>0</v>
      </c>
      <c r="N9" s="4">
        <f t="shared" si="6"/>
        <v>0</v>
      </c>
      <c r="O9" s="147">
        <f t="shared" si="7"/>
        <v>-424703.77953359357</v>
      </c>
      <c r="P9" s="41">
        <f>O9/'D) Ecrêtage'!C9</f>
        <v>-6.5475078146299133</v>
      </c>
      <c r="Q9" s="143"/>
    </row>
    <row r="10" spans="1:17" x14ac:dyDescent="0.25">
      <c r="A10" s="57">
        <f>+'A) Base RI'!A12</f>
        <v>5406</v>
      </c>
      <c r="B10" s="350" t="str">
        <f>+'A) Base RI'!B12</f>
        <v>Lavey-Morcles</v>
      </c>
      <c r="C10" s="364">
        <f>+'D) Ecrêtage'!M10</f>
        <v>20248.886901408452</v>
      </c>
      <c r="D10" s="332">
        <v>196693</v>
      </c>
      <c r="E10" s="364">
        <v>36836</v>
      </c>
      <c r="F10" s="332">
        <v>29331</v>
      </c>
      <c r="G10" s="364">
        <f t="shared" si="0"/>
        <v>262860</v>
      </c>
      <c r="H10" s="332">
        <f t="shared" si="1"/>
        <v>161991.09521126762</v>
      </c>
      <c r="I10" s="14">
        <f t="shared" si="2"/>
        <v>100868.90478873238</v>
      </c>
      <c r="J10" s="361">
        <f t="shared" si="3"/>
        <v>-74026.404902002338</v>
      </c>
      <c r="K10" s="19">
        <v>18701</v>
      </c>
      <c r="L10" s="14">
        <f t="shared" si="4"/>
        <v>20248.886901408452</v>
      </c>
      <c r="M10" s="19">
        <f t="shared" si="5"/>
        <v>0</v>
      </c>
      <c r="N10" s="4">
        <f t="shared" si="6"/>
        <v>0</v>
      </c>
      <c r="O10" s="147">
        <f t="shared" si="7"/>
        <v>-74026.404902002338</v>
      </c>
      <c r="P10" s="41">
        <f>O10/'D) Ecrêtage'!C10</f>
        <v>-3.6558258862541861</v>
      </c>
      <c r="Q10" s="143"/>
    </row>
    <row r="11" spans="1:17" x14ac:dyDescent="0.25">
      <c r="A11" s="57">
        <f>+'A) Base RI'!A13</f>
        <v>5407</v>
      </c>
      <c r="B11" s="350" t="str">
        <f>+'A) Base RI'!B13</f>
        <v>Leysin</v>
      </c>
      <c r="C11" s="364">
        <f>+'D) Ecrêtage'!M11</f>
        <v>82610.97474358973</v>
      </c>
      <c r="D11" s="332">
        <v>2639215</v>
      </c>
      <c r="E11" s="364">
        <v>761860</v>
      </c>
      <c r="F11" s="332">
        <v>241065</v>
      </c>
      <c r="G11" s="364">
        <f t="shared" si="0"/>
        <v>3642140</v>
      </c>
      <c r="H11" s="332">
        <f t="shared" si="1"/>
        <v>660887.79794871784</v>
      </c>
      <c r="I11" s="14">
        <f t="shared" si="2"/>
        <v>2981252.2020512819</v>
      </c>
      <c r="J11" s="361">
        <f t="shared" si="3"/>
        <v>-2187903.0320222802</v>
      </c>
      <c r="K11" s="19">
        <v>129745</v>
      </c>
      <c r="L11" s="14">
        <f t="shared" si="4"/>
        <v>82610.97474358973</v>
      </c>
      <c r="M11" s="19">
        <f t="shared" si="5"/>
        <v>47134.02525641027</v>
      </c>
      <c r="N11" s="4">
        <f t="shared" si="6"/>
        <v>-34591.060997442197</v>
      </c>
      <c r="O11" s="147">
        <f t="shared" si="7"/>
        <v>-2222494.0930197225</v>
      </c>
      <c r="P11" s="41">
        <f>O11/'D) Ecrêtage'!C11</f>
        <v>-26.903133632280241</v>
      </c>
      <c r="Q11" s="143"/>
    </row>
    <row r="12" spans="1:17" x14ac:dyDescent="0.25">
      <c r="A12" s="57">
        <f>+'A) Base RI'!A14</f>
        <v>5408</v>
      </c>
      <c r="B12" s="350" t="str">
        <f>+'A) Base RI'!B14</f>
        <v>Noville</v>
      </c>
      <c r="C12" s="364">
        <f>+'D) Ecrêtage'!M12</f>
        <v>33419.560339702759</v>
      </c>
      <c r="D12" s="332">
        <v>342208</v>
      </c>
      <c r="E12" s="364">
        <v>41790</v>
      </c>
      <c r="F12" s="332">
        <v>37453</v>
      </c>
      <c r="G12" s="364">
        <f t="shared" si="0"/>
        <v>421451</v>
      </c>
      <c r="H12" s="332">
        <f t="shared" si="1"/>
        <v>267356.48271762207</v>
      </c>
      <c r="I12" s="14">
        <f t="shared" si="2"/>
        <v>154094.51728237793</v>
      </c>
      <c r="J12" s="361">
        <f t="shared" si="3"/>
        <v>-113088.00421116635</v>
      </c>
      <c r="K12" s="19">
        <v>31263</v>
      </c>
      <c r="L12" s="14">
        <f t="shared" si="4"/>
        <v>33419.560339702759</v>
      </c>
      <c r="M12" s="19">
        <f t="shared" si="5"/>
        <v>0</v>
      </c>
      <c r="N12" s="4">
        <f t="shared" si="6"/>
        <v>0</v>
      </c>
      <c r="O12" s="147">
        <f t="shared" si="7"/>
        <v>-113088.00421116635</v>
      </c>
      <c r="P12" s="41">
        <f>O12/'D) Ecrêtage'!C12</f>
        <v>-3.3838866538533336</v>
      </c>
      <c r="Q12" s="143"/>
    </row>
    <row r="13" spans="1:17" x14ac:dyDescent="0.25">
      <c r="A13" s="57">
        <f>+'A) Base RI'!A15</f>
        <v>5409</v>
      </c>
      <c r="B13" s="350" t="str">
        <f>+'A) Base RI'!B15</f>
        <v>Ollon</v>
      </c>
      <c r="C13" s="364">
        <f>+'D) Ecrêtage'!M13</f>
        <v>366034.73937782802</v>
      </c>
      <c r="D13" s="332">
        <v>3679586</v>
      </c>
      <c r="E13" s="364">
        <v>753360</v>
      </c>
      <c r="F13" s="332">
        <v>627608</v>
      </c>
      <c r="G13" s="364">
        <f t="shared" si="0"/>
        <v>5060554</v>
      </c>
      <c r="H13" s="332">
        <f t="shared" si="1"/>
        <v>2928277.9150226242</v>
      </c>
      <c r="I13" s="14">
        <f t="shared" si="2"/>
        <v>2132276.0849773758</v>
      </c>
      <c r="J13" s="361">
        <f t="shared" si="3"/>
        <v>-1564850.2693668951</v>
      </c>
      <c r="K13" s="19">
        <v>481510</v>
      </c>
      <c r="L13" s="14">
        <f t="shared" si="4"/>
        <v>366034.73937782802</v>
      </c>
      <c r="M13" s="19">
        <f t="shared" si="5"/>
        <v>115475.26062217198</v>
      </c>
      <c r="N13" s="4">
        <f t="shared" si="6"/>
        <v>-84745.823471417651</v>
      </c>
      <c r="O13" s="147">
        <f t="shared" si="7"/>
        <v>-1649596.0928383127</v>
      </c>
      <c r="P13" s="41">
        <f>O13/'D) Ecrêtage'!C13</f>
        <v>-4.506665393678845</v>
      </c>
      <c r="Q13" s="143"/>
    </row>
    <row r="14" spans="1:17" x14ac:dyDescent="0.25">
      <c r="A14" s="57">
        <f>+'A) Base RI'!A16</f>
        <v>5410</v>
      </c>
      <c r="B14" s="350" t="str">
        <f>+'A) Base RI'!B16</f>
        <v>Ormont-Dessous</v>
      </c>
      <c r="C14" s="364">
        <f>+'D) Ecrêtage'!M14</f>
        <v>36452.210276008496</v>
      </c>
      <c r="D14" s="332">
        <v>1215577</v>
      </c>
      <c r="E14" s="364">
        <v>90890</v>
      </c>
      <c r="F14" s="332">
        <v>67638</v>
      </c>
      <c r="G14" s="364">
        <f t="shared" si="0"/>
        <v>1374105</v>
      </c>
      <c r="H14" s="332">
        <f t="shared" si="1"/>
        <v>291617.68220806797</v>
      </c>
      <c r="I14" s="14">
        <f t="shared" si="2"/>
        <v>1082487.317791932</v>
      </c>
      <c r="J14" s="361">
        <f t="shared" si="3"/>
        <v>-794423.65965987265</v>
      </c>
      <c r="K14" s="19">
        <v>60635</v>
      </c>
      <c r="L14" s="14">
        <f t="shared" si="4"/>
        <v>36452.210276008496</v>
      </c>
      <c r="M14" s="19">
        <f t="shared" si="5"/>
        <v>24182.789723991504</v>
      </c>
      <c r="N14" s="4">
        <f t="shared" si="6"/>
        <v>-17747.441468881178</v>
      </c>
      <c r="O14" s="147">
        <f t="shared" si="7"/>
        <v>-812171.10112875386</v>
      </c>
      <c r="P14" s="41">
        <f>O14/'D) Ecrêtage'!C14</f>
        <v>-22.280434985400461</v>
      </c>
      <c r="Q14" s="143"/>
    </row>
    <row r="15" spans="1:17" x14ac:dyDescent="0.25">
      <c r="A15" s="57">
        <f>+'A) Base RI'!A17</f>
        <v>5411</v>
      </c>
      <c r="B15" s="350" t="str">
        <f>+'A) Base RI'!B17</f>
        <v>Ormont-Dessus</v>
      </c>
      <c r="C15" s="364">
        <f>+'D) Ecrêtage'!M15</f>
        <v>74047.924868421047</v>
      </c>
      <c r="D15" s="332">
        <v>1526061</v>
      </c>
      <c r="E15" s="364">
        <v>181873</v>
      </c>
      <c r="F15" s="332">
        <v>72470</v>
      </c>
      <c r="G15" s="364">
        <f t="shared" si="0"/>
        <v>1780404</v>
      </c>
      <c r="H15" s="332">
        <f t="shared" si="1"/>
        <v>592383.39894736838</v>
      </c>
      <c r="I15" s="14">
        <f t="shared" si="2"/>
        <v>1188020.6010526316</v>
      </c>
      <c r="J15" s="361">
        <f t="shared" si="3"/>
        <v>-871873.19253283122</v>
      </c>
      <c r="K15" s="19">
        <v>144147</v>
      </c>
      <c r="L15" s="14">
        <f t="shared" si="4"/>
        <v>74047.924868421047</v>
      </c>
      <c r="M15" s="19">
        <f t="shared" si="5"/>
        <v>70099.075131578953</v>
      </c>
      <c r="N15" s="4">
        <f t="shared" si="6"/>
        <v>-51444.81869625501</v>
      </c>
      <c r="O15" s="147">
        <f t="shared" si="7"/>
        <v>-923318.0112290862</v>
      </c>
      <c r="P15" s="41">
        <f>O15/'D) Ecrêtage'!C15</f>
        <v>-12.469194955426095</v>
      </c>
      <c r="Q15" s="143"/>
    </row>
    <row r="16" spans="1:17" x14ac:dyDescent="0.25">
      <c r="A16" s="57">
        <f>+'A) Base RI'!A18</f>
        <v>5412</v>
      </c>
      <c r="B16" s="350" t="str">
        <f>+'A) Base RI'!B18</f>
        <v>Rennaz</v>
      </c>
      <c r="C16" s="364">
        <f>+'D) Ecrêtage'!M16</f>
        <v>26224.228148148151</v>
      </c>
      <c r="D16" s="332">
        <v>247098</v>
      </c>
      <c r="E16" s="364">
        <v>34236</v>
      </c>
      <c r="F16" s="332">
        <v>30996</v>
      </c>
      <c r="G16" s="364">
        <f t="shared" si="0"/>
        <v>312330</v>
      </c>
      <c r="H16" s="332">
        <f t="shared" si="1"/>
        <v>209793.82518518521</v>
      </c>
      <c r="I16" s="14">
        <f t="shared" si="2"/>
        <v>102536.17481481479</v>
      </c>
      <c r="J16" s="361">
        <f t="shared" si="3"/>
        <v>-75249.993145477885</v>
      </c>
      <c r="K16" s="19">
        <v>60447</v>
      </c>
      <c r="L16" s="14">
        <f t="shared" si="4"/>
        <v>26224.228148148151</v>
      </c>
      <c r="M16" s="19">
        <f t="shared" si="5"/>
        <v>34222.771851851852</v>
      </c>
      <c r="N16" s="4">
        <f t="shared" si="6"/>
        <v>-25115.656517537871</v>
      </c>
      <c r="O16" s="147">
        <f t="shared" si="7"/>
        <v>-100365.64966301576</v>
      </c>
      <c r="P16" s="41">
        <f>O16/'D) Ecrêtage'!C16</f>
        <v>-3.8272108180275719</v>
      </c>
      <c r="Q16" s="143"/>
    </row>
    <row r="17" spans="1:17" x14ac:dyDescent="0.25">
      <c r="A17" s="57">
        <f>+'A) Base RI'!A19</f>
        <v>5413</v>
      </c>
      <c r="B17" s="350" t="str">
        <f>+'A) Base RI'!B19</f>
        <v>Roche</v>
      </c>
      <c r="C17" s="364">
        <f>+'D) Ecrêtage'!M17</f>
        <v>38924.228382352943</v>
      </c>
      <c r="D17" s="332">
        <v>155394</v>
      </c>
      <c r="E17" s="364">
        <v>91804</v>
      </c>
      <c r="F17" s="332">
        <v>58448</v>
      </c>
      <c r="G17" s="364">
        <f t="shared" si="0"/>
        <v>305646</v>
      </c>
      <c r="H17" s="332">
        <f t="shared" si="1"/>
        <v>311393.82705882355</v>
      </c>
      <c r="I17" s="14">
        <f t="shared" si="2"/>
        <v>0</v>
      </c>
      <c r="J17" s="361">
        <f t="shared" si="3"/>
        <v>0</v>
      </c>
      <c r="K17" s="19">
        <v>15563</v>
      </c>
      <c r="L17" s="14">
        <f t="shared" si="4"/>
        <v>38924.228382352943</v>
      </c>
      <c r="M17" s="19">
        <f t="shared" si="5"/>
        <v>0</v>
      </c>
      <c r="N17" s="4">
        <f t="shared" si="6"/>
        <v>0</v>
      </c>
      <c r="O17" s="147">
        <f t="shared" si="7"/>
        <v>0</v>
      </c>
      <c r="P17" s="41">
        <f>O17/'D) Ecrêtage'!C17</f>
        <v>0</v>
      </c>
      <c r="Q17" s="143"/>
    </row>
    <row r="18" spans="1:17" x14ac:dyDescent="0.25">
      <c r="A18" s="57">
        <f>+'A) Base RI'!A20</f>
        <v>5414</v>
      </c>
      <c r="B18" s="350" t="str">
        <f>+'A) Base RI'!B20</f>
        <v>Villeneuve</v>
      </c>
      <c r="C18" s="364">
        <f>+'D) Ecrêtage'!M18</f>
        <v>159863.47130434786</v>
      </c>
      <c r="D18" s="332">
        <v>2021944</v>
      </c>
      <c r="E18" s="364">
        <v>936512</v>
      </c>
      <c r="F18" s="332">
        <v>190908</v>
      </c>
      <c r="G18" s="364">
        <f t="shared" si="0"/>
        <v>3149364</v>
      </c>
      <c r="H18" s="332">
        <f t="shared" si="1"/>
        <v>1278907.7704347828</v>
      </c>
      <c r="I18" s="14">
        <f t="shared" si="2"/>
        <v>1870456.2295652172</v>
      </c>
      <c r="J18" s="361">
        <f t="shared" si="3"/>
        <v>-1372704.0111248884</v>
      </c>
      <c r="K18" s="19">
        <v>381518</v>
      </c>
      <c r="L18" s="14">
        <f t="shared" si="4"/>
        <v>159863.47130434786</v>
      </c>
      <c r="M18" s="19">
        <f t="shared" si="5"/>
        <v>221654.52869565214</v>
      </c>
      <c r="N18" s="4">
        <f t="shared" si="6"/>
        <v>-162669.43637341584</v>
      </c>
      <c r="O18" s="147">
        <f t="shared" si="7"/>
        <v>-1535373.4474983043</v>
      </c>
      <c r="P18" s="41">
        <f>O18/'D) Ecrêtage'!C18</f>
        <v>-9.6042794202514372</v>
      </c>
      <c r="Q18" s="143"/>
    </row>
    <row r="19" spans="1:17" x14ac:dyDescent="0.25">
      <c r="A19" s="57">
        <f>+'A) Base RI'!A21</f>
        <v>5415</v>
      </c>
      <c r="B19" s="350" t="str">
        <f>+'A) Base RI'!B21</f>
        <v>Yvorne</v>
      </c>
      <c r="C19" s="364">
        <f>+'D) Ecrêtage'!M19</f>
        <v>35726.744476885644</v>
      </c>
      <c r="D19" s="332">
        <v>184239</v>
      </c>
      <c r="E19" s="364">
        <v>41912</v>
      </c>
      <c r="F19" s="332">
        <v>170198</v>
      </c>
      <c r="G19" s="364">
        <f t="shared" si="0"/>
        <v>396349</v>
      </c>
      <c r="H19" s="332">
        <f t="shared" si="1"/>
        <v>285813.95581508515</v>
      </c>
      <c r="I19" s="14">
        <f t="shared" si="2"/>
        <v>110535.04418491485</v>
      </c>
      <c r="J19" s="361">
        <f t="shared" si="3"/>
        <v>-81120.261529866999</v>
      </c>
      <c r="K19" s="19">
        <v>48825</v>
      </c>
      <c r="L19" s="14">
        <f t="shared" si="4"/>
        <v>35726.744476885644</v>
      </c>
      <c r="M19" s="19">
        <f t="shared" si="5"/>
        <v>13098.255523114356</v>
      </c>
      <c r="N19" s="4">
        <f t="shared" si="6"/>
        <v>-9612.6429536911492</v>
      </c>
      <c r="O19" s="147">
        <f t="shared" si="7"/>
        <v>-90732.904483558144</v>
      </c>
      <c r="P19" s="41">
        <f>O19/'D) Ecrêtage'!C19</f>
        <v>-2.5396353855375819</v>
      </c>
      <c r="Q19" s="143"/>
    </row>
    <row r="20" spans="1:17" x14ac:dyDescent="0.25">
      <c r="A20" s="57">
        <f>+'A) Base RI'!A22</f>
        <v>5421</v>
      </c>
      <c r="B20" s="350" t="str">
        <f>+'A) Base RI'!B22</f>
        <v>Apples</v>
      </c>
      <c r="C20" s="364">
        <f>+'D) Ecrêtage'!M20</f>
        <v>59005.563421052633</v>
      </c>
      <c r="D20" s="332">
        <v>517697</v>
      </c>
      <c r="E20" s="364">
        <v>120374</v>
      </c>
      <c r="F20" s="332">
        <v>183603</v>
      </c>
      <c r="G20" s="364">
        <f t="shared" si="0"/>
        <v>821674</v>
      </c>
      <c r="H20" s="332">
        <f t="shared" si="1"/>
        <v>472044.50736842107</v>
      </c>
      <c r="I20" s="14">
        <f t="shared" si="2"/>
        <v>349629.49263157893</v>
      </c>
      <c r="J20" s="361">
        <f t="shared" si="3"/>
        <v>-256588.63295319577</v>
      </c>
      <c r="K20" s="19">
        <v>82647</v>
      </c>
      <c r="L20" s="14">
        <f t="shared" si="4"/>
        <v>59005.563421052633</v>
      </c>
      <c r="M20" s="19">
        <f t="shared" si="5"/>
        <v>23641.436578947367</v>
      </c>
      <c r="N20" s="4">
        <f t="shared" si="6"/>
        <v>-17350.149288561141</v>
      </c>
      <c r="O20" s="147">
        <f t="shared" si="7"/>
        <v>-273938.78224175691</v>
      </c>
      <c r="P20" s="41">
        <f>O20/'D) Ecrêtage'!C21</f>
        <v>-1.2509295546126833</v>
      </c>
      <c r="Q20" s="143"/>
    </row>
    <row r="21" spans="1:17" x14ac:dyDescent="0.25">
      <c r="A21" s="57">
        <f>+'A) Base RI'!A23</f>
        <v>5422</v>
      </c>
      <c r="B21" s="350" t="str">
        <f>+'A) Base RI'!B23</f>
        <v>Aubonne</v>
      </c>
      <c r="C21" s="364">
        <f>+'D) Ecrêtage'!M21</f>
        <v>212504.17047865759</v>
      </c>
      <c r="D21" s="332">
        <v>1195072</v>
      </c>
      <c r="E21" s="364">
        <v>119112</v>
      </c>
      <c r="F21" s="332">
        <v>372929</v>
      </c>
      <c r="G21" s="364">
        <f t="shared" si="0"/>
        <v>1687113</v>
      </c>
      <c r="H21" s="332">
        <f t="shared" si="1"/>
        <v>1700033.3638292607</v>
      </c>
      <c r="I21" s="14">
        <f t="shared" si="2"/>
        <v>0</v>
      </c>
      <c r="J21" s="361">
        <f t="shared" si="3"/>
        <v>0</v>
      </c>
      <c r="K21" s="19">
        <v>162243</v>
      </c>
      <c r="L21" s="14">
        <f t="shared" si="4"/>
        <v>212504.17047865759</v>
      </c>
      <c r="M21" s="19">
        <f t="shared" si="5"/>
        <v>0</v>
      </c>
      <c r="N21" s="4">
        <f t="shared" si="6"/>
        <v>0</v>
      </c>
      <c r="O21" s="147">
        <f t="shared" si="7"/>
        <v>0</v>
      </c>
      <c r="P21" s="41">
        <f>O21/'D) Ecrêtage'!C22</f>
        <v>0</v>
      </c>
      <c r="Q21" s="143"/>
    </row>
    <row r="22" spans="1:17" x14ac:dyDescent="0.25">
      <c r="A22" s="57">
        <f>+'A) Base RI'!A24</f>
        <v>5423</v>
      </c>
      <c r="B22" s="350" t="str">
        <f>+'A) Base RI'!B24</f>
        <v>Ballens</v>
      </c>
      <c r="C22" s="364">
        <f>+'D) Ecrêtage'!M22</f>
        <v>15358.055362318841</v>
      </c>
      <c r="D22" s="332">
        <v>87581</v>
      </c>
      <c r="E22" s="364">
        <v>44953</v>
      </c>
      <c r="F22" s="332">
        <v>70872</v>
      </c>
      <c r="G22" s="364">
        <f t="shared" si="0"/>
        <v>203406</v>
      </c>
      <c r="H22" s="332">
        <f t="shared" si="1"/>
        <v>122864.44289855073</v>
      </c>
      <c r="I22" s="14">
        <f t="shared" si="2"/>
        <v>80541.557101449274</v>
      </c>
      <c r="J22" s="361">
        <f t="shared" si="3"/>
        <v>-59108.423254097201</v>
      </c>
      <c r="K22" s="19">
        <v>-41478</v>
      </c>
      <c r="L22" s="14">
        <f t="shared" si="4"/>
        <v>15358.055362318841</v>
      </c>
      <c r="M22" s="19">
        <f t="shared" si="5"/>
        <v>0</v>
      </c>
      <c r="N22" s="4">
        <f t="shared" si="6"/>
        <v>0</v>
      </c>
      <c r="O22" s="147">
        <f t="shared" si="7"/>
        <v>-59108.423254097201</v>
      </c>
      <c r="P22" s="41">
        <f>O22/'D) Ecrêtage'!C23</f>
        <v>-6.5253740914538838</v>
      </c>
      <c r="Q22" s="143"/>
    </row>
    <row r="23" spans="1:17" x14ac:dyDescent="0.25">
      <c r="A23" s="57">
        <f>+'A) Base RI'!A25</f>
        <v>5424</v>
      </c>
      <c r="B23" s="350" t="str">
        <f>+'A) Base RI'!B25</f>
        <v>Berolle</v>
      </c>
      <c r="C23" s="364">
        <f>+'D) Ecrêtage'!M23</f>
        <v>9058.2428571428572</v>
      </c>
      <c r="D23" s="332">
        <v>62315</v>
      </c>
      <c r="E23" s="364">
        <v>10526</v>
      </c>
      <c r="F23" s="332">
        <v>37378</v>
      </c>
      <c r="G23" s="364">
        <f t="shared" si="0"/>
        <v>110219</v>
      </c>
      <c r="H23" s="332">
        <f t="shared" si="1"/>
        <v>72465.942857142858</v>
      </c>
      <c r="I23" s="14">
        <f t="shared" si="2"/>
        <v>37753.057142857142</v>
      </c>
      <c r="J23" s="361">
        <f t="shared" si="3"/>
        <v>-27706.487942930064</v>
      </c>
      <c r="K23" s="19">
        <v>-16050</v>
      </c>
      <c r="L23" s="14">
        <f t="shared" si="4"/>
        <v>9058.2428571428572</v>
      </c>
      <c r="M23" s="19">
        <f t="shared" si="5"/>
        <v>0</v>
      </c>
      <c r="N23" s="4">
        <f t="shared" si="6"/>
        <v>0</v>
      </c>
      <c r="O23" s="147">
        <f t="shared" si="7"/>
        <v>-27706.487942930064</v>
      </c>
      <c r="P23" s="41">
        <f>O23/'D) Ecrêtage'!C24</f>
        <v>-0.70297766701425157</v>
      </c>
      <c r="Q23" s="143"/>
    </row>
    <row r="24" spans="1:17" x14ac:dyDescent="0.25">
      <c r="A24" s="57">
        <f>+'A) Base RI'!A26</f>
        <v>5425</v>
      </c>
      <c r="B24" s="350" t="str">
        <f>+'A) Base RI'!B26</f>
        <v>Bière</v>
      </c>
      <c r="C24" s="364">
        <f>+'D) Ecrêtage'!M24</f>
        <v>39413.041470588236</v>
      </c>
      <c r="D24" s="332">
        <v>515412</v>
      </c>
      <c r="E24" s="364">
        <v>118390</v>
      </c>
      <c r="F24" s="332">
        <v>195317</v>
      </c>
      <c r="G24" s="364">
        <f t="shared" si="0"/>
        <v>829119</v>
      </c>
      <c r="H24" s="332">
        <f t="shared" si="1"/>
        <v>315304.33176470589</v>
      </c>
      <c r="I24" s="14">
        <f t="shared" si="2"/>
        <v>513814.66823529411</v>
      </c>
      <c r="J24" s="361">
        <f t="shared" si="3"/>
        <v>-377082.04282617231</v>
      </c>
      <c r="K24" s="19">
        <v>191343</v>
      </c>
      <c r="L24" s="14">
        <f t="shared" si="4"/>
        <v>39413.041470588236</v>
      </c>
      <c r="M24" s="19">
        <f t="shared" si="5"/>
        <v>151929.95852941176</v>
      </c>
      <c r="N24" s="4">
        <f t="shared" si="6"/>
        <v>-111499.46210280446</v>
      </c>
      <c r="O24" s="147">
        <f t="shared" si="7"/>
        <v>-488581.50492897676</v>
      </c>
      <c r="P24" s="41">
        <f>O24/'D) Ecrêtage'!C25</f>
        <v>-11.477747024980957</v>
      </c>
      <c r="Q24" s="143"/>
    </row>
    <row r="25" spans="1:17" x14ac:dyDescent="0.25">
      <c r="A25" s="57">
        <f>+'A) Base RI'!A27</f>
        <v>5426</v>
      </c>
      <c r="B25" s="350" t="str">
        <f>+'A) Base RI'!B27</f>
        <v>Bougy-Villars</v>
      </c>
      <c r="C25" s="364">
        <f>+'D) Ecrêtage'!M25</f>
        <v>39109.793972366126</v>
      </c>
      <c r="D25" s="332">
        <v>48052</v>
      </c>
      <c r="E25" s="364">
        <v>12965</v>
      </c>
      <c r="F25" s="332">
        <v>48582</v>
      </c>
      <c r="G25" s="364">
        <f t="shared" si="0"/>
        <v>109599</v>
      </c>
      <c r="H25" s="332">
        <f t="shared" si="1"/>
        <v>312878.35177892901</v>
      </c>
      <c r="I25" s="14">
        <f t="shared" si="2"/>
        <v>0</v>
      </c>
      <c r="J25" s="361">
        <f t="shared" si="3"/>
        <v>0</v>
      </c>
      <c r="K25" s="19">
        <v>5084</v>
      </c>
      <c r="L25" s="14">
        <f t="shared" si="4"/>
        <v>39109.793972366126</v>
      </c>
      <c r="M25" s="19">
        <f t="shared" si="5"/>
        <v>0</v>
      </c>
      <c r="N25" s="4">
        <f t="shared" si="6"/>
        <v>0</v>
      </c>
      <c r="O25" s="147">
        <f t="shared" si="7"/>
        <v>0</v>
      </c>
      <c r="P25" s="41">
        <f>O25/'D) Ecrêtage'!C26</f>
        <v>0</v>
      </c>
      <c r="Q25" s="143"/>
    </row>
    <row r="26" spans="1:17" x14ac:dyDescent="0.25">
      <c r="A26" s="57">
        <f>+'A) Base RI'!A28</f>
        <v>5427</v>
      </c>
      <c r="B26" s="350" t="str">
        <f>+'A) Base RI'!B28</f>
        <v>Féchy</v>
      </c>
      <c r="C26" s="364">
        <f>+'D) Ecrêtage'!M26</f>
        <v>64993.710901769446</v>
      </c>
      <c r="D26" s="332">
        <v>124157</v>
      </c>
      <c r="E26" s="364">
        <v>32592</v>
      </c>
      <c r="F26" s="332">
        <v>95833</v>
      </c>
      <c r="G26" s="364">
        <f t="shared" si="0"/>
        <v>252582</v>
      </c>
      <c r="H26" s="332">
        <f t="shared" si="1"/>
        <v>519949.68721415557</v>
      </c>
      <c r="I26" s="14">
        <f t="shared" si="2"/>
        <v>0</v>
      </c>
      <c r="J26" s="361">
        <f t="shared" si="3"/>
        <v>0</v>
      </c>
      <c r="K26" s="19">
        <v>3526</v>
      </c>
      <c r="L26" s="14">
        <f t="shared" si="4"/>
        <v>64993.710901769446</v>
      </c>
      <c r="M26" s="19">
        <f t="shared" si="5"/>
        <v>0</v>
      </c>
      <c r="N26" s="4">
        <f t="shared" si="6"/>
        <v>0</v>
      </c>
      <c r="O26" s="147">
        <f t="shared" si="7"/>
        <v>0</v>
      </c>
      <c r="P26" s="41">
        <f>O26/'D) Ecrêtage'!C27</f>
        <v>0</v>
      </c>
      <c r="Q26" s="143"/>
    </row>
    <row r="27" spans="1:17" x14ac:dyDescent="0.25">
      <c r="A27" s="57">
        <f>+'A) Base RI'!A29</f>
        <v>5428</v>
      </c>
      <c r="B27" s="350" t="str">
        <f>+'A) Base RI'!B29</f>
        <v>Gimel</v>
      </c>
      <c r="C27" s="364">
        <f>+'D) Ecrêtage'!M27</f>
        <v>58004.622727272719</v>
      </c>
      <c r="D27" s="332">
        <v>543192</v>
      </c>
      <c r="E27" s="364">
        <v>83414</v>
      </c>
      <c r="F27" s="332">
        <v>242801</v>
      </c>
      <c r="G27" s="364">
        <f t="shared" si="0"/>
        <v>869407</v>
      </c>
      <c r="H27" s="332">
        <f t="shared" si="1"/>
        <v>464036.98181818175</v>
      </c>
      <c r="I27" s="14">
        <f t="shared" si="2"/>
        <v>405370.01818181825</v>
      </c>
      <c r="J27" s="361">
        <f t="shared" si="3"/>
        <v>-297495.89493323612</v>
      </c>
      <c r="K27" s="19">
        <v>50014</v>
      </c>
      <c r="L27" s="14">
        <f t="shared" si="4"/>
        <v>58004.622727272719</v>
      </c>
      <c r="M27" s="19">
        <f t="shared" si="5"/>
        <v>0</v>
      </c>
      <c r="N27" s="4">
        <f t="shared" si="6"/>
        <v>0</v>
      </c>
      <c r="O27" s="147">
        <f t="shared" si="7"/>
        <v>-297495.89493323612</v>
      </c>
      <c r="P27" s="41">
        <f>O27/'D) Ecrêtage'!C28</f>
        <v>-24.442309768720197</v>
      </c>
      <c r="Q27" s="143"/>
    </row>
    <row r="28" spans="1:17" x14ac:dyDescent="0.25">
      <c r="A28" s="57">
        <f>+'A) Base RI'!A30</f>
        <v>5429</v>
      </c>
      <c r="B28" s="350" t="str">
        <f>+'A) Base RI'!B30</f>
        <v>Longirod</v>
      </c>
      <c r="C28" s="364">
        <f>+'D) Ecrêtage'!M28</f>
        <v>12171.349506172839</v>
      </c>
      <c r="D28" s="332">
        <v>183995</v>
      </c>
      <c r="E28" s="364">
        <v>16959</v>
      </c>
      <c r="F28" s="332">
        <v>45711</v>
      </c>
      <c r="G28" s="364">
        <f t="shared" si="0"/>
        <v>246665</v>
      </c>
      <c r="H28" s="332">
        <f t="shared" si="1"/>
        <v>97370.796049382712</v>
      </c>
      <c r="I28" s="14">
        <f t="shared" si="2"/>
        <v>149294.20395061729</v>
      </c>
      <c r="J28" s="361">
        <f t="shared" si="3"/>
        <v>-109565.11537741064</v>
      </c>
      <c r="K28" s="19">
        <v>-8972</v>
      </c>
      <c r="L28" s="14">
        <f t="shared" si="4"/>
        <v>12171.349506172839</v>
      </c>
      <c r="M28" s="19">
        <f t="shared" si="5"/>
        <v>0</v>
      </c>
      <c r="N28" s="4">
        <f t="shared" si="6"/>
        <v>0</v>
      </c>
      <c r="O28" s="147">
        <f t="shared" si="7"/>
        <v>-109565.11537741064</v>
      </c>
      <c r="P28" s="41">
        <f>O28/'D) Ecrêtage'!C29</f>
        <v>-10.362565363335856</v>
      </c>
      <c r="Q28" s="143"/>
    </row>
    <row r="29" spans="1:17" x14ac:dyDescent="0.25">
      <c r="A29" s="57">
        <f>+'A) Base RI'!A31</f>
        <v>5430</v>
      </c>
      <c r="B29" s="350" t="str">
        <f>+'A) Base RI'!B31</f>
        <v>Marchissy</v>
      </c>
      <c r="C29" s="364">
        <f>+'D) Ecrêtage'!M29</f>
        <v>10573.165189873416</v>
      </c>
      <c r="D29" s="332">
        <v>137338</v>
      </c>
      <c r="E29" s="364">
        <v>16410</v>
      </c>
      <c r="F29" s="332">
        <v>46621</v>
      </c>
      <c r="G29" s="364">
        <f t="shared" si="0"/>
        <v>200369</v>
      </c>
      <c r="H29" s="332">
        <f t="shared" si="1"/>
        <v>84585.32151898733</v>
      </c>
      <c r="I29" s="14">
        <f t="shared" si="2"/>
        <v>115783.67848101267</v>
      </c>
      <c r="J29" s="361">
        <f t="shared" si="3"/>
        <v>-84972.167411062561</v>
      </c>
      <c r="K29" s="19">
        <v>75471</v>
      </c>
      <c r="L29" s="14">
        <f t="shared" si="4"/>
        <v>10573.165189873416</v>
      </c>
      <c r="M29" s="19">
        <f t="shared" si="5"/>
        <v>64897.834810126587</v>
      </c>
      <c r="N29" s="4">
        <f t="shared" si="6"/>
        <v>-47627.694649603684</v>
      </c>
      <c r="O29" s="147">
        <f t="shared" si="7"/>
        <v>-132599.86206066626</v>
      </c>
      <c r="P29" s="41">
        <f>O29/'D) Ecrêtage'!C30</f>
        <v>-11.832901506451464</v>
      </c>
      <c r="Q29" s="143"/>
    </row>
    <row r="30" spans="1:17" x14ac:dyDescent="0.25">
      <c r="A30" s="57">
        <f>+'A) Base RI'!A32</f>
        <v>5431</v>
      </c>
      <c r="B30" s="350" t="str">
        <f>+'A) Base RI'!B32</f>
        <v>Mollens</v>
      </c>
      <c r="C30" s="364">
        <f>+'D) Ecrêtage'!M30</f>
        <v>11206.031081081082</v>
      </c>
      <c r="D30" s="332">
        <v>28338</v>
      </c>
      <c r="E30" s="364">
        <v>10386</v>
      </c>
      <c r="F30" s="332">
        <v>32428</v>
      </c>
      <c r="G30" s="364">
        <f t="shared" si="0"/>
        <v>71152</v>
      </c>
      <c r="H30" s="332">
        <f t="shared" si="1"/>
        <v>89648.24864864866</v>
      </c>
      <c r="I30" s="14">
        <f t="shared" si="2"/>
        <v>0</v>
      </c>
      <c r="J30" s="361">
        <f t="shared" si="3"/>
        <v>0</v>
      </c>
      <c r="K30" s="19">
        <v>35801</v>
      </c>
      <c r="L30" s="14">
        <f t="shared" si="4"/>
        <v>11206.031081081082</v>
      </c>
      <c r="M30" s="19">
        <f t="shared" si="5"/>
        <v>24594.968918918916</v>
      </c>
      <c r="N30" s="4">
        <f t="shared" si="6"/>
        <v>-18049.934531929546</v>
      </c>
      <c r="O30" s="147">
        <f t="shared" si="7"/>
        <v>-18049.934531929546</v>
      </c>
      <c r="P30" s="41">
        <f>O30/'D) Ecrêtage'!C31</f>
        <v>-1.0183079055527777</v>
      </c>
      <c r="Q30" s="143"/>
    </row>
    <row r="31" spans="1:17" x14ac:dyDescent="0.25">
      <c r="A31" s="57">
        <f>+'A) Base RI'!A33</f>
        <v>5432</v>
      </c>
      <c r="B31" s="350" t="str">
        <f>+'A) Base RI'!B33</f>
        <v>Montherod</v>
      </c>
      <c r="C31" s="364">
        <f>+'D) Ecrêtage'!M31</f>
        <v>17725.419230769232</v>
      </c>
      <c r="D31" s="332">
        <v>75342</v>
      </c>
      <c r="E31" s="364">
        <v>19146</v>
      </c>
      <c r="F31" s="332">
        <v>61363</v>
      </c>
      <c r="G31" s="364">
        <f t="shared" si="0"/>
        <v>155851</v>
      </c>
      <c r="H31" s="332">
        <f t="shared" si="1"/>
        <v>141803.35384615386</v>
      </c>
      <c r="I31" s="14">
        <f t="shared" si="2"/>
        <v>14047.646153846144</v>
      </c>
      <c r="J31" s="361">
        <f t="shared" si="3"/>
        <v>-10309.388649383181</v>
      </c>
      <c r="K31" s="19">
        <v>3776</v>
      </c>
      <c r="L31" s="14">
        <f t="shared" si="4"/>
        <v>17725.419230769232</v>
      </c>
      <c r="M31" s="19">
        <f t="shared" si="5"/>
        <v>0</v>
      </c>
      <c r="N31" s="4">
        <f t="shared" si="6"/>
        <v>0</v>
      </c>
      <c r="O31" s="147">
        <f t="shared" si="7"/>
        <v>-10309.388649383181</v>
      </c>
      <c r="P31" s="41">
        <f>O31/'D) Ecrêtage'!C32</f>
        <v>-0.28720375194839387</v>
      </c>
      <c r="Q31" s="143"/>
    </row>
    <row r="32" spans="1:17" x14ac:dyDescent="0.25">
      <c r="A32" s="57">
        <f>+'A) Base RI'!A34</f>
        <v>5434</v>
      </c>
      <c r="B32" s="350" t="str">
        <f>+'A) Base RI'!B34</f>
        <v>Saint-George</v>
      </c>
      <c r="C32" s="364">
        <f>+'D) Ecrêtage'!M32</f>
        <v>35895.731094890507</v>
      </c>
      <c r="D32" s="332">
        <v>181763</v>
      </c>
      <c r="E32" s="364">
        <v>42060</v>
      </c>
      <c r="F32" s="332">
        <v>109100</v>
      </c>
      <c r="G32" s="364">
        <f t="shared" si="0"/>
        <v>332923</v>
      </c>
      <c r="H32" s="332">
        <f t="shared" si="1"/>
        <v>287165.84875912406</v>
      </c>
      <c r="I32" s="14">
        <f t="shared" si="2"/>
        <v>45757.151240875944</v>
      </c>
      <c r="J32" s="361">
        <f t="shared" si="3"/>
        <v>-33580.590688614422</v>
      </c>
      <c r="K32" s="19">
        <v>89854</v>
      </c>
      <c r="L32" s="14">
        <f t="shared" si="4"/>
        <v>35895.731094890507</v>
      </c>
      <c r="M32" s="19">
        <f t="shared" si="5"/>
        <v>53958.268905109493</v>
      </c>
      <c r="N32" s="4">
        <f t="shared" si="6"/>
        <v>-39599.286520923415</v>
      </c>
      <c r="O32" s="147">
        <f t="shared" si="7"/>
        <v>-73179.877209537837</v>
      </c>
      <c r="P32" s="41">
        <f>O32/'D) Ecrêtage'!C33</f>
        <v>-3.2672316229110789</v>
      </c>
      <c r="Q32" s="143"/>
    </row>
    <row r="33" spans="1:17" x14ac:dyDescent="0.25">
      <c r="A33" s="57">
        <f>+'A) Base RI'!A35</f>
        <v>5435</v>
      </c>
      <c r="B33" s="350" t="str">
        <f>+'A) Base RI'!B35</f>
        <v>Saint-Livres</v>
      </c>
      <c r="C33" s="364">
        <f>+'D) Ecrêtage'!M33</f>
        <v>22398.12956521739</v>
      </c>
      <c r="D33" s="332">
        <v>168891</v>
      </c>
      <c r="E33" s="364">
        <v>43834</v>
      </c>
      <c r="F33" s="332">
        <v>86998</v>
      </c>
      <c r="G33" s="364">
        <f t="shared" si="0"/>
        <v>299723</v>
      </c>
      <c r="H33" s="332">
        <f t="shared" si="1"/>
        <v>179185.03652173912</v>
      </c>
      <c r="I33" s="14">
        <f t="shared" si="2"/>
        <v>120537.96347826088</v>
      </c>
      <c r="J33" s="361">
        <f t="shared" si="3"/>
        <v>-88461.276636179537</v>
      </c>
      <c r="K33" s="19">
        <v>-4124</v>
      </c>
      <c r="L33" s="14">
        <f t="shared" si="4"/>
        <v>22398.12956521739</v>
      </c>
      <c r="M33" s="19">
        <f t="shared" si="5"/>
        <v>0</v>
      </c>
      <c r="N33" s="4">
        <f t="shared" si="6"/>
        <v>0</v>
      </c>
      <c r="O33" s="147">
        <f t="shared" si="7"/>
        <v>-88461.276636179537</v>
      </c>
      <c r="P33" s="41">
        <f>O33/'D) Ecrêtage'!C34</f>
        <v>-8.4453092216962542</v>
      </c>
      <c r="Q33" s="143"/>
    </row>
    <row r="34" spans="1:17" x14ac:dyDescent="0.25">
      <c r="A34" s="57">
        <f>+'A) Base RI'!A36</f>
        <v>5436</v>
      </c>
      <c r="B34" s="350" t="str">
        <f>+'A) Base RI'!B36</f>
        <v>Saint-Oyens</v>
      </c>
      <c r="C34" s="364">
        <f>+'D) Ecrêtage'!M34</f>
        <v>10474.604814814815</v>
      </c>
      <c r="D34" s="332">
        <v>60268</v>
      </c>
      <c r="E34" s="364">
        <v>17791</v>
      </c>
      <c r="F34" s="332">
        <v>32504</v>
      </c>
      <c r="G34" s="364">
        <f t="shared" si="0"/>
        <v>110563</v>
      </c>
      <c r="H34" s="332">
        <f t="shared" si="1"/>
        <v>83796.838518518518</v>
      </c>
      <c r="I34" s="14">
        <f t="shared" si="2"/>
        <v>26766.161481481482</v>
      </c>
      <c r="J34" s="361">
        <f t="shared" si="3"/>
        <v>-19643.345108688645</v>
      </c>
      <c r="K34" s="19">
        <v>43358</v>
      </c>
      <c r="L34" s="14">
        <f t="shared" si="4"/>
        <v>10474.604814814815</v>
      </c>
      <c r="M34" s="19">
        <f t="shared" si="5"/>
        <v>32883.395185185189</v>
      </c>
      <c r="N34" s="4">
        <f t="shared" si="6"/>
        <v>-24132.70503560569</v>
      </c>
      <c r="O34" s="147">
        <f t="shared" si="7"/>
        <v>-43776.050144294335</v>
      </c>
      <c r="P34" s="41">
        <f>O34/'D) Ecrêtage'!C35</f>
        <v>-4.3176786038125554</v>
      </c>
      <c r="Q34" s="143"/>
    </row>
    <row r="35" spans="1:17" x14ac:dyDescent="0.25">
      <c r="A35" s="57">
        <f>+'A) Base RI'!A37</f>
        <v>5437</v>
      </c>
      <c r="B35" s="350" t="str">
        <f>+'A) Base RI'!B37</f>
        <v>Saubraz</v>
      </c>
      <c r="C35" s="364">
        <f>+'D) Ecrêtage'!M35</f>
        <v>10138.793125</v>
      </c>
      <c r="D35" s="332">
        <v>70057</v>
      </c>
      <c r="E35" s="364">
        <v>9548</v>
      </c>
      <c r="F35" s="332">
        <v>60823</v>
      </c>
      <c r="G35" s="364">
        <f t="shared" si="0"/>
        <v>140428</v>
      </c>
      <c r="H35" s="332">
        <f t="shared" si="1"/>
        <v>81110.345000000001</v>
      </c>
      <c r="I35" s="14">
        <f t="shared" si="2"/>
        <v>59317.654999999999</v>
      </c>
      <c r="J35" s="361">
        <f t="shared" si="3"/>
        <v>-43532.471737095635</v>
      </c>
      <c r="K35" s="19">
        <v>16837</v>
      </c>
      <c r="L35" s="14">
        <f t="shared" si="4"/>
        <v>10138.793125</v>
      </c>
      <c r="M35" s="19">
        <f t="shared" si="5"/>
        <v>6698.2068749999999</v>
      </c>
      <c r="N35" s="4">
        <f t="shared" si="6"/>
        <v>-4915.7287400379737</v>
      </c>
      <c r="O35" s="147">
        <f t="shared" si="7"/>
        <v>-48448.200477133607</v>
      </c>
      <c r="P35" s="41">
        <f>O35/'D) Ecrêtage'!C36</f>
        <v>-0.44363305467401121</v>
      </c>
      <c r="Q35" s="143"/>
    </row>
    <row r="36" spans="1:17" x14ac:dyDescent="0.25">
      <c r="A36" s="57">
        <f>+'A) Base RI'!A38</f>
        <v>5451</v>
      </c>
      <c r="B36" s="350" t="str">
        <f>+'A) Base RI'!B38</f>
        <v>Avenches</v>
      </c>
      <c r="C36" s="364">
        <f>+'D) Ecrêtage'!M36</f>
        <v>109207.82382352941</v>
      </c>
      <c r="D36" s="332">
        <v>2014832</v>
      </c>
      <c r="E36" s="364">
        <v>542618</v>
      </c>
      <c r="F36" s="332">
        <v>547212</v>
      </c>
      <c r="G36" s="364">
        <f t="shared" si="0"/>
        <v>3104662</v>
      </c>
      <c r="H36" s="332">
        <f t="shared" si="1"/>
        <v>873662.5905882353</v>
      </c>
      <c r="I36" s="14">
        <f t="shared" si="2"/>
        <v>2230999.4094117647</v>
      </c>
      <c r="J36" s="361">
        <f t="shared" si="3"/>
        <v>-1637302.0601656404</v>
      </c>
      <c r="K36" s="19">
        <v>133424</v>
      </c>
      <c r="L36" s="14">
        <f t="shared" si="4"/>
        <v>109207.82382352941</v>
      </c>
      <c r="M36" s="19">
        <f t="shared" si="5"/>
        <v>24216.176176470588</v>
      </c>
      <c r="N36" s="4">
        <f t="shared" si="6"/>
        <v>-17771.943361259553</v>
      </c>
      <c r="O36" s="147">
        <f t="shared" si="7"/>
        <v>-1655074.0035269</v>
      </c>
      <c r="P36" s="41">
        <f>O36/'D) Ecrêtage'!C37</f>
        <v>-32.216293186101581</v>
      </c>
      <c r="Q36" s="143"/>
    </row>
    <row r="37" spans="1:17" x14ac:dyDescent="0.25">
      <c r="A37" s="57">
        <f>+'A) Base RI'!A39</f>
        <v>5456</v>
      </c>
      <c r="B37" s="350" t="str">
        <f>+'A) Base RI'!B39</f>
        <v>Cudrefin</v>
      </c>
      <c r="C37" s="364">
        <f>+'D) Ecrêtage'!M37</f>
        <v>51373.818644067804</v>
      </c>
      <c r="D37" s="332">
        <v>520297</v>
      </c>
      <c r="E37" s="364">
        <v>69578</v>
      </c>
      <c r="F37" s="332">
        <v>227272</v>
      </c>
      <c r="G37" s="364">
        <f t="shared" si="0"/>
        <v>817147</v>
      </c>
      <c r="H37" s="332">
        <f t="shared" si="1"/>
        <v>410990.54915254243</v>
      </c>
      <c r="I37" s="14">
        <f t="shared" si="2"/>
        <v>406156.45084745757</v>
      </c>
      <c r="J37" s="361">
        <f t="shared" si="3"/>
        <v>-298073.0478532238</v>
      </c>
      <c r="K37" s="19">
        <v>31195</v>
      </c>
      <c r="L37" s="14">
        <f t="shared" si="4"/>
        <v>51373.818644067804</v>
      </c>
      <c r="M37" s="19">
        <f t="shared" si="5"/>
        <v>0</v>
      </c>
      <c r="N37" s="4">
        <f t="shared" si="6"/>
        <v>0</v>
      </c>
      <c r="O37" s="147">
        <f t="shared" si="7"/>
        <v>-298073.0478532238</v>
      </c>
      <c r="P37" s="41">
        <f>O37/'D) Ecrêtage'!C38</f>
        <v>-9.4052812525552927</v>
      </c>
      <c r="Q37" s="143"/>
    </row>
    <row r="38" spans="1:17" x14ac:dyDescent="0.25">
      <c r="A38" s="57">
        <f>+'A) Base RI'!A40</f>
        <v>5458</v>
      </c>
      <c r="B38" s="350" t="str">
        <f>+'A) Base RI'!B40</f>
        <v>Faoug</v>
      </c>
      <c r="C38" s="364">
        <f>+'D) Ecrêtage'!M38</f>
        <v>31692.092968750003</v>
      </c>
      <c r="D38" s="332">
        <v>192887</v>
      </c>
      <c r="E38" s="364">
        <v>52198</v>
      </c>
      <c r="F38" s="332">
        <v>111446</v>
      </c>
      <c r="G38" s="364">
        <f t="shared" si="0"/>
        <v>356531</v>
      </c>
      <c r="H38" s="332">
        <f t="shared" si="1"/>
        <v>253536.74375000002</v>
      </c>
      <c r="I38" s="14">
        <f t="shared" si="2"/>
        <v>102994.25624999998</v>
      </c>
      <c r="J38" s="361">
        <f t="shared" si="3"/>
        <v>-75586.17327819702</v>
      </c>
      <c r="K38" s="19">
        <v>27107</v>
      </c>
      <c r="L38" s="14">
        <f t="shared" si="4"/>
        <v>31692.092968750003</v>
      </c>
      <c r="M38" s="19">
        <f t="shared" si="5"/>
        <v>0</v>
      </c>
      <c r="N38" s="4">
        <f t="shared" si="6"/>
        <v>0</v>
      </c>
      <c r="O38" s="147">
        <f t="shared" si="7"/>
        <v>-75586.17327819702</v>
      </c>
      <c r="P38" s="41">
        <f>O38/'D) Ecrêtage'!C39</f>
        <v>-0.78481851339897346</v>
      </c>
      <c r="Q38" s="143"/>
    </row>
    <row r="39" spans="1:17" x14ac:dyDescent="0.25">
      <c r="A39" s="57">
        <f>+'A) Base RI'!A41</f>
        <v>5464</v>
      </c>
      <c r="B39" s="350" t="str">
        <f>+'A) Base RI'!B41</f>
        <v>Vully-les-Lacs</v>
      </c>
      <c r="C39" s="364">
        <f>+'D) Ecrêtage'!M39</f>
        <v>96310.385124378095</v>
      </c>
      <c r="D39" s="332">
        <v>1017038</v>
      </c>
      <c r="E39" s="364">
        <v>129655</v>
      </c>
      <c r="F39" s="332">
        <v>356109</v>
      </c>
      <c r="G39" s="364">
        <f t="shared" si="0"/>
        <v>1502802</v>
      </c>
      <c r="H39" s="332">
        <f t="shared" si="1"/>
        <v>770483.08099502476</v>
      </c>
      <c r="I39" s="14">
        <f t="shared" si="2"/>
        <v>732318.91900497524</v>
      </c>
      <c r="J39" s="361">
        <f t="shared" si="3"/>
        <v>-537439.53034091648</v>
      </c>
      <c r="K39" s="19">
        <v>50349</v>
      </c>
      <c r="L39" s="14">
        <f t="shared" si="4"/>
        <v>96310.385124378095</v>
      </c>
      <c r="M39" s="19">
        <f t="shared" si="5"/>
        <v>0</v>
      </c>
      <c r="N39" s="4">
        <f t="shared" si="6"/>
        <v>0</v>
      </c>
      <c r="O39" s="147">
        <f t="shared" si="7"/>
        <v>-537439.53034091648</v>
      </c>
      <c r="P39" s="41">
        <f>O39/'D) Ecrêtage'!C40</f>
        <v>-32.672910285231922</v>
      </c>
      <c r="Q39" s="143"/>
    </row>
    <row r="40" spans="1:17" x14ac:dyDescent="0.25">
      <c r="A40" s="57">
        <f>+'A) Base RI'!A42</f>
        <v>5471</v>
      </c>
      <c r="B40" s="350" t="str">
        <f>+'A) Base RI'!B42</f>
        <v>Bettens</v>
      </c>
      <c r="C40" s="364">
        <f>+'D) Ecrêtage'!M40</f>
        <v>16449.086587301586</v>
      </c>
      <c r="D40" s="332">
        <v>94117</v>
      </c>
      <c r="E40" s="364">
        <v>17731</v>
      </c>
      <c r="F40" s="332">
        <v>56730</v>
      </c>
      <c r="G40" s="364">
        <f t="shared" si="0"/>
        <v>168578</v>
      </c>
      <c r="H40" s="332">
        <f t="shared" si="1"/>
        <v>131592.69269841269</v>
      </c>
      <c r="I40" s="14">
        <f t="shared" si="2"/>
        <v>36985.307301587309</v>
      </c>
      <c r="J40" s="361">
        <f t="shared" si="3"/>
        <v>-27143.046109866387</v>
      </c>
      <c r="K40" s="19">
        <v>411</v>
      </c>
      <c r="L40" s="14">
        <f t="shared" si="4"/>
        <v>16449.086587301586</v>
      </c>
      <c r="M40" s="19">
        <f t="shared" si="5"/>
        <v>0</v>
      </c>
      <c r="N40" s="4">
        <f t="shared" si="6"/>
        <v>0</v>
      </c>
      <c r="O40" s="147">
        <f t="shared" si="7"/>
        <v>-27143.046109866387</v>
      </c>
      <c r="P40" s="41">
        <f>O40/'D) Ecrêtage'!C41</f>
        <v>-1.9125864202008673</v>
      </c>
      <c r="Q40" s="143"/>
    </row>
    <row r="41" spans="1:17" x14ac:dyDescent="0.25">
      <c r="A41" s="57">
        <f>+'A) Base RI'!A43</f>
        <v>5472</v>
      </c>
      <c r="B41" s="350" t="str">
        <f>+'A) Base RI'!B43</f>
        <v>Bournens</v>
      </c>
      <c r="C41" s="364">
        <f>+'D) Ecrêtage'!M41</f>
        <v>14191.801124999998</v>
      </c>
      <c r="D41" s="332">
        <v>58139</v>
      </c>
      <c r="E41" s="364">
        <v>11874</v>
      </c>
      <c r="F41" s="332">
        <v>22103</v>
      </c>
      <c r="G41" s="364">
        <f t="shared" si="0"/>
        <v>92116</v>
      </c>
      <c r="H41" s="332">
        <f t="shared" si="1"/>
        <v>113534.40899999999</v>
      </c>
      <c r="I41" s="14">
        <f t="shared" si="2"/>
        <v>0</v>
      </c>
      <c r="J41" s="361">
        <f t="shared" si="3"/>
        <v>0</v>
      </c>
      <c r="K41" s="19">
        <v>64188</v>
      </c>
      <c r="L41" s="14">
        <f t="shared" si="4"/>
        <v>14191.801124999998</v>
      </c>
      <c r="M41" s="19">
        <f t="shared" si="5"/>
        <v>49996.198875000002</v>
      </c>
      <c r="N41" s="4">
        <f t="shared" si="6"/>
        <v>-36691.573773240874</v>
      </c>
      <c r="O41" s="147">
        <f t="shared" si="7"/>
        <v>-36691.573773240874</v>
      </c>
      <c r="P41" s="41">
        <f>O41/'D) Ecrêtage'!C42</f>
        <v>-1.1201121751360064</v>
      </c>
      <c r="Q41" s="143"/>
    </row>
    <row r="42" spans="1:17" x14ac:dyDescent="0.25">
      <c r="A42" s="57">
        <f>+'A) Base RI'!A44</f>
        <v>5473</v>
      </c>
      <c r="B42" s="350" t="str">
        <f>+'A) Base RI'!B44</f>
        <v>Boussens</v>
      </c>
      <c r="C42" s="364">
        <f>+'D) Ecrêtage'!M42</f>
        <v>32757.052898550723</v>
      </c>
      <c r="D42" s="332">
        <v>31280</v>
      </c>
      <c r="E42" s="364">
        <v>45745</v>
      </c>
      <c r="F42" s="332">
        <v>49816</v>
      </c>
      <c r="G42" s="364">
        <f t="shared" si="0"/>
        <v>126841</v>
      </c>
      <c r="H42" s="332">
        <f t="shared" si="1"/>
        <v>262056.42318840578</v>
      </c>
      <c r="I42" s="14">
        <f t="shared" si="2"/>
        <v>0</v>
      </c>
      <c r="J42" s="361">
        <f t="shared" si="3"/>
        <v>0</v>
      </c>
      <c r="K42" s="19">
        <v>16359</v>
      </c>
      <c r="L42" s="14">
        <f t="shared" si="4"/>
        <v>32757.052898550723</v>
      </c>
      <c r="M42" s="19">
        <f t="shared" si="5"/>
        <v>0</v>
      </c>
      <c r="N42" s="4">
        <f t="shared" si="6"/>
        <v>0</v>
      </c>
      <c r="O42" s="147">
        <f t="shared" si="7"/>
        <v>0</v>
      </c>
      <c r="P42" s="41">
        <f>O42/'D) Ecrêtage'!C43</f>
        <v>0</v>
      </c>
      <c r="Q42" s="143"/>
    </row>
    <row r="43" spans="1:17" x14ac:dyDescent="0.25">
      <c r="A43" s="57">
        <f>+'A) Base RI'!A45</f>
        <v>5474</v>
      </c>
      <c r="B43" s="350" t="str">
        <f>+'A) Base RI'!B45</f>
        <v>La Chaux (Cossonay)</v>
      </c>
      <c r="C43" s="364">
        <f>+'D) Ecrêtage'!M43</f>
        <v>12924.858852813852</v>
      </c>
      <c r="D43" s="332">
        <v>170426</v>
      </c>
      <c r="E43" s="364">
        <v>14872</v>
      </c>
      <c r="F43" s="332">
        <v>48087</v>
      </c>
      <c r="G43" s="364">
        <f t="shared" si="0"/>
        <v>233385</v>
      </c>
      <c r="H43" s="332">
        <f t="shared" si="1"/>
        <v>103398.87082251081</v>
      </c>
      <c r="I43" s="14">
        <f t="shared" si="2"/>
        <v>129986.12917748919</v>
      </c>
      <c r="J43" s="361">
        <f t="shared" si="3"/>
        <v>-95395.165143219347</v>
      </c>
      <c r="K43" s="19">
        <v>31353</v>
      </c>
      <c r="L43" s="14">
        <f t="shared" si="4"/>
        <v>12924.858852813852</v>
      </c>
      <c r="M43" s="19">
        <f t="shared" si="5"/>
        <v>18428.14114718615</v>
      </c>
      <c r="N43" s="4">
        <f t="shared" si="6"/>
        <v>-13524.178149946931</v>
      </c>
      <c r="O43" s="147">
        <f t="shared" si="7"/>
        <v>-108919.34329316628</v>
      </c>
      <c r="P43" s="41">
        <f>O43/'D) Ecrêtage'!C44</f>
        <v>-40.751109537543243</v>
      </c>
      <c r="Q43" s="143"/>
    </row>
    <row r="44" spans="1:17" x14ac:dyDescent="0.25">
      <c r="A44" s="57">
        <f>+'A) Base RI'!A46</f>
        <v>5475</v>
      </c>
      <c r="B44" s="350" t="str">
        <f>+'A) Base RI'!B46</f>
        <v>Chavannes-le-Veyron</v>
      </c>
      <c r="C44" s="364">
        <f>+'D) Ecrêtage'!M44</f>
        <v>2672.7945454545452</v>
      </c>
      <c r="D44" s="332">
        <v>42066</v>
      </c>
      <c r="E44" s="364">
        <v>4239</v>
      </c>
      <c r="F44" s="332">
        <v>22365</v>
      </c>
      <c r="G44" s="364">
        <f t="shared" si="0"/>
        <v>68670</v>
      </c>
      <c r="H44" s="332">
        <f t="shared" si="1"/>
        <v>21382.356363636361</v>
      </c>
      <c r="I44" s="14">
        <f t="shared" si="2"/>
        <v>47287.643636363639</v>
      </c>
      <c r="J44" s="361">
        <f t="shared" si="3"/>
        <v>-34703.799570530064</v>
      </c>
      <c r="K44" s="19">
        <v>20700</v>
      </c>
      <c r="L44" s="14">
        <f t="shared" si="4"/>
        <v>2672.7945454545452</v>
      </c>
      <c r="M44" s="19">
        <f t="shared" si="5"/>
        <v>18027.205454545456</v>
      </c>
      <c r="N44" s="4">
        <f t="shared" si="6"/>
        <v>-13229.936550067874</v>
      </c>
      <c r="O44" s="147">
        <f t="shared" si="7"/>
        <v>-47933.73612059794</v>
      </c>
      <c r="P44" s="41">
        <f>O44/'D) Ecrêtage'!C45</f>
        <v>-4.6773965531943551</v>
      </c>
      <c r="Q44" s="143"/>
    </row>
    <row r="45" spans="1:17" x14ac:dyDescent="0.25">
      <c r="A45" s="57">
        <f>+'A) Base RI'!A47</f>
        <v>5476</v>
      </c>
      <c r="B45" s="350" t="str">
        <f>+'A) Base RI'!B47</f>
        <v>Chevilly</v>
      </c>
      <c r="C45" s="364">
        <f>+'D) Ecrêtage'!M45</f>
        <v>10247.952162162162</v>
      </c>
      <c r="D45" s="332">
        <v>23297</v>
      </c>
      <c r="E45" s="364">
        <v>32877</v>
      </c>
      <c r="F45" s="332">
        <v>62987</v>
      </c>
      <c r="G45" s="364">
        <f t="shared" si="0"/>
        <v>119161</v>
      </c>
      <c r="H45" s="332">
        <f t="shared" si="1"/>
        <v>81983.6172972973</v>
      </c>
      <c r="I45" s="14">
        <f t="shared" si="2"/>
        <v>37177.3827027027</v>
      </c>
      <c r="J45" s="361">
        <f t="shared" si="3"/>
        <v>-27284.007801127565</v>
      </c>
      <c r="K45" s="19">
        <v>3032</v>
      </c>
      <c r="L45" s="14">
        <f t="shared" si="4"/>
        <v>10247.952162162162</v>
      </c>
      <c r="M45" s="19">
        <f t="shared" si="5"/>
        <v>0</v>
      </c>
      <c r="N45" s="4">
        <f t="shared" si="6"/>
        <v>0</v>
      </c>
      <c r="O45" s="147">
        <f t="shared" si="7"/>
        <v>-27284.007801127565</v>
      </c>
      <c r="P45" s="41">
        <f>O45/'D) Ecrêtage'!C46</f>
        <v>-0.2166479217790854</v>
      </c>
      <c r="Q45" s="143"/>
    </row>
    <row r="46" spans="1:17" x14ac:dyDescent="0.25">
      <c r="A46" s="57">
        <f>+'A) Base RI'!A48</f>
        <v>5477</v>
      </c>
      <c r="B46" s="350" t="str">
        <f>+'A) Base RI'!B48</f>
        <v>Cossonay</v>
      </c>
      <c r="C46" s="364">
        <f>+'D) Ecrêtage'!M46</f>
        <v>125937.08528138528</v>
      </c>
      <c r="D46" s="332">
        <v>1146060</v>
      </c>
      <c r="E46" s="364">
        <v>321646</v>
      </c>
      <c r="F46" s="332">
        <v>411439</v>
      </c>
      <c r="G46" s="364">
        <f t="shared" si="0"/>
        <v>1879145</v>
      </c>
      <c r="H46" s="332">
        <f t="shared" si="1"/>
        <v>1007496.6822510823</v>
      </c>
      <c r="I46" s="14">
        <f t="shared" si="2"/>
        <v>871648.31774891773</v>
      </c>
      <c r="J46" s="361">
        <f t="shared" si="3"/>
        <v>-639691.60205493157</v>
      </c>
      <c r="K46" s="19">
        <v>84602</v>
      </c>
      <c r="L46" s="14">
        <f t="shared" si="4"/>
        <v>125937.08528138528</v>
      </c>
      <c r="M46" s="19">
        <f t="shared" si="5"/>
        <v>0</v>
      </c>
      <c r="N46" s="4">
        <f t="shared" si="6"/>
        <v>0</v>
      </c>
      <c r="O46" s="147">
        <f t="shared" si="7"/>
        <v>-639691.60205493157</v>
      </c>
      <c r="P46" s="41">
        <f>O46/'D) Ecrêtage'!C47</f>
        <v>-44.222437087255365</v>
      </c>
      <c r="Q46" s="143"/>
    </row>
    <row r="47" spans="1:17" x14ac:dyDescent="0.25">
      <c r="A47" s="57">
        <f>+'A) Base RI'!A49</f>
        <v>5478</v>
      </c>
      <c r="B47" s="350" t="str">
        <f>+'A) Base RI'!B49</f>
        <v>Cottens</v>
      </c>
      <c r="C47" s="364">
        <f>+'D) Ecrêtage'!M47</f>
        <v>14465.317702702703</v>
      </c>
      <c r="D47" s="332">
        <v>42213</v>
      </c>
      <c r="E47" s="364">
        <v>16709</v>
      </c>
      <c r="F47" s="332">
        <v>70552</v>
      </c>
      <c r="G47" s="364">
        <f t="shared" si="0"/>
        <v>129474</v>
      </c>
      <c r="H47" s="332">
        <f t="shared" si="1"/>
        <v>115722.54162162163</v>
      </c>
      <c r="I47" s="14">
        <f t="shared" si="2"/>
        <v>13751.458378378375</v>
      </c>
      <c r="J47" s="361">
        <f t="shared" si="3"/>
        <v>-10092.02021220501</v>
      </c>
      <c r="K47" s="19">
        <v>3136</v>
      </c>
      <c r="L47" s="14">
        <f t="shared" si="4"/>
        <v>14465.317702702703</v>
      </c>
      <c r="M47" s="19">
        <f t="shared" si="5"/>
        <v>0</v>
      </c>
      <c r="N47" s="4">
        <f t="shared" si="6"/>
        <v>0</v>
      </c>
      <c r="O47" s="147">
        <f t="shared" si="7"/>
        <v>-10092.02021220501</v>
      </c>
      <c r="P47" s="41">
        <f>O47/'D) Ecrêtage'!C48</f>
        <v>-0.87279926341132852</v>
      </c>
      <c r="Q47" s="143"/>
    </row>
    <row r="48" spans="1:17" x14ac:dyDescent="0.25">
      <c r="A48" s="57">
        <f>+'A) Base RI'!A50</f>
        <v>5479</v>
      </c>
      <c r="B48" s="350" t="str">
        <f>+'A) Base RI'!B50</f>
        <v>Cuarnens</v>
      </c>
      <c r="C48" s="364">
        <f>+'D) Ecrêtage'!M48</f>
        <v>11562.819350649352</v>
      </c>
      <c r="D48" s="332">
        <v>213251</v>
      </c>
      <c r="E48" s="364">
        <v>15508</v>
      </c>
      <c r="F48" s="332">
        <v>85146</v>
      </c>
      <c r="G48" s="364">
        <f t="shared" si="0"/>
        <v>313905</v>
      </c>
      <c r="H48" s="332">
        <f t="shared" si="1"/>
        <v>92502.554805194814</v>
      </c>
      <c r="I48" s="14">
        <f t="shared" si="2"/>
        <v>221402.44519480519</v>
      </c>
      <c r="J48" s="361">
        <f t="shared" si="3"/>
        <v>-162484.4355018202</v>
      </c>
      <c r="K48" s="19">
        <v>124573</v>
      </c>
      <c r="L48" s="14">
        <f t="shared" si="4"/>
        <v>11562.819350649352</v>
      </c>
      <c r="M48" s="19">
        <f t="shared" si="5"/>
        <v>113010.18064935064</v>
      </c>
      <c r="N48" s="4">
        <f t="shared" si="6"/>
        <v>-82936.732666217664</v>
      </c>
      <c r="O48" s="147">
        <f t="shared" si="7"/>
        <v>-245421.16816803787</v>
      </c>
      <c r="P48" s="41">
        <f>O48/'D) Ecrêtage'!C49</f>
        <v>-7.0417913061971227</v>
      </c>
      <c r="Q48" s="143"/>
    </row>
    <row r="49" spans="1:17" x14ac:dyDescent="0.25">
      <c r="A49" s="57">
        <f>+'A) Base RI'!A51</f>
        <v>5480</v>
      </c>
      <c r="B49" s="350" t="str">
        <f>+'A) Base RI'!B51</f>
        <v>Daillens</v>
      </c>
      <c r="C49" s="364">
        <f>+'D) Ecrêtage'!M49</f>
        <v>34852.093380281687</v>
      </c>
      <c r="D49" s="332">
        <v>389439</v>
      </c>
      <c r="E49" s="364">
        <v>67409</v>
      </c>
      <c r="F49" s="332">
        <v>106161</v>
      </c>
      <c r="G49" s="364">
        <f t="shared" si="0"/>
        <v>563009</v>
      </c>
      <c r="H49" s="332">
        <f t="shared" si="1"/>
        <v>278816.7470422535</v>
      </c>
      <c r="I49" s="14">
        <f t="shared" si="2"/>
        <v>284192.2529577465</v>
      </c>
      <c r="J49" s="361">
        <f t="shared" si="3"/>
        <v>-208565.07594213955</v>
      </c>
      <c r="K49" s="19">
        <v>21063</v>
      </c>
      <c r="L49" s="14">
        <f t="shared" si="4"/>
        <v>34852.093380281687</v>
      </c>
      <c r="M49" s="19">
        <f t="shared" si="5"/>
        <v>0</v>
      </c>
      <c r="N49" s="4">
        <f t="shared" si="6"/>
        <v>0</v>
      </c>
      <c r="O49" s="147">
        <f t="shared" si="7"/>
        <v>-208565.07594213955</v>
      </c>
      <c r="P49" s="41">
        <f>O49/'D) Ecrêtage'!C50</f>
        <v>-23.433612949103342</v>
      </c>
      <c r="Q49" s="143"/>
    </row>
    <row r="50" spans="1:17" x14ac:dyDescent="0.25">
      <c r="A50" s="57">
        <f>+'A) Base RI'!A52</f>
        <v>5481</v>
      </c>
      <c r="B50" s="350" t="str">
        <f>+'A) Base RI'!B52</f>
        <v>Dizy</v>
      </c>
      <c r="C50" s="364">
        <f>+'D) Ecrêtage'!M50</f>
        <v>8900.2526582278479</v>
      </c>
      <c r="D50" s="332">
        <v>45258</v>
      </c>
      <c r="E50" s="364">
        <v>0</v>
      </c>
      <c r="F50" s="332">
        <v>25297.71</v>
      </c>
      <c r="G50" s="364">
        <f t="shared" si="0"/>
        <v>70555.709999999992</v>
      </c>
      <c r="H50" s="332">
        <f t="shared" si="1"/>
        <v>71202.021265822783</v>
      </c>
      <c r="I50" s="14">
        <f t="shared" si="2"/>
        <v>0</v>
      </c>
      <c r="J50" s="361">
        <f t="shared" si="3"/>
        <v>0</v>
      </c>
      <c r="K50" s="19">
        <v>5641</v>
      </c>
      <c r="L50" s="14">
        <f t="shared" si="4"/>
        <v>8900.2526582278479</v>
      </c>
      <c r="M50" s="19">
        <f t="shared" si="5"/>
        <v>0</v>
      </c>
      <c r="N50" s="4">
        <f t="shared" si="6"/>
        <v>0</v>
      </c>
      <c r="O50" s="147">
        <f t="shared" si="7"/>
        <v>0</v>
      </c>
      <c r="P50" s="41">
        <f>O50/'D) Ecrêtage'!C51</f>
        <v>0</v>
      </c>
      <c r="Q50" s="143"/>
    </row>
    <row r="51" spans="1:17" x14ac:dyDescent="0.25">
      <c r="A51" s="57">
        <f>+'A) Base RI'!A53</f>
        <v>5482</v>
      </c>
      <c r="B51" s="350" t="str">
        <f>+'A) Base RI'!B53</f>
        <v>Eclépens</v>
      </c>
      <c r="C51" s="364">
        <f>+'D) Ecrêtage'!M51</f>
        <v>26792.007391304349</v>
      </c>
      <c r="D51" s="332">
        <v>207425</v>
      </c>
      <c r="E51" s="364">
        <v>91760</v>
      </c>
      <c r="F51" s="332">
        <v>208460</v>
      </c>
      <c r="G51" s="364">
        <f t="shared" si="0"/>
        <v>507645</v>
      </c>
      <c r="H51" s="332">
        <f t="shared" si="1"/>
        <v>214336.05913043479</v>
      </c>
      <c r="I51" s="14">
        <f t="shared" si="2"/>
        <v>293308.94086956524</v>
      </c>
      <c r="J51" s="361">
        <f t="shared" si="3"/>
        <v>-215255.69712157038</v>
      </c>
      <c r="K51" s="19">
        <v>59767</v>
      </c>
      <c r="L51" s="14">
        <f t="shared" si="4"/>
        <v>26792.007391304349</v>
      </c>
      <c r="M51" s="19">
        <f t="shared" si="5"/>
        <v>32974.992608695655</v>
      </c>
      <c r="N51" s="4">
        <f t="shared" si="6"/>
        <v>-24199.927218447545</v>
      </c>
      <c r="O51" s="147">
        <f t="shared" si="7"/>
        <v>-239455.62434001794</v>
      </c>
      <c r="P51" s="41">
        <f>O51/'D) Ecrêtage'!C52</f>
        <v>-24.49960751878227</v>
      </c>
      <c r="Q51" s="143"/>
    </row>
    <row r="52" spans="1:17" x14ac:dyDescent="0.25">
      <c r="A52" s="57">
        <f>+'A) Base RI'!A54</f>
        <v>5483</v>
      </c>
      <c r="B52" s="350" t="str">
        <f>+'A) Base RI'!B54</f>
        <v>Ferreyres</v>
      </c>
      <c r="C52" s="364">
        <f>+'D) Ecrêtage'!M52</f>
        <v>9773.8555263157887</v>
      </c>
      <c r="D52" s="332">
        <v>22869</v>
      </c>
      <c r="E52" s="364">
        <v>11057</v>
      </c>
      <c r="F52" s="332">
        <v>68109</v>
      </c>
      <c r="G52" s="364">
        <f t="shared" si="0"/>
        <v>102035</v>
      </c>
      <c r="H52" s="332">
        <f t="shared" si="1"/>
        <v>78190.844210526309</v>
      </c>
      <c r="I52" s="14">
        <f t="shared" si="2"/>
        <v>23844.155789473691</v>
      </c>
      <c r="J52" s="361">
        <f t="shared" si="3"/>
        <v>-17498.922336025738</v>
      </c>
      <c r="K52" s="19">
        <v>-123522</v>
      </c>
      <c r="L52" s="14">
        <f t="shared" si="4"/>
        <v>9773.8555263157887</v>
      </c>
      <c r="M52" s="19">
        <f t="shared" si="5"/>
        <v>0</v>
      </c>
      <c r="N52" s="4">
        <f t="shared" si="6"/>
        <v>0</v>
      </c>
      <c r="O52" s="147">
        <f t="shared" si="7"/>
        <v>-17498.922336025738</v>
      </c>
      <c r="P52" s="41">
        <f>O52/'D) Ecrêtage'!C53</f>
        <v>-0.60208815397316984</v>
      </c>
      <c r="Q52" s="143"/>
    </row>
    <row r="53" spans="1:17" x14ac:dyDescent="0.25">
      <c r="A53" s="57">
        <f>+'A) Base RI'!A55</f>
        <v>5484</v>
      </c>
      <c r="B53" s="350" t="str">
        <f>+'A) Base RI'!B55</f>
        <v>Gollion</v>
      </c>
      <c r="C53" s="364">
        <f>+'D) Ecrêtage'!M53</f>
        <v>29063.721351351356</v>
      </c>
      <c r="D53" s="332">
        <v>216415</v>
      </c>
      <c r="E53" s="364">
        <v>63152</v>
      </c>
      <c r="F53" s="332">
        <v>83033</v>
      </c>
      <c r="G53" s="364">
        <f t="shared" si="0"/>
        <v>362600</v>
      </c>
      <c r="H53" s="332">
        <f t="shared" si="1"/>
        <v>232509.77081081085</v>
      </c>
      <c r="I53" s="14">
        <f t="shared" si="2"/>
        <v>130090.22918918915</v>
      </c>
      <c r="J53" s="361">
        <f t="shared" si="3"/>
        <v>-95471.562816343139</v>
      </c>
      <c r="K53" s="19">
        <v>65978</v>
      </c>
      <c r="L53" s="14">
        <f t="shared" si="4"/>
        <v>29063.721351351356</v>
      </c>
      <c r="M53" s="19">
        <f t="shared" si="5"/>
        <v>36914.278648648644</v>
      </c>
      <c r="N53" s="4">
        <f t="shared" si="6"/>
        <v>-27090.919085853446</v>
      </c>
      <c r="O53" s="147">
        <f t="shared" si="7"/>
        <v>-122562.48190219658</v>
      </c>
      <c r="P53" s="41">
        <f>O53/'D) Ecrêtage'!C54</f>
        <v>-8.130748620215261</v>
      </c>
      <c r="Q53" s="143"/>
    </row>
    <row r="54" spans="1:17" x14ac:dyDescent="0.25">
      <c r="A54" s="57">
        <f>+'A) Base RI'!A56</f>
        <v>5485</v>
      </c>
      <c r="B54" s="350" t="str">
        <f>+'A) Base RI'!B56</f>
        <v>Grancy</v>
      </c>
      <c r="C54" s="364">
        <f>+'D) Ecrêtage'!M54</f>
        <v>15073.947999999999</v>
      </c>
      <c r="D54" s="332">
        <v>59828</v>
      </c>
      <c r="E54" s="364">
        <v>13989</v>
      </c>
      <c r="F54" s="332">
        <v>46917</v>
      </c>
      <c r="G54" s="364">
        <f t="shared" si="0"/>
        <v>120734</v>
      </c>
      <c r="H54" s="332">
        <f t="shared" si="1"/>
        <v>120591.58399999999</v>
      </c>
      <c r="I54" s="14">
        <f t="shared" si="2"/>
        <v>142.41600000001199</v>
      </c>
      <c r="J54" s="361">
        <f t="shared" si="3"/>
        <v>-104.51728907541498</v>
      </c>
      <c r="K54" s="19">
        <v>84078</v>
      </c>
      <c r="L54" s="14">
        <f t="shared" si="4"/>
        <v>15073.947999999999</v>
      </c>
      <c r="M54" s="19">
        <f t="shared" si="5"/>
        <v>69004.051999999996</v>
      </c>
      <c r="N54" s="4">
        <f t="shared" si="6"/>
        <v>-50641.19516247022</v>
      </c>
      <c r="O54" s="147">
        <f t="shared" si="7"/>
        <v>-50745.712451545638</v>
      </c>
      <c r="P54" s="41">
        <f>O54/'D) Ecrêtage'!C55</f>
        <v>-1.7009021798400175</v>
      </c>
      <c r="Q54" s="143"/>
    </row>
    <row r="55" spans="1:17" x14ac:dyDescent="0.25">
      <c r="A55" s="57">
        <f>+'A) Base RI'!A57</f>
        <v>5486</v>
      </c>
      <c r="B55" s="350" t="str">
        <f>+'A) Base RI'!B57</f>
        <v>L'Isle</v>
      </c>
      <c r="C55" s="364">
        <f>+'D) Ecrêtage'!M55</f>
        <v>29834.586052631581</v>
      </c>
      <c r="D55" s="332">
        <v>294920</v>
      </c>
      <c r="E55" s="364">
        <v>72913</v>
      </c>
      <c r="F55" s="332">
        <v>193415</v>
      </c>
      <c r="G55" s="364">
        <f t="shared" si="0"/>
        <v>561248</v>
      </c>
      <c r="H55" s="332">
        <f t="shared" si="1"/>
        <v>238676.68842105265</v>
      </c>
      <c r="I55" s="14">
        <f t="shared" si="2"/>
        <v>322571.31157894735</v>
      </c>
      <c r="J55" s="361">
        <f t="shared" si="3"/>
        <v>-236730.97839940566</v>
      </c>
      <c r="K55" s="19">
        <v>134086</v>
      </c>
      <c r="L55" s="14">
        <f t="shared" si="4"/>
        <v>29834.586052631581</v>
      </c>
      <c r="M55" s="19">
        <f t="shared" si="5"/>
        <v>104251.41394736842</v>
      </c>
      <c r="N55" s="4">
        <f t="shared" si="6"/>
        <v>-76508.785305421698</v>
      </c>
      <c r="O55" s="147">
        <f t="shared" si="7"/>
        <v>-313239.76370482735</v>
      </c>
      <c r="P55" s="41">
        <f>O55/'D) Ecrêtage'!C56</f>
        <v>-23.831752479306878</v>
      </c>
      <c r="Q55" s="143"/>
    </row>
    <row r="56" spans="1:17" x14ac:dyDescent="0.25">
      <c r="A56" s="57">
        <f>+'A) Base RI'!A58</f>
        <v>5487</v>
      </c>
      <c r="B56" s="350" t="str">
        <f>+'A) Base RI'!B58</f>
        <v>Lussery-Villars</v>
      </c>
      <c r="C56" s="364">
        <f>+'D) Ecrêtage'!M56</f>
        <v>13143.798970588234</v>
      </c>
      <c r="D56" s="332">
        <v>38374</v>
      </c>
      <c r="E56" s="364">
        <v>30334</v>
      </c>
      <c r="F56" s="332">
        <v>41556</v>
      </c>
      <c r="G56" s="364">
        <f t="shared" si="0"/>
        <v>110264</v>
      </c>
      <c r="H56" s="332">
        <f t="shared" si="1"/>
        <v>105150.39176470587</v>
      </c>
      <c r="I56" s="14">
        <f t="shared" si="2"/>
        <v>5113.6082352941303</v>
      </c>
      <c r="J56" s="361">
        <f t="shared" si="3"/>
        <v>-3752.811974403257</v>
      </c>
      <c r="K56" s="19">
        <v>2109</v>
      </c>
      <c r="L56" s="14">
        <f t="shared" si="4"/>
        <v>13143.798970588234</v>
      </c>
      <c r="M56" s="19">
        <f t="shared" si="5"/>
        <v>0</v>
      </c>
      <c r="N56" s="4">
        <f t="shared" si="6"/>
        <v>0</v>
      </c>
      <c r="O56" s="147">
        <f t="shared" si="7"/>
        <v>-3752.811974403257</v>
      </c>
      <c r="P56" s="41">
        <f>O56/'D) Ecrêtage'!C57</f>
        <v>-2.3383508269988291</v>
      </c>
      <c r="Q56" s="143"/>
    </row>
    <row r="57" spans="1:17" x14ac:dyDescent="0.25">
      <c r="A57" s="57">
        <f>+'A) Base RI'!A59</f>
        <v>5488</v>
      </c>
      <c r="B57" s="350" t="str">
        <f>+'A) Base RI'!B59</f>
        <v>Mauraz</v>
      </c>
      <c r="C57" s="364">
        <f>+'D) Ecrêtage'!M57</f>
        <v>1604.8968918918922</v>
      </c>
      <c r="D57" s="332">
        <v>12640</v>
      </c>
      <c r="E57" s="364">
        <v>0</v>
      </c>
      <c r="F57" s="332">
        <v>11569</v>
      </c>
      <c r="G57" s="364">
        <f t="shared" si="0"/>
        <v>24209</v>
      </c>
      <c r="H57" s="332">
        <f t="shared" si="1"/>
        <v>12839.175135135138</v>
      </c>
      <c r="I57" s="14">
        <f t="shared" si="2"/>
        <v>11369.824864864862</v>
      </c>
      <c r="J57" s="361">
        <f t="shared" si="3"/>
        <v>-8344.169701001445</v>
      </c>
      <c r="K57" s="19">
        <v>0</v>
      </c>
      <c r="L57" s="14">
        <f t="shared" si="4"/>
        <v>1604.8968918918922</v>
      </c>
      <c r="M57" s="19">
        <f t="shared" si="5"/>
        <v>0</v>
      </c>
      <c r="N57" s="4">
        <f t="shared" si="6"/>
        <v>0</v>
      </c>
      <c r="O57" s="147">
        <f t="shared" si="7"/>
        <v>-8344.169701001445</v>
      </c>
      <c r="P57" s="41">
        <f>O57/'D) Ecrêtage'!C58</f>
        <v>-0.17790659141836473</v>
      </c>
      <c r="Q57" s="143"/>
    </row>
    <row r="58" spans="1:17" x14ac:dyDescent="0.25">
      <c r="A58" s="57">
        <f>+'A) Base RI'!A60</f>
        <v>5489</v>
      </c>
      <c r="B58" s="350" t="str">
        <f>+'A) Base RI'!B60</f>
        <v>Mex</v>
      </c>
      <c r="C58" s="364">
        <f>+'D) Ecrêtage'!M58</f>
        <v>45606.023081106548</v>
      </c>
      <c r="D58" s="332">
        <v>204003</v>
      </c>
      <c r="E58" s="364">
        <v>21583</v>
      </c>
      <c r="F58" s="332">
        <v>59228</v>
      </c>
      <c r="G58" s="364">
        <f t="shared" si="0"/>
        <v>284814</v>
      </c>
      <c r="H58" s="332">
        <f t="shared" si="1"/>
        <v>364848.18464885239</v>
      </c>
      <c r="I58" s="14">
        <f t="shared" si="2"/>
        <v>0</v>
      </c>
      <c r="J58" s="361">
        <f t="shared" si="3"/>
        <v>0</v>
      </c>
      <c r="K58" s="19">
        <v>43315</v>
      </c>
      <c r="L58" s="14">
        <f t="shared" si="4"/>
        <v>45606.023081106548</v>
      </c>
      <c r="M58" s="19">
        <f t="shared" si="5"/>
        <v>0</v>
      </c>
      <c r="N58" s="4">
        <f t="shared" si="6"/>
        <v>0</v>
      </c>
      <c r="O58" s="147">
        <f t="shared" si="7"/>
        <v>0</v>
      </c>
      <c r="P58" s="41">
        <f>O58/'D) Ecrêtage'!C59</f>
        <v>0</v>
      </c>
      <c r="Q58" s="143"/>
    </row>
    <row r="59" spans="1:17" x14ac:dyDescent="0.25">
      <c r="A59" s="57">
        <f>+'A) Base RI'!A61</f>
        <v>5490</v>
      </c>
      <c r="B59" s="350" t="str">
        <f>+'A) Base RI'!B61</f>
        <v>Moiry</v>
      </c>
      <c r="C59" s="364">
        <f>+'D) Ecrêtage'!M59</f>
        <v>7445.9272839506175</v>
      </c>
      <c r="D59" s="332">
        <v>29119</v>
      </c>
      <c r="E59" s="364">
        <v>10245</v>
      </c>
      <c r="F59" s="332">
        <v>60077</v>
      </c>
      <c r="G59" s="364">
        <f t="shared" si="0"/>
        <v>99441</v>
      </c>
      <c r="H59" s="332">
        <f t="shared" si="1"/>
        <v>59567.41827160494</v>
      </c>
      <c r="I59" s="14">
        <f t="shared" si="2"/>
        <v>39873.58172839506</v>
      </c>
      <c r="J59" s="361">
        <f t="shared" si="3"/>
        <v>-29262.713936485368</v>
      </c>
      <c r="K59" s="19">
        <v>-15285</v>
      </c>
      <c r="L59" s="14">
        <f t="shared" si="4"/>
        <v>7445.9272839506175</v>
      </c>
      <c r="M59" s="19">
        <f t="shared" si="5"/>
        <v>0</v>
      </c>
      <c r="N59" s="4">
        <f t="shared" si="6"/>
        <v>0</v>
      </c>
      <c r="O59" s="147">
        <f t="shared" si="7"/>
        <v>-29262.713936485368</v>
      </c>
      <c r="P59" s="41">
        <f>O59/'D) Ecrêtage'!C60</f>
        <v>-3.3418534747116402</v>
      </c>
      <c r="Q59" s="143"/>
    </row>
    <row r="60" spans="1:17" x14ac:dyDescent="0.25">
      <c r="A60" s="57">
        <f>+'A) Base RI'!A62</f>
        <v>5491</v>
      </c>
      <c r="B60" s="350" t="str">
        <f>+'A) Base RI'!B62</f>
        <v>Mont-la-Ville</v>
      </c>
      <c r="C60" s="364">
        <f>+'D) Ecrêtage'!M60</f>
        <v>8756.4323684210522</v>
      </c>
      <c r="D60" s="332">
        <v>156346</v>
      </c>
      <c r="E60" s="364">
        <v>13494</v>
      </c>
      <c r="F60" s="332">
        <v>84999</v>
      </c>
      <c r="G60" s="364">
        <f t="shared" si="0"/>
        <v>254839</v>
      </c>
      <c r="H60" s="332">
        <f t="shared" si="1"/>
        <v>70051.458947368417</v>
      </c>
      <c r="I60" s="14">
        <f t="shared" si="2"/>
        <v>184787.54105263157</v>
      </c>
      <c r="J60" s="361">
        <f t="shared" si="3"/>
        <v>-135613.22355445582</v>
      </c>
      <c r="K60" s="19">
        <v>31247</v>
      </c>
      <c r="L60" s="14">
        <f t="shared" si="4"/>
        <v>8756.4323684210522</v>
      </c>
      <c r="M60" s="19">
        <f t="shared" ref="M60:M114" si="8">IF(K60&gt;L60,K60-L60,0)</f>
        <v>22490.567631578946</v>
      </c>
      <c r="N60" s="4">
        <f t="shared" si="6"/>
        <v>-16505.541221630363</v>
      </c>
      <c r="O60" s="147">
        <f t="shared" ref="O60:O114" si="9">N60+J60</f>
        <v>-152118.76477608617</v>
      </c>
      <c r="P60" s="41">
        <f>O60/'D) Ecrêtage'!C61</f>
        <v>-0.75364302606400058</v>
      </c>
      <c r="Q60" s="143"/>
    </row>
    <row r="61" spans="1:17" x14ac:dyDescent="0.25">
      <c r="A61" s="57">
        <f>+'A) Base RI'!A63</f>
        <v>5492</v>
      </c>
      <c r="B61" s="350" t="str">
        <f>+'A) Base RI'!B63</f>
        <v>Montricher</v>
      </c>
      <c r="C61" s="364">
        <f>+'D) Ecrêtage'!M61</f>
        <v>159210.58735959791</v>
      </c>
      <c r="D61" s="332">
        <v>318370</v>
      </c>
      <c r="E61" s="364">
        <v>71325</v>
      </c>
      <c r="F61" s="332">
        <v>190140</v>
      </c>
      <c r="G61" s="364">
        <f t="shared" si="0"/>
        <v>579835</v>
      </c>
      <c r="H61" s="332">
        <f t="shared" si="1"/>
        <v>1273684.6988767833</v>
      </c>
      <c r="I61" s="14">
        <f t="shared" si="2"/>
        <v>0</v>
      </c>
      <c r="J61" s="361">
        <f t="shared" si="3"/>
        <v>0</v>
      </c>
      <c r="K61" s="19">
        <v>398271</v>
      </c>
      <c r="L61" s="14">
        <f t="shared" si="4"/>
        <v>159210.58735959791</v>
      </c>
      <c r="M61" s="19">
        <f t="shared" si="8"/>
        <v>239060.41264040209</v>
      </c>
      <c r="N61" s="4">
        <f t="shared" si="6"/>
        <v>-175443.39297847706</v>
      </c>
      <c r="O61" s="147">
        <f t="shared" si="9"/>
        <v>-175443.39297847706</v>
      </c>
      <c r="P61" s="41">
        <f>O61/'D) Ecrêtage'!C62</f>
        <v>-19.323848162515525</v>
      </c>
      <c r="Q61" s="143"/>
    </row>
    <row r="62" spans="1:17" x14ac:dyDescent="0.25">
      <c r="A62" s="57">
        <f>+'A) Base RI'!A64</f>
        <v>5493</v>
      </c>
      <c r="B62" s="350" t="str">
        <f>+'A) Base RI'!B64</f>
        <v>Orny</v>
      </c>
      <c r="C62" s="364">
        <f>+'D) Ecrêtage'!M62</f>
        <v>9079.112581664911</v>
      </c>
      <c r="D62" s="332">
        <v>40382</v>
      </c>
      <c r="E62" s="364">
        <v>0</v>
      </c>
      <c r="F62" s="332">
        <v>80455</v>
      </c>
      <c r="G62" s="364">
        <f t="shared" si="0"/>
        <v>120837</v>
      </c>
      <c r="H62" s="332">
        <f t="shared" si="1"/>
        <v>72632.900653319288</v>
      </c>
      <c r="I62" s="14">
        <f t="shared" si="2"/>
        <v>48204.099346680712</v>
      </c>
      <c r="J62" s="361">
        <f t="shared" si="3"/>
        <v>-35376.374747476591</v>
      </c>
      <c r="K62" s="19">
        <v>11507</v>
      </c>
      <c r="L62" s="14">
        <f t="shared" si="4"/>
        <v>9079.112581664911</v>
      </c>
      <c r="M62" s="19">
        <f t="shared" si="8"/>
        <v>2427.887418335089</v>
      </c>
      <c r="N62" s="4">
        <f t="shared" si="6"/>
        <v>-1781.7956630200968</v>
      </c>
      <c r="O62" s="147">
        <f t="shared" si="9"/>
        <v>-37158.170410496685</v>
      </c>
      <c r="P62" s="41">
        <f>O62/'D) Ecrêtage'!C63</f>
        <v>-1.0097879792173465</v>
      </c>
      <c r="Q62" s="143"/>
    </row>
    <row r="63" spans="1:17" x14ac:dyDescent="0.25">
      <c r="A63" s="57">
        <f>+'A) Base RI'!A65</f>
        <v>5494</v>
      </c>
      <c r="B63" s="350" t="str">
        <f>+'A) Base RI'!B65</f>
        <v>Pampigny</v>
      </c>
      <c r="C63" s="364">
        <f>+'D) Ecrêtage'!M63</f>
        <v>36797.992425396827</v>
      </c>
      <c r="D63" s="332">
        <v>359044</v>
      </c>
      <c r="E63" s="364">
        <v>79414</v>
      </c>
      <c r="F63" s="332">
        <v>150954</v>
      </c>
      <c r="G63" s="364">
        <f t="shared" si="0"/>
        <v>589412</v>
      </c>
      <c r="H63" s="332">
        <f t="shared" si="1"/>
        <v>294383.93940317462</v>
      </c>
      <c r="I63" s="14">
        <f t="shared" si="2"/>
        <v>295028.06059682538</v>
      </c>
      <c r="J63" s="361">
        <f t="shared" si="3"/>
        <v>-216517.33720055927</v>
      </c>
      <c r="K63" s="19">
        <v>118774</v>
      </c>
      <c r="L63" s="14">
        <f t="shared" si="4"/>
        <v>36797.992425396827</v>
      </c>
      <c r="M63" s="19">
        <f t="shared" si="8"/>
        <v>81976.007574603165</v>
      </c>
      <c r="N63" s="4">
        <f t="shared" si="6"/>
        <v>-60161.148192074521</v>
      </c>
      <c r="O63" s="147">
        <f t="shared" si="9"/>
        <v>-276678.48539263377</v>
      </c>
      <c r="P63" s="41">
        <f>O63/'D) Ecrêtage'!C64</f>
        <v>-2.7824772434778415</v>
      </c>
      <c r="Q63" s="143"/>
    </row>
    <row r="64" spans="1:17" x14ac:dyDescent="0.25">
      <c r="A64" s="57">
        <f>+'A) Base RI'!A66</f>
        <v>5495</v>
      </c>
      <c r="B64" s="350" t="str">
        <f>+'A) Base RI'!B66</f>
        <v>Penthalaz</v>
      </c>
      <c r="C64" s="364">
        <f>+'D) Ecrêtage'!M64</f>
        <v>99436.02810810809</v>
      </c>
      <c r="D64" s="332">
        <v>638445</v>
      </c>
      <c r="E64" s="364">
        <v>404155</v>
      </c>
      <c r="F64" s="332">
        <v>331943</v>
      </c>
      <c r="G64" s="364">
        <f t="shared" si="0"/>
        <v>1374543</v>
      </c>
      <c r="H64" s="332">
        <f t="shared" si="1"/>
        <v>795488.22486486472</v>
      </c>
      <c r="I64" s="14">
        <f t="shared" si="2"/>
        <v>579054.77513513528</v>
      </c>
      <c r="J64" s="361">
        <f t="shared" si="3"/>
        <v>-424960.9266044072</v>
      </c>
      <c r="K64" s="19">
        <v>110617</v>
      </c>
      <c r="L64" s="14">
        <f t="shared" si="4"/>
        <v>99436.02810810809</v>
      </c>
      <c r="M64" s="19">
        <f t="shared" si="8"/>
        <v>11180.97189189191</v>
      </c>
      <c r="N64" s="4">
        <f t="shared" si="6"/>
        <v>-8205.5729087241452</v>
      </c>
      <c r="O64" s="147">
        <f t="shared" si="9"/>
        <v>-433166.49951313133</v>
      </c>
      <c r="P64" s="41">
        <f>O64/'D) Ecrêtage'!C65</f>
        <v>-8.1875285800934137</v>
      </c>
      <c r="Q64" s="143"/>
    </row>
    <row r="65" spans="1:17" x14ac:dyDescent="0.25">
      <c r="A65" s="57">
        <f>+'A) Base RI'!A67</f>
        <v>5496</v>
      </c>
      <c r="B65" s="350" t="str">
        <f>+'A) Base RI'!B67</f>
        <v>Penthaz</v>
      </c>
      <c r="C65" s="364">
        <f>+'D) Ecrêtage'!M65</f>
        <v>52905.64732394366</v>
      </c>
      <c r="D65" s="332">
        <v>371085</v>
      </c>
      <c r="E65" s="364">
        <v>118539</v>
      </c>
      <c r="F65" s="332">
        <v>194060</v>
      </c>
      <c r="G65" s="364">
        <f t="shared" si="0"/>
        <v>683684</v>
      </c>
      <c r="H65" s="332">
        <f t="shared" si="1"/>
        <v>423245.17859154928</v>
      </c>
      <c r="I65" s="14">
        <f t="shared" si="2"/>
        <v>260438.82140845072</v>
      </c>
      <c r="J65" s="361">
        <f t="shared" si="3"/>
        <v>-191132.73497082578</v>
      </c>
      <c r="K65" s="19">
        <v>5142</v>
      </c>
      <c r="L65" s="14">
        <f t="shared" si="4"/>
        <v>52905.64732394366</v>
      </c>
      <c r="M65" s="19">
        <f t="shared" si="8"/>
        <v>0</v>
      </c>
      <c r="N65" s="4">
        <f t="shared" si="6"/>
        <v>0</v>
      </c>
      <c r="O65" s="147">
        <f t="shared" si="9"/>
        <v>-191132.73497082578</v>
      </c>
      <c r="P65" s="41">
        <f>O65/'D) Ecrêtage'!C66</f>
        <v>-8.5815156182226247</v>
      </c>
      <c r="Q65" s="143"/>
    </row>
    <row r="66" spans="1:17" x14ac:dyDescent="0.25">
      <c r="A66" s="57">
        <f>+'A) Base RI'!A68</f>
        <v>5497</v>
      </c>
      <c r="B66" s="350" t="str">
        <f>+'A) Base RI'!B68</f>
        <v>Pompaples</v>
      </c>
      <c r="C66" s="364">
        <f>+'D) Ecrêtage'!M66</f>
        <v>22272.608181818188</v>
      </c>
      <c r="D66" s="332">
        <v>190885</v>
      </c>
      <c r="E66" s="364">
        <v>29462</v>
      </c>
      <c r="F66" s="332">
        <v>188473</v>
      </c>
      <c r="G66" s="364">
        <f t="shared" si="0"/>
        <v>408820</v>
      </c>
      <c r="H66" s="332">
        <f t="shared" si="1"/>
        <v>178180.86545454551</v>
      </c>
      <c r="I66" s="14">
        <f t="shared" si="2"/>
        <v>230639.13454545449</v>
      </c>
      <c r="J66" s="361">
        <f t="shared" si="3"/>
        <v>-169263.12420927963</v>
      </c>
      <c r="K66" s="19">
        <v>-27434</v>
      </c>
      <c r="L66" s="14">
        <f t="shared" si="4"/>
        <v>22272.608181818188</v>
      </c>
      <c r="M66" s="19">
        <f t="shared" si="8"/>
        <v>0</v>
      </c>
      <c r="N66" s="4">
        <f t="shared" si="6"/>
        <v>0</v>
      </c>
      <c r="O66" s="147">
        <f t="shared" si="9"/>
        <v>-169263.12420927963</v>
      </c>
      <c r="P66" s="41">
        <f>O66/'D) Ecrêtage'!C67</f>
        <v>-2.2933947264301877</v>
      </c>
      <c r="Q66" s="143"/>
    </row>
    <row r="67" spans="1:17" x14ac:dyDescent="0.25">
      <c r="A67" s="57">
        <f>+'A) Base RI'!A69</f>
        <v>5498</v>
      </c>
      <c r="B67" s="350" t="str">
        <f>+'A) Base RI'!B69</f>
        <v>La Sarraz</v>
      </c>
      <c r="C67" s="364">
        <f>+'D) Ecrêtage'!M67</f>
        <v>73804.61909090908</v>
      </c>
      <c r="D67" s="332">
        <v>666981</v>
      </c>
      <c r="E67" s="364">
        <v>226000</v>
      </c>
      <c r="F67" s="332">
        <v>533164</v>
      </c>
      <c r="G67" s="364">
        <f t="shared" si="0"/>
        <v>1426145</v>
      </c>
      <c r="H67" s="332">
        <f t="shared" si="1"/>
        <v>590436.95272727264</v>
      </c>
      <c r="I67" s="14">
        <f t="shared" si="2"/>
        <v>835708.04727272736</v>
      </c>
      <c r="J67" s="361">
        <f t="shared" si="3"/>
        <v>-613315.49516519811</v>
      </c>
      <c r="K67" s="19">
        <v>-311161</v>
      </c>
      <c r="L67" s="14">
        <f t="shared" si="4"/>
        <v>73804.61909090908</v>
      </c>
      <c r="M67" s="19">
        <f t="shared" si="8"/>
        <v>0</v>
      </c>
      <c r="N67" s="4">
        <f t="shared" si="6"/>
        <v>0</v>
      </c>
      <c r="O67" s="147">
        <f t="shared" si="9"/>
        <v>-613315.49516519811</v>
      </c>
      <c r="P67" s="41">
        <f>O67/'D) Ecrêtage'!C68</f>
        <v>-32.998901381747231</v>
      </c>
      <c r="Q67" s="143"/>
    </row>
    <row r="68" spans="1:17" x14ac:dyDescent="0.25">
      <c r="A68" s="57">
        <f>+'A) Base RI'!A70</f>
        <v>5499</v>
      </c>
      <c r="B68" s="350" t="str">
        <f>+'A) Base RI'!B70</f>
        <v>Senarclens</v>
      </c>
      <c r="C68" s="364">
        <f>+'D) Ecrêtage'!M68</f>
        <v>18585.936788321167</v>
      </c>
      <c r="D68" s="332">
        <v>201971</v>
      </c>
      <c r="E68" s="364">
        <v>15932</v>
      </c>
      <c r="F68" s="332">
        <v>53576</v>
      </c>
      <c r="G68" s="364">
        <f t="shared" si="0"/>
        <v>271479</v>
      </c>
      <c r="H68" s="332">
        <f t="shared" si="1"/>
        <v>148687.49430656934</v>
      </c>
      <c r="I68" s="14">
        <f t="shared" si="2"/>
        <v>122791.50569343066</v>
      </c>
      <c r="J68" s="361">
        <f t="shared" si="3"/>
        <v>-90115.122574462672</v>
      </c>
      <c r="K68" s="19">
        <v>-9396</v>
      </c>
      <c r="L68" s="14">
        <f t="shared" si="4"/>
        <v>18585.936788321167</v>
      </c>
      <c r="M68" s="19">
        <f t="shared" si="8"/>
        <v>0</v>
      </c>
      <c r="N68" s="4">
        <f t="shared" si="6"/>
        <v>0</v>
      </c>
      <c r="O68" s="147">
        <f t="shared" si="9"/>
        <v>-90115.122574462672</v>
      </c>
      <c r="P68" s="41">
        <f>O68/'D) Ecrêtage'!C69</f>
        <v>-11.2240501073099</v>
      </c>
      <c r="Q68" s="143"/>
    </row>
    <row r="69" spans="1:17" x14ac:dyDescent="0.25">
      <c r="A69" s="57">
        <f>+'A) Base RI'!A71</f>
        <v>5500</v>
      </c>
      <c r="B69" s="350" t="str">
        <f>+'A) Base RI'!B71</f>
        <v>Sévery</v>
      </c>
      <c r="C69" s="364">
        <f>+'D) Ecrêtage'!M69</f>
        <v>8028.7526973684207</v>
      </c>
      <c r="D69" s="332">
        <v>41259</v>
      </c>
      <c r="E69" s="364">
        <v>12241</v>
      </c>
      <c r="F69" s="332">
        <v>27294</v>
      </c>
      <c r="G69" s="364">
        <f t="shared" si="0"/>
        <v>80794</v>
      </c>
      <c r="H69" s="332">
        <f t="shared" si="1"/>
        <v>64230.021578947366</v>
      </c>
      <c r="I69" s="14">
        <f t="shared" si="2"/>
        <v>16563.978421052634</v>
      </c>
      <c r="J69" s="361">
        <f t="shared" ref="J69:J132" si="10">-I69*J$4</f>
        <v>-12156.092860857965</v>
      </c>
      <c r="K69" s="19">
        <v>5287</v>
      </c>
      <c r="L69" s="14">
        <f t="shared" ref="L69:L132" si="11">C69*M$4</f>
        <v>8028.7526973684207</v>
      </c>
      <c r="M69" s="19">
        <f t="shared" si="8"/>
        <v>0</v>
      </c>
      <c r="N69" s="4">
        <f t="shared" ref="N69:N132" si="12">-M69*N$4</f>
        <v>0</v>
      </c>
      <c r="O69" s="147">
        <f t="shared" si="9"/>
        <v>-12156.092860857965</v>
      </c>
      <c r="P69" s="41">
        <f>O69/'D) Ecrêtage'!C70</f>
        <v>-0.34014807387350271</v>
      </c>
      <c r="Q69" s="143"/>
    </row>
    <row r="70" spans="1:17" x14ac:dyDescent="0.25">
      <c r="A70" s="57">
        <f>+'A) Base RI'!A72</f>
        <v>5501</v>
      </c>
      <c r="B70" s="350" t="str">
        <f>+'A) Base RI'!B72</f>
        <v>Sullens</v>
      </c>
      <c r="C70" s="364">
        <f>+'D) Ecrêtage'!M70</f>
        <v>35737.650142857143</v>
      </c>
      <c r="D70" s="332">
        <v>195547</v>
      </c>
      <c r="E70" s="364">
        <v>29446</v>
      </c>
      <c r="F70" s="332">
        <v>40982</v>
      </c>
      <c r="G70" s="364">
        <f t="shared" ref="G70:G133" si="13">SUM(D70:F70)</f>
        <v>265975</v>
      </c>
      <c r="H70" s="332">
        <f t="shared" ref="H70:H133" si="14">+C70*$I$4</f>
        <v>285901.20114285714</v>
      </c>
      <c r="I70" s="14">
        <f t="shared" ref="I70:I133" si="15">IF(G70&gt;H70,G70-H70,0)</f>
        <v>0</v>
      </c>
      <c r="J70" s="361">
        <f t="shared" si="10"/>
        <v>0</v>
      </c>
      <c r="K70" s="19">
        <v>54826</v>
      </c>
      <c r="L70" s="14">
        <f t="shared" si="11"/>
        <v>35737.650142857143</v>
      </c>
      <c r="M70" s="19">
        <f t="shared" si="8"/>
        <v>19088.349857142857</v>
      </c>
      <c r="N70" s="4">
        <f t="shared" si="12"/>
        <v>-14008.696916017077</v>
      </c>
      <c r="O70" s="147">
        <f t="shared" si="9"/>
        <v>-14008.696916017077</v>
      </c>
      <c r="P70" s="41">
        <f>O70/'D) Ecrêtage'!C71</f>
        <v>-0.21575851872658464</v>
      </c>
      <c r="Q70" s="143"/>
    </row>
    <row r="71" spans="1:17" x14ac:dyDescent="0.25">
      <c r="A71" s="57">
        <f>+'A) Base RI'!A73</f>
        <v>5503</v>
      </c>
      <c r="B71" s="350" t="str">
        <f>+'A) Base RI'!B73</f>
        <v>Vufflens-la-Ville</v>
      </c>
      <c r="C71" s="364">
        <f>+'D) Ecrêtage'!M71</f>
        <v>64927.66542288557</v>
      </c>
      <c r="D71" s="332">
        <v>178923</v>
      </c>
      <c r="E71" s="364">
        <v>107392</v>
      </c>
      <c r="F71" s="332">
        <v>139656</v>
      </c>
      <c r="G71" s="364">
        <f t="shared" si="13"/>
        <v>425971</v>
      </c>
      <c r="H71" s="332">
        <f t="shared" si="14"/>
        <v>519421.32338308456</v>
      </c>
      <c r="I71" s="14">
        <f t="shared" si="15"/>
        <v>0</v>
      </c>
      <c r="J71" s="361">
        <f t="shared" si="10"/>
        <v>0</v>
      </c>
      <c r="K71" s="19">
        <v>38863</v>
      </c>
      <c r="L71" s="14">
        <f t="shared" si="11"/>
        <v>64927.66542288557</v>
      </c>
      <c r="M71" s="19">
        <f t="shared" si="8"/>
        <v>0</v>
      </c>
      <c r="N71" s="4">
        <f t="shared" si="12"/>
        <v>0</v>
      </c>
      <c r="O71" s="147">
        <f t="shared" si="9"/>
        <v>0</v>
      </c>
      <c r="P71" s="41">
        <f>O71/'D) Ecrêtage'!C72</f>
        <v>0</v>
      </c>
      <c r="Q71" s="143"/>
    </row>
    <row r="72" spans="1:17" x14ac:dyDescent="0.25">
      <c r="A72" s="57">
        <f>+'A) Base RI'!A74</f>
        <v>5511</v>
      </c>
      <c r="B72" s="350" t="str">
        <f>+'A) Base RI'!B74</f>
        <v>Assens</v>
      </c>
      <c r="C72" s="364">
        <f>+'D) Ecrêtage'!M72</f>
        <v>39993.346428571429</v>
      </c>
      <c r="D72" s="332">
        <v>532312</v>
      </c>
      <c r="E72" s="364">
        <v>82051</v>
      </c>
      <c r="F72" s="332">
        <v>101413</v>
      </c>
      <c r="G72" s="364">
        <f t="shared" si="13"/>
        <v>715776</v>
      </c>
      <c r="H72" s="332">
        <f t="shared" si="14"/>
        <v>319946.77142857143</v>
      </c>
      <c r="I72" s="14">
        <f t="shared" si="15"/>
        <v>395829.22857142857</v>
      </c>
      <c r="J72" s="361">
        <f t="shared" si="10"/>
        <v>-290494.03091713728</v>
      </c>
      <c r="K72" s="19">
        <v>16629</v>
      </c>
      <c r="L72" s="14">
        <f t="shared" si="11"/>
        <v>39993.346428571429</v>
      </c>
      <c r="M72" s="19">
        <f t="shared" si="8"/>
        <v>0</v>
      </c>
      <c r="N72" s="4">
        <f t="shared" si="12"/>
        <v>0</v>
      </c>
      <c r="O72" s="147">
        <f t="shared" si="9"/>
        <v>-290494.03091713728</v>
      </c>
      <c r="P72" s="41">
        <f>O72/'D) Ecrêtage'!C73</f>
        <v>-8.2770646233531053</v>
      </c>
      <c r="Q72" s="143"/>
    </row>
    <row r="73" spans="1:17" x14ac:dyDescent="0.25">
      <c r="A73" s="57">
        <f>+'A) Base RI'!A75</f>
        <v>5512</v>
      </c>
      <c r="B73" s="350" t="str">
        <f>+'A) Base RI'!B75</f>
        <v>Bercher</v>
      </c>
      <c r="C73" s="364">
        <f>+'D) Ecrêtage'!M73</f>
        <v>35096.262278481016</v>
      </c>
      <c r="D73" s="332">
        <v>279320</v>
      </c>
      <c r="E73" s="364">
        <v>91362</v>
      </c>
      <c r="F73" s="332">
        <v>112922</v>
      </c>
      <c r="G73" s="364">
        <f t="shared" si="13"/>
        <v>483604</v>
      </c>
      <c r="H73" s="332">
        <f t="shared" si="14"/>
        <v>280770.09822784812</v>
      </c>
      <c r="I73" s="14">
        <f t="shared" si="15"/>
        <v>202833.90177215188</v>
      </c>
      <c r="J73" s="361">
        <f t="shared" si="10"/>
        <v>-148857.21790959258</v>
      </c>
      <c r="K73" s="19">
        <v>27937</v>
      </c>
      <c r="L73" s="14">
        <f t="shared" si="11"/>
        <v>35096.262278481016</v>
      </c>
      <c r="M73" s="19">
        <f t="shared" si="8"/>
        <v>0</v>
      </c>
      <c r="N73" s="4">
        <f t="shared" si="12"/>
        <v>0</v>
      </c>
      <c r="O73" s="147">
        <f t="shared" si="9"/>
        <v>-148857.21790959258</v>
      </c>
      <c r="P73" s="41">
        <f>O73/'D) Ecrêtage'!C74</f>
        <v>-6.6332028580871967</v>
      </c>
      <c r="Q73" s="143"/>
    </row>
    <row r="74" spans="1:17" x14ac:dyDescent="0.25">
      <c r="A74" s="57">
        <f>+'A) Base RI'!A76</f>
        <v>5513</v>
      </c>
      <c r="B74" s="350" t="str">
        <f>+'A) Base RI'!B76</f>
        <v>Bioley-Orjulaz</v>
      </c>
      <c r="C74" s="364">
        <f>+'D) Ecrêtage'!M74</f>
        <v>22441.228030303031</v>
      </c>
      <c r="D74" s="332">
        <v>128216</v>
      </c>
      <c r="E74" s="364">
        <v>14994</v>
      </c>
      <c r="F74" s="332">
        <v>46329</v>
      </c>
      <c r="G74" s="364">
        <f t="shared" si="13"/>
        <v>189539</v>
      </c>
      <c r="H74" s="332">
        <f t="shared" si="14"/>
        <v>179529.82424242425</v>
      </c>
      <c r="I74" s="14">
        <f t="shared" si="15"/>
        <v>10009.175757575751</v>
      </c>
      <c r="J74" s="361">
        <f t="shared" si="10"/>
        <v>-7345.6066457497218</v>
      </c>
      <c r="K74" s="19">
        <v>16842</v>
      </c>
      <c r="L74" s="14">
        <f t="shared" si="11"/>
        <v>22441.228030303031</v>
      </c>
      <c r="M74" s="19">
        <f t="shared" si="8"/>
        <v>0</v>
      </c>
      <c r="N74" s="4">
        <f t="shared" si="12"/>
        <v>0</v>
      </c>
      <c r="O74" s="147">
        <f t="shared" si="9"/>
        <v>-7345.6066457497218</v>
      </c>
      <c r="P74" s="41">
        <f>O74/'D) Ecrêtage'!C75</f>
        <v>-0.18101568789378103</v>
      </c>
      <c r="Q74" s="143"/>
    </row>
    <row r="75" spans="1:17" x14ac:dyDescent="0.25">
      <c r="A75" s="57">
        <f>+'A) Base RI'!A77</f>
        <v>5514</v>
      </c>
      <c r="B75" s="350" t="str">
        <f>+'A) Base RI'!B77</f>
        <v>Bottens</v>
      </c>
      <c r="C75" s="364">
        <f>+'D) Ecrêtage'!M75</f>
        <v>40579.944927536235</v>
      </c>
      <c r="D75" s="332">
        <v>172386</v>
      </c>
      <c r="E75" s="364">
        <v>58255</v>
      </c>
      <c r="F75" s="332">
        <v>120006</v>
      </c>
      <c r="G75" s="364">
        <f t="shared" si="13"/>
        <v>350647</v>
      </c>
      <c r="H75" s="332">
        <f t="shared" si="14"/>
        <v>324639.55942028988</v>
      </c>
      <c r="I75" s="14">
        <f t="shared" si="15"/>
        <v>26007.440579710121</v>
      </c>
      <c r="J75" s="361">
        <f t="shared" si="10"/>
        <v>-19086.52949936111</v>
      </c>
      <c r="K75" s="19">
        <v>41723</v>
      </c>
      <c r="L75" s="14">
        <f t="shared" si="11"/>
        <v>40579.944927536235</v>
      </c>
      <c r="M75" s="19">
        <f t="shared" si="8"/>
        <v>1143.0550724637651</v>
      </c>
      <c r="N75" s="4">
        <f t="shared" si="12"/>
        <v>-838.87356362911953</v>
      </c>
      <c r="O75" s="147">
        <f t="shared" si="9"/>
        <v>-19925.40306299023</v>
      </c>
      <c r="P75" s="41">
        <f>O75/'D) Ecrêtage'!C76</f>
        <v>-0.77666802873405427</v>
      </c>
      <c r="Q75" s="143"/>
    </row>
    <row r="76" spans="1:17" x14ac:dyDescent="0.25">
      <c r="A76" s="57">
        <f>+'A) Base RI'!A78</f>
        <v>5515</v>
      </c>
      <c r="B76" s="350" t="str">
        <f>+'A) Base RI'!B78</f>
        <v>Bretigny-sur-Morrens</v>
      </c>
      <c r="C76" s="364">
        <f>+'D) Ecrêtage'!M76</f>
        <v>25654.980410958906</v>
      </c>
      <c r="D76" s="332">
        <v>189468</v>
      </c>
      <c r="E76" s="364">
        <v>38057</v>
      </c>
      <c r="F76" s="332">
        <v>47848</v>
      </c>
      <c r="G76" s="364">
        <f t="shared" si="13"/>
        <v>275373</v>
      </c>
      <c r="H76" s="332">
        <f t="shared" si="14"/>
        <v>205239.84328767125</v>
      </c>
      <c r="I76" s="14">
        <f t="shared" si="15"/>
        <v>70133.156712328753</v>
      </c>
      <c r="J76" s="361">
        <f t="shared" si="10"/>
        <v>-51469.83073442048</v>
      </c>
      <c r="K76" s="19">
        <v>19408</v>
      </c>
      <c r="L76" s="14">
        <f t="shared" si="11"/>
        <v>25654.980410958906</v>
      </c>
      <c r="M76" s="19">
        <f t="shared" si="8"/>
        <v>0</v>
      </c>
      <c r="N76" s="4">
        <f t="shared" si="12"/>
        <v>0</v>
      </c>
      <c r="O76" s="147">
        <f t="shared" si="9"/>
        <v>-51469.83073442048</v>
      </c>
      <c r="P76" s="41">
        <f>O76/'D) Ecrêtage'!C77</f>
        <v>-0.47784430331899536</v>
      </c>
      <c r="Q76" s="143"/>
    </row>
    <row r="77" spans="1:17" x14ac:dyDescent="0.25">
      <c r="A77" s="57">
        <f>+'A) Base RI'!A79</f>
        <v>5516</v>
      </c>
      <c r="B77" s="350" t="str">
        <f>+'A) Base RI'!B79</f>
        <v>Cugy</v>
      </c>
      <c r="C77" s="364">
        <f>+'D) Ecrêtage'!M77</f>
        <v>107712.55485714282</v>
      </c>
      <c r="D77" s="332">
        <v>778975</v>
      </c>
      <c r="E77" s="364">
        <v>131552</v>
      </c>
      <c r="F77" s="332">
        <v>184500</v>
      </c>
      <c r="G77" s="364">
        <f t="shared" si="13"/>
        <v>1095027</v>
      </c>
      <c r="H77" s="332">
        <f t="shared" si="14"/>
        <v>861700.43885714258</v>
      </c>
      <c r="I77" s="14">
        <f t="shared" si="15"/>
        <v>233326.56114285742</v>
      </c>
      <c r="J77" s="361">
        <f t="shared" si="10"/>
        <v>-171235.39237121155</v>
      </c>
      <c r="K77" s="19">
        <v>24755</v>
      </c>
      <c r="L77" s="14">
        <f t="shared" si="11"/>
        <v>107712.55485714282</v>
      </c>
      <c r="M77" s="19">
        <f t="shared" si="8"/>
        <v>0</v>
      </c>
      <c r="N77" s="4">
        <f t="shared" si="12"/>
        <v>0</v>
      </c>
      <c r="O77" s="147">
        <f t="shared" si="9"/>
        <v>-171235.39237121155</v>
      </c>
      <c r="P77" s="41">
        <f>O77/'D) Ecrêtage'!C78</f>
        <v>-0.91438949697677818</v>
      </c>
      <c r="Q77" s="143"/>
    </row>
    <row r="78" spans="1:17" x14ac:dyDescent="0.25">
      <c r="A78" s="57">
        <f>+'A) Base RI'!A80</f>
        <v>5518</v>
      </c>
      <c r="B78" s="350" t="str">
        <f>+'A) Base RI'!B80</f>
        <v>Echallens</v>
      </c>
      <c r="C78" s="364">
        <f>+'D) Ecrêtage'!M78</f>
        <v>187267.45324324328</v>
      </c>
      <c r="D78" s="332">
        <v>1666334</v>
      </c>
      <c r="E78" s="364">
        <v>446146</v>
      </c>
      <c r="F78" s="332">
        <v>551429</v>
      </c>
      <c r="G78" s="364">
        <f t="shared" si="13"/>
        <v>2663909</v>
      </c>
      <c r="H78" s="332">
        <f t="shared" si="14"/>
        <v>1498139.6259459462</v>
      </c>
      <c r="I78" s="14">
        <f t="shared" si="15"/>
        <v>1165769.3740540538</v>
      </c>
      <c r="J78" s="361">
        <f t="shared" si="10"/>
        <v>-855543.30035433418</v>
      </c>
      <c r="K78" s="19">
        <v>61801</v>
      </c>
      <c r="L78" s="14">
        <f t="shared" si="11"/>
        <v>187267.45324324328</v>
      </c>
      <c r="M78" s="19">
        <f t="shared" si="8"/>
        <v>0</v>
      </c>
      <c r="N78" s="4">
        <f t="shared" si="12"/>
        <v>0</v>
      </c>
      <c r="O78" s="147">
        <f t="shared" si="9"/>
        <v>-855543.30035433418</v>
      </c>
      <c r="P78" s="41">
        <f>O78/'D) Ecrêtage'!C79</f>
        <v>-30.450177233312441</v>
      </c>
      <c r="Q78" s="143"/>
    </row>
    <row r="79" spans="1:17" x14ac:dyDescent="0.25">
      <c r="A79" s="57">
        <f>+'A) Base RI'!A81</f>
        <v>5520</v>
      </c>
      <c r="B79" s="350" t="str">
        <f>+'A) Base RI'!B81</f>
        <v>Essertines-sur-Yverdon</v>
      </c>
      <c r="C79" s="364">
        <f>+'D) Ecrêtage'!M79</f>
        <v>28096.496575342466</v>
      </c>
      <c r="D79" s="332">
        <v>152128</v>
      </c>
      <c r="E79" s="364">
        <v>56946</v>
      </c>
      <c r="F79" s="332">
        <v>92954</v>
      </c>
      <c r="G79" s="364">
        <f t="shared" si="13"/>
        <v>302028</v>
      </c>
      <c r="H79" s="332">
        <f t="shared" si="14"/>
        <v>224771.97260273973</v>
      </c>
      <c r="I79" s="14">
        <f t="shared" si="15"/>
        <v>77256.027397260274</v>
      </c>
      <c r="J79" s="361">
        <f t="shared" si="10"/>
        <v>-56697.214837496853</v>
      </c>
      <c r="K79" s="19">
        <v>99064</v>
      </c>
      <c r="L79" s="14">
        <f t="shared" si="11"/>
        <v>28096.496575342466</v>
      </c>
      <c r="M79" s="19">
        <f t="shared" si="8"/>
        <v>70967.503424657538</v>
      </c>
      <c r="N79" s="4">
        <f t="shared" si="12"/>
        <v>-52082.147163203641</v>
      </c>
      <c r="O79" s="147">
        <f t="shared" si="9"/>
        <v>-108779.36200070049</v>
      </c>
      <c r="P79" s="41">
        <f>O79/'D) Ecrêtage'!C80</f>
        <v>-2.6754694170220583</v>
      </c>
      <c r="Q79" s="143"/>
    </row>
    <row r="80" spans="1:17" x14ac:dyDescent="0.25">
      <c r="A80" s="57">
        <f>+'A) Base RI'!A82</f>
        <v>5521</v>
      </c>
      <c r="B80" s="350" t="str">
        <f>+'A) Base RI'!B82</f>
        <v>Etagnières</v>
      </c>
      <c r="C80" s="364">
        <f>+'D) Ecrêtage'!M80</f>
        <v>40658.047260273968</v>
      </c>
      <c r="D80" s="332">
        <v>143988</v>
      </c>
      <c r="E80" s="364">
        <v>91203</v>
      </c>
      <c r="F80" s="332">
        <v>112725</v>
      </c>
      <c r="G80" s="364">
        <f t="shared" si="13"/>
        <v>347916</v>
      </c>
      <c r="H80" s="332">
        <f t="shared" si="14"/>
        <v>325264.37808219175</v>
      </c>
      <c r="I80" s="14">
        <f t="shared" si="15"/>
        <v>22651.621917808254</v>
      </c>
      <c r="J80" s="361">
        <f t="shared" si="10"/>
        <v>-16623.736911655797</v>
      </c>
      <c r="K80" s="19">
        <v>19588</v>
      </c>
      <c r="L80" s="14">
        <f t="shared" si="11"/>
        <v>40658.047260273968</v>
      </c>
      <c r="M80" s="19">
        <f t="shared" si="8"/>
        <v>0</v>
      </c>
      <c r="N80" s="4">
        <f t="shared" si="12"/>
        <v>0</v>
      </c>
      <c r="O80" s="147">
        <f t="shared" si="9"/>
        <v>-16623.736911655797</v>
      </c>
      <c r="P80" s="41">
        <f>O80/'D) Ecrêtage'!C81</f>
        <v>-0.869935543561979</v>
      </c>
      <c r="Q80" s="143"/>
    </row>
    <row r="81" spans="1:17" x14ac:dyDescent="0.25">
      <c r="A81" s="57">
        <f>+'A) Base RI'!A83</f>
        <v>5522</v>
      </c>
      <c r="B81" s="350" t="str">
        <f>+'A) Base RI'!B83</f>
        <v>Fey</v>
      </c>
      <c r="C81" s="364">
        <f>+'D) Ecrêtage'!M81</f>
        <v>19109.159333333333</v>
      </c>
      <c r="D81" s="332">
        <v>134201</v>
      </c>
      <c r="E81" s="364">
        <v>50536</v>
      </c>
      <c r="F81" s="332">
        <v>62462</v>
      </c>
      <c r="G81" s="364">
        <f t="shared" si="13"/>
        <v>247199</v>
      </c>
      <c r="H81" s="332">
        <f t="shared" si="14"/>
        <v>152873.27466666666</v>
      </c>
      <c r="I81" s="14">
        <f t="shared" si="15"/>
        <v>94325.725333333336</v>
      </c>
      <c r="J81" s="361">
        <f t="shared" si="10"/>
        <v>-69224.448811308874</v>
      </c>
      <c r="K81" s="19">
        <v>35426</v>
      </c>
      <c r="L81" s="14">
        <f t="shared" si="11"/>
        <v>19109.159333333333</v>
      </c>
      <c r="M81" s="19">
        <f t="shared" si="8"/>
        <v>16316.840666666667</v>
      </c>
      <c r="N81" s="4">
        <f t="shared" si="12"/>
        <v>-11974.721609617904</v>
      </c>
      <c r="O81" s="147">
        <f t="shared" si="9"/>
        <v>-81199.170420926777</v>
      </c>
      <c r="P81" s="41">
        <f>O81/'D) Ecrêtage'!C82</f>
        <v>-1.0518291952841421</v>
      </c>
      <c r="Q81" s="143"/>
    </row>
    <row r="82" spans="1:17" x14ac:dyDescent="0.25">
      <c r="A82" s="57">
        <f>+'A) Base RI'!A84</f>
        <v>5523</v>
      </c>
      <c r="B82" s="350" t="str">
        <f>+'A) Base RI'!B84</f>
        <v>Froideville</v>
      </c>
      <c r="C82" s="364">
        <f>+'D) Ecrêtage'!M82</f>
        <v>77198.057236842113</v>
      </c>
      <c r="D82" s="332">
        <v>549026</v>
      </c>
      <c r="E82" s="364">
        <v>115651</v>
      </c>
      <c r="F82" s="332">
        <v>171453</v>
      </c>
      <c r="G82" s="364">
        <f t="shared" si="13"/>
        <v>836130</v>
      </c>
      <c r="H82" s="332">
        <f t="shared" si="14"/>
        <v>617584.4578947369</v>
      </c>
      <c r="I82" s="14">
        <f t="shared" si="15"/>
        <v>218545.5421052631</v>
      </c>
      <c r="J82" s="361">
        <f t="shared" si="10"/>
        <v>-160387.79070018211</v>
      </c>
      <c r="K82" s="19">
        <v>20488</v>
      </c>
      <c r="L82" s="14">
        <f t="shared" si="11"/>
        <v>77198.057236842113</v>
      </c>
      <c r="M82" s="19">
        <f t="shared" si="8"/>
        <v>0</v>
      </c>
      <c r="N82" s="4">
        <f t="shared" si="12"/>
        <v>0</v>
      </c>
      <c r="O82" s="147">
        <f t="shared" si="9"/>
        <v>-160387.79070018211</v>
      </c>
      <c r="P82" s="41">
        <f>O82/'D) Ecrêtage'!C83</f>
        <v>-4.2700939206488586</v>
      </c>
      <c r="Q82" s="143"/>
    </row>
    <row r="83" spans="1:17" x14ac:dyDescent="0.25">
      <c r="A83" s="57">
        <f>+'A) Base RI'!A85</f>
        <v>5527</v>
      </c>
      <c r="B83" s="350" t="str">
        <f>+'A) Base RI'!B85</f>
        <v>Morrens</v>
      </c>
      <c r="C83" s="364">
        <f>+'D) Ecrêtage'!M83</f>
        <v>37560.717323943667</v>
      </c>
      <c r="D83" s="332">
        <v>218368</v>
      </c>
      <c r="E83" s="364">
        <v>33584</v>
      </c>
      <c r="F83" s="332">
        <v>65331</v>
      </c>
      <c r="G83" s="364">
        <f t="shared" si="13"/>
        <v>317283</v>
      </c>
      <c r="H83" s="332">
        <f t="shared" si="14"/>
        <v>300485.73859154934</v>
      </c>
      <c r="I83" s="14">
        <f t="shared" si="15"/>
        <v>16797.261408450664</v>
      </c>
      <c r="J83" s="361">
        <f t="shared" si="10"/>
        <v>-12327.296275012655</v>
      </c>
      <c r="K83" s="19">
        <v>16425</v>
      </c>
      <c r="L83" s="14">
        <f t="shared" si="11"/>
        <v>37560.717323943667</v>
      </c>
      <c r="M83" s="19">
        <f t="shared" si="8"/>
        <v>0</v>
      </c>
      <c r="N83" s="4">
        <f t="shared" si="12"/>
        <v>0</v>
      </c>
      <c r="O83" s="147">
        <f t="shared" si="9"/>
        <v>-12327.296275012655</v>
      </c>
      <c r="P83" s="41">
        <f>O83/'D) Ecrêtage'!C84</f>
        <v>-0.62024561631717234</v>
      </c>
      <c r="Q83" s="143"/>
    </row>
    <row r="84" spans="1:17" x14ac:dyDescent="0.25">
      <c r="A84" s="57">
        <f>+'A) Base RI'!A86</f>
        <v>5529</v>
      </c>
      <c r="B84" s="350" t="str">
        <f>+'A) Base RI'!B86</f>
        <v>Oulens-sous-Echallens</v>
      </c>
      <c r="C84" s="364">
        <f>+'D) Ecrêtage'!M84</f>
        <v>19874.862394366199</v>
      </c>
      <c r="D84" s="332">
        <v>189090</v>
      </c>
      <c r="E84" s="364">
        <v>16935</v>
      </c>
      <c r="F84" s="332">
        <v>55329</v>
      </c>
      <c r="G84" s="364">
        <f t="shared" si="13"/>
        <v>261354</v>
      </c>
      <c r="H84" s="332">
        <f t="shared" si="14"/>
        <v>158998.89915492959</v>
      </c>
      <c r="I84" s="14">
        <f t="shared" si="15"/>
        <v>102355.10084507041</v>
      </c>
      <c r="J84" s="361">
        <f t="shared" si="10"/>
        <v>-75117.105264623184</v>
      </c>
      <c r="K84" s="19">
        <v>92954</v>
      </c>
      <c r="L84" s="14">
        <f t="shared" si="11"/>
        <v>19874.862394366199</v>
      </c>
      <c r="M84" s="19">
        <f t="shared" si="8"/>
        <v>73079.137605633805</v>
      </c>
      <c r="N84" s="4">
        <f t="shared" si="12"/>
        <v>-53631.848602049031</v>
      </c>
      <c r="O84" s="147">
        <f t="shared" si="9"/>
        <v>-128748.95386667221</v>
      </c>
      <c r="P84" s="41">
        <f>O84/'D) Ecrêtage'!C85</f>
        <v>-8.4303772077583368</v>
      </c>
      <c r="Q84" s="143"/>
    </row>
    <row r="85" spans="1:17" x14ac:dyDescent="0.25">
      <c r="A85" s="57">
        <f>+'A) Base RI'!A87</f>
        <v>5530</v>
      </c>
      <c r="B85" s="350" t="str">
        <f>+'A) Base RI'!B87</f>
        <v>Pailly</v>
      </c>
      <c r="C85" s="364">
        <f>+'D) Ecrêtage'!M85</f>
        <v>15272.027655913982</v>
      </c>
      <c r="D85" s="332">
        <v>525635</v>
      </c>
      <c r="E85" s="364">
        <v>25451</v>
      </c>
      <c r="F85" s="332">
        <v>52427</v>
      </c>
      <c r="G85" s="364">
        <f t="shared" si="13"/>
        <v>603513</v>
      </c>
      <c r="H85" s="332">
        <f t="shared" si="14"/>
        <v>122176.22124731186</v>
      </c>
      <c r="I85" s="14">
        <f t="shared" si="15"/>
        <v>481336.77875268814</v>
      </c>
      <c r="J85" s="361">
        <f t="shared" si="10"/>
        <v>-353246.93326255149</v>
      </c>
      <c r="K85" s="19">
        <v>38709</v>
      </c>
      <c r="L85" s="14">
        <f t="shared" si="11"/>
        <v>15272.027655913982</v>
      </c>
      <c r="M85" s="19">
        <f t="shared" si="8"/>
        <v>23436.972344086018</v>
      </c>
      <c r="N85" s="4">
        <f t="shared" si="12"/>
        <v>-17200.095589955752</v>
      </c>
      <c r="O85" s="147">
        <f t="shared" si="9"/>
        <v>-370447.02885250724</v>
      </c>
      <c r="P85" s="41">
        <f>O85/'D) Ecrêtage'!C86</f>
        <v>-30.611155864713233</v>
      </c>
      <c r="Q85" s="143"/>
    </row>
    <row r="86" spans="1:17" x14ac:dyDescent="0.25">
      <c r="A86" s="57">
        <f>+'A) Base RI'!A88</f>
        <v>5531</v>
      </c>
      <c r="B86" s="350" t="str">
        <f>+'A) Base RI'!B88</f>
        <v>Penthéréaz</v>
      </c>
      <c r="C86" s="364">
        <f>+'D) Ecrêtage'!M86</f>
        <v>12101.700128205126</v>
      </c>
      <c r="D86" s="332">
        <v>128712</v>
      </c>
      <c r="E86" s="364">
        <v>12383</v>
      </c>
      <c r="F86" s="332">
        <v>38264</v>
      </c>
      <c r="G86" s="364">
        <f t="shared" si="13"/>
        <v>179359</v>
      </c>
      <c r="H86" s="332">
        <f t="shared" si="14"/>
        <v>96813.601025641008</v>
      </c>
      <c r="I86" s="14">
        <f t="shared" si="15"/>
        <v>82545.398974358992</v>
      </c>
      <c r="J86" s="361">
        <f t="shared" si="10"/>
        <v>-60579.01729052786</v>
      </c>
      <c r="K86" s="19">
        <v>30796</v>
      </c>
      <c r="L86" s="14">
        <f t="shared" si="11"/>
        <v>12101.700128205126</v>
      </c>
      <c r="M86" s="19">
        <f t="shared" si="8"/>
        <v>18694.299871794872</v>
      </c>
      <c r="N86" s="4">
        <f t="shared" si="12"/>
        <v>-13719.508649047251</v>
      </c>
      <c r="O86" s="147">
        <f t="shared" si="9"/>
        <v>-74298.525939575105</v>
      </c>
      <c r="P86" s="41">
        <f>O86/'D) Ecrêtage'!C87</f>
        <v>-2.7472011908620613</v>
      </c>
      <c r="Q86" s="143"/>
    </row>
    <row r="87" spans="1:17" x14ac:dyDescent="0.25">
      <c r="A87" s="57">
        <f>+'A) Base RI'!A89</f>
        <v>5533</v>
      </c>
      <c r="B87" s="350" t="str">
        <f>+'A) Base RI'!B89</f>
        <v>Poliez-Pittet</v>
      </c>
      <c r="C87" s="364">
        <f>+'D) Ecrêtage'!M87</f>
        <v>27045.170985915491</v>
      </c>
      <c r="D87" s="332">
        <v>140656</v>
      </c>
      <c r="E87" s="364">
        <v>25944</v>
      </c>
      <c r="F87" s="332">
        <v>80167</v>
      </c>
      <c r="G87" s="364">
        <f t="shared" si="13"/>
        <v>246767</v>
      </c>
      <c r="H87" s="332">
        <f t="shared" si="14"/>
        <v>216361.36788732393</v>
      </c>
      <c r="I87" s="14">
        <f t="shared" si="15"/>
        <v>30405.632112676074</v>
      </c>
      <c r="J87" s="361">
        <f t="shared" si="10"/>
        <v>-22314.306265033552</v>
      </c>
      <c r="K87" s="19">
        <v>45843</v>
      </c>
      <c r="L87" s="14">
        <f t="shared" si="11"/>
        <v>27045.170985915491</v>
      </c>
      <c r="M87" s="19">
        <f t="shared" si="8"/>
        <v>18797.829014084509</v>
      </c>
      <c r="N87" s="4">
        <f t="shared" si="12"/>
        <v>-13795.487368379452</v>
      </c>
      <c r="O87" s="147">
        <f t="shared" si="9"/>
        <v>-36109.793633413006</v>
      </c>
      <c r="P87" s="41">
        <f>O87/'D) Ecrêtage'!C88</f>
        <v>-3.3024759487077646</v>
      </c>
      <c r="Q87" s="143"/>
    </row>
    <row r="88" spans="1:17" x14ac:dyDescent="0.25">
      <c r="A88" s="57">
        <f>+'A) Base RI'!A90</f>
        <v>5534</v>
      </c>
      <c r="B88" s="350" t="str">
        <f>+'A) Base RI'!B90</f>
        <v>Rueyres</v>
      </c>
      <c r="C88" s="364">
        <f>+'D) Ecrêtage'!M88</f>
        <v>10934.157945205479</v>
      </c>
      <c r="D88" s="332">
        <v>111712</v>
      </c>
      <c r="E88" s="364">
        <v>16871</v>
      </c>
      <c r="F88" s="332">
        <v>26066</v>
      </c>
      <c r="G88" s="364">
        <f t="shared" si="13"/>
        <v>154649</v>
      </c>
      <c r="H88" s="332">
        <f t="shared" si="14"/>
        <v>87473.263561643835</v>
      </c>
      <c r="I88" s="14">
        <f t="shared" si="15"/>
        <v>67175.736438356165</v>
      </c>
      <c r="J88" s="361">
        <f t="shared" si="10"/>
        <v>-49299.417650972973</v>
      </c>
      <c r="K88" s="19">
        <v>11359</v>
      </c>
      <c r="L88" s="14">
        <f t="shared" si="11"/>
        <v>10934.157945205479</v>
      </c>
      <c r="M88" s="19">
        <f t="shared" si="8"/>
        <v>424.84205479452066</v>
      </c>
      <c r="N88" s="4">
        <f t="shared" si="12"/>
        <v>-311.78617467383208</v>
      </c>
      <c r="O88" s="147">
        <f t="shared" si="9"/>
        <v>-49611.203825646808</v>
      </c>
      <c r="P88" s="41">
        <f>O88/'D) Ecrêtage'!C89</f>
        <v>-2.3969605357704804</v>
      </c>
      <c r="Q88" s="143"/>
    </row>
    <row r="89" spans="1:17" x14ac:dyDescent="0.25">
      <c r="A89" s="57">
        <f>+'A) Base RI'!A91</f>
        <v>5535</v>
      </c>
      <c r="B89" s="350" t="str">
        <f>+'A) Base RI'!B91</f>
        <v>Saint-Barthélemy</v>
      </c>
      <c r="C89" s="364">
        <f>+'D) Ecrêtage'!M89</f>
        <v>20697.547200000001</v>
      </c>
      <c r="D89" s="332">
        <v>39906</v>
      </c>
      <c r="E89" s="364">
        <v>24894</v>
      </c>
      <c r="F89" s="332">
        <v>76921</v>
      </c>
      <c r="G89" s="364">
        <f t="shared" si="13"/>
        <v>141721</v>
      </c>
      <c r="H89" s="332">
        <f t="shared" si="14"/>
        <v>165580.37760000001</v>
      </c>
      <c r="I89" s="14">
        <f t="shared" si="15"/>
        <v>0</v>
      </c>
      <c r="J89" s="361">
        <f t="shared" si="10"/>
        <v>0</v>
      </c>
      <c r="K89" s="19">
        <v>13084</v>
      </c>
      <c r="L89" s="14">
        <f t="shared" si="11"/>
        <v>20697.547200000001</v>
      </c>
      <c r="M89" s="19">
        <f t="shared" si="8"/>
        <v>0</v>
      </c>
      <c r="N89" s="4">
        <f t="shared" si="12"/>
        <v>0</v>
      </c>
      <c r="O89" s="147">
        <f t="shared" si="9"/>
        <v>0</v>
      </c>
      <c r="P89" s="41">
        <f>O89/'D) Ecrêtage'!C90</f>
        <v>0</v>
      </c>
      <c r="Q89" s="143"/>
    </row>
    <row r="90" spans="1:17" x14ac:dyDescent="0.25">
      <c r="A90" s="57">
        <f>+'A) Base RI'!A92</f>
        <v>5537</v>
      </c>
      <c r="B90" s="350" t="str">
        <f>+'A) Base RI'!B92</f>
        <v>Villars-le-Terroir</v>
      </c>
      <c r="C90" s="364">
        <f>+'D) Ecrêtage'!M90</f>
        <v>30041.138287671231</v>
      </c>
      <c r="D90" s="332">
        <v>209586</v>
      </c>
      <c r="E90" s="364">
        <v>49326</v>
      </c>
      <c r="F90" s="332">
        <v>101610</v>
      </c>
      <c r="G90" s="364">
        <f t="shared" si="13"/>
        <v>360522</v>
      </c>
      <c r="H90" s="332">
        <f t="shared" si="14"/>
        <v>240329.10630136984</v>
      </c>
      <c r="I90" s="14">
        <f t="shared" si="15"/>
        <v>120192.89369863016</v>
      </c>
      <c r="J90" s="361">
        <f t="shared" si="10"/>
        <v>-88208.034318540711</v>
      </c>
      <c r="K90" s="19">
        <v>-7914</v>
      </c>
      <c r="L90" s="14">
        <f t="shared" si="11"/>
        <v>30041.138287671231</v>
      </c>
      <c r="M90" s="19">
        <f t="shared" si="8"/>
        <v>0</v>
      </c>
      <c r="N90" s="4">
        <f t="shared" si="12"/>
        <v>0</v>
      </c>
      <c r="O90" s="147">
        <f t="shared" si="9"/>
        <v>-88208.034318540711</v>
      </c>
      <c r="P90" s="41">
        <f>O90/'D) Ecrêtage'!C91</f>
        <v>-3.8811946936314325</v>
      </c>
      <c r="Q90" s="143"/>
    </row>
    <row r="91" spans="1:17" x14ac:dyDescent="0.25">
      <c r="A91" s="57">
        <f>+'A) Base RI'!A93</f>
        <v>5539</v>
      </c>
      <c r="B91" s="350" t="str">
        <f>+'A) Base RI'!B93</f>
        <v>Vuarrens</v>
      </c>
      <c r="C91" s="364">
        <f>+'D) Ecrêtage'!M91</f>
        <v>22727.031566666661</v>
      </c>
      <c r="D91" s="332">
        <v>412148</v>
      </c>
      <c r="E91" s="364">
        <v>44646</v>
      </c>
      <c r="F91" s="332">
        <v>98364</v>
      </c>
      <c r="G91" s="364">
        <f t="shared" si="13"/>
        <v>555158</v>
      </c>
      <c r="H91" s="332">
        <f t="shared" si="14"/>
        <v>181816.25253333329</v>
      </c>
      <c r="I91" s="14">
        <f t="shared" si="15"/>
        <v>373341.74746666674</v>
      </c>
      <c r="J91" s="361">
        <f t="shared" si="10"/>
        <v>-273990.75485823851</v>
      </c>
      <c r="K91" s="19">
        <v>73091</v>
      </c>
      <c r="L91" s="14">
        <f t="shared" si="11"/>
        <v>22727.031566666661</v>
      </c>
      <c r="M91" s="19">
        <f>IF(K91&gt;L91,K91-L91,0)</f>
        <v>50363.968433333343</v>
      </c>
      <c r="N91" s="4">
        <f t="shared" si="12"/>
        <v>-36961.475169442565</v>
      </c>
      <c r="O91" s="147">
        <f>N91+J91</f>
        <v>-310952.2300276811</v>
      </c>
      <c r="P91" s="41">
        <f>O91/'D) Ecrêtage'!C92</f>
        <v>-5.6664858058423349</v>
      </c>
      <c r="Q91" s="143"/>
    </row>
    <row r="92" spans="1:17" x14ac:dyDescent="0.25">
      <c r="A92" s="57">
        <f>+'A) Base RI'!A94</f>
        <v>5540</v>
      </c>
      <c r="B92" s="350" t="str">
        <f>+'A) Base RI'!B94</f>
        <v>Montilliez</v>
      </c>
      <c r="C92" s="364">
        <f>+'D) Ecrêtage'!M92</f>
        <v>54875.674391891895</v>
      </c>
      <c r="D92" s="332">
        <v>404215</v>
      </c>
      <c r="E92" s="364">
        <v>131790</v>
      </c>
      <c r="F92" s="332">
        <v>162891</v>
      </c>
      <c r="G92" s="364">
        <f t="shared" si="13"/>
        <v>698896</v>
      </c>
      <c r="H92" s="332">
        <f t="shared" si="14"/>
        <v>439005.39513513516</v>
      </c>
      <c r="I92" s="14">
        <f t="shared" si="15"/>
        <v>259890.60486486484</v>
      </c>
      <c r="J92" s="361">
        <f t="shared" si="10"/>
        <v>-190730.4058297048</v>
      </c>
      <c r="K92" s="19">
        <v>60810</v>
      </c>
      <c r="L92" s="14">
        <f t="shared" si="11"/>
        <v>54875.674391891895</v>
      </c>
      <c r="M92" s="19">
        <f>IF(K92&gt;L92,K92-L92,0)</f>
        <v>5934.3256081081054</v>
      </c>
      <c r="N92" s="4">
        <f t="shared" si="12"/>
        <v>-4355.1260044532946</v>
      </c>
      <c r="O92" s="147">
        <f>N92+J92</f>
        <v>-195085.53183415809</v>
      </c>
      <c r="P92" s="41">
        <f>O92/'D) Ecrêtage'!C93</f>
        <v>-6.0029881379331993</v>
      </c>
      <c r="Q92" s="143"/>
    </row>
    <row r="93" spans="1:17" x14ac:dyDescent="0.25">
      <c r="A93" s="57">
        <f>+'A) Base RI'!A95</f>
        <v>5541</v>
      </c>
      <c r="B93" s="350" t="str">
        <f>+'A) Base RI'!B95</f>
        <v>Goumoëns</v>
      </c>
      <c r="C93" s="364">
        <f>+'D) Ecrêtage'!M93</f>
        <v>32498.070519480509</v>
      </c>
      <c r="D93" s="332">
        <v>221676</v>
      </c>
      <c r="E93" s="364">
        <v>33584</v>
      </c>
      <c r="F93" s="332">
        <v>103774</v>
      </c>
      <c r="G93" s="364">
        <f t="shared" si="13"/>
        <v>359034</v>
      </c>
      <c r="H93" s="332">
        <f t="shared" si="14"/>
        <v>259984.56415584407</v>
      </c>
      <c r="I93" s="14">
        <f t="shared" si="15"/>
        <v>99049.435844155931</v>
      </c>
      <c r="J93" s="361">
        <f t="shared" si="10"/>
        <v>-72691.119810130491</v>
      </c>
      <c r="K93" s="19">
        <v>7315</v>
      </c>
      <c r="L93" s="14">
        <f t="shared" si="11"/>
        <v>32498.070519480509</v>
      </c>
      <c r="M93" s="19">
        <f t="shared" si="8"/>
        <v>0</v>
      </c>
      <c r="N93" s="4">
        <f t="shared" si="12"/>
        <v>0</v>
      </c>
      <c r="O93" s="147">
        <f t="shared" si="9"/>
        <v>-72691.119810130491</v>
      </c>
      <c r="P93" s="41">
        <f>O93/'D) Ecrêtage'!C94</f>
        <v>-3.7679477665265213</v>
      </c>
      <c r="Q93" s="143"/>
    </row>
    <row r="94" spans="1:17" x14ac:dyDescent="0.25">
      <c r="A94" s="57">
        <f>+'A) Base RI'!A96</f>
        <v>5551</v>
      </c>
      <c r="B94" s="350" t="str">
        <f>+'A) Base RI'!B96</f>
        <v>Bonvillars</v>
      </c>
      <c r="C94" s="364">
        <f>+'D) Ecrêtage'!M94</f>
        <v>19291.965896103895</v>
      </c>
      <c r="D94" s="332">
        <v>110555</v>
      </c>
      <c r="E94" s="364">
        <v>30492</v>
      </c>
      <c r="F94" s="332">
        <v>66456</v>
      </c>
      <c r="G94" s="364">
        <f t="shared" si="13"/>
        <v>207503</v>
      </c>
      <c r="H94" s="332">
        <f t="shared" si="14"/>
        <v>154335.72716883116</v>
      </c>
      <c r="I94" s="14">
        <f t="shared" si="15"/>
        <v>53167.272831168841</v>
      </c>
      <c r="J94" s="361">
        <f t="shared" si="10"/>
        <v>-39018.784573687386</v>
      </c>
      <c r="K94" s="19">
        <v>58632</v>
      </c>
      <c r="L94" s="14">
        <f t="shared" si="11"/>
        <v>19291.965896103895</v>
      </c>
      <c r="M94" s="19">
        <f t="shared" si="8"/>
        <v>39340.034103896105</v>
      </c>
      <c r="N94" s="4">
        <f t="shared" si="12"/>
        <v>-28871.150128308946</v>
      </c>
      <c r="O94" s="147">
        <f t="shared" si="9"/>
        <v>-67889.934701996332</v>
      </c>
      <c r="P94" s="41">
        <f>O94/'D) Ecrêtage'!C95</f>
        <v>-4.3144337709355334</v>
      </c>
      <c r="Q94" s="143"/>
    </row>
    <row r="95" spans="1:17" x14ac:dyDescent="0.25">
      <c r="A95" s="57">
        <f>+'A) Base RI'!A97</f>
        <v>5552</v>
      </c>
      <c r="B95" s="350" t="str">
        <f>+'A) Base RI'!B97</f>
        <v>Bullet</v>
      </c>
      <c r="C95" s="364">
        <f>+'D) Ecrêtage'!M95</f>
        <v>15735.537571428569</v>
      </c>
      <c r="D95" s="332">
        <v>295943</v>
      </c>
      <c r="E95" s="364">
        <v>24345</v>
      </c>
      <c r="F95" s="332">
        <v>46812</v>
      </c>
      <c r="G95" s="364">
        <f t="shared" si="13"/>
        <v>367100</v>
      </c>
      <c r="H95" s="332">
        <f t="shared" si="14"/>
        <v>125884.30057142855</v>
      </c>
      <c r="I95" s="14">
        <f t="shared" si="15"/>
        <v>241215.69942857145</v>
      </c>
      <c r="J95" s="361">
        <f t="shared" si="10"/>
        <v>-177025.13050993069</v>
      </c>
      <c r="K95" s="19">
        <v>33820</v>
      </c>
      <c r="L95" s="14">
        <f t="shared" si="11"/>
        <v>15735.537571428569</v>
      </c>
      <c r="M95" s="19">
        <f t="shared" si="8"/>
        <v>18084.462428571431</v>
      </c>
      <c r="N95" s="4">
        <f t="shared" si="12"/>
        <v>-13271.956714275939</v>
      </c>
      <c r="O95" s="147">
        <f t="shared" si="9"/>
        <v>-190297.08722420663</v>
      </c>
      <c r="P95" s="41">
        <f>O95/'D) Ecrêtage'!C96</f>
        <v>-5.7026766854594424</v>
      </c>
      <c r="Q95" s="143"/>
    </row>
    <row r="96" spans="1:17" x14ac:dyDescent="0.25">
      <c r="A96" s="57">
        <f>+'A) Base RI'!A98</f>
        <v>5553</v>
      </c>
      <c r="B96" s="350" t="str">
        <f>+'A) Base RI'!B98</f>
        <v>Champagne</v>
      </c>
      <c r="C96" s="364">
        <f>+'D) Ecrêtage'!M96</f>
        <v>33369.783650793652</v>
      </c>
      <c r="D96" s="332">
        <v>515353</v>
      </c>
      <c r="E96" s="364">
        <v>63153</v>
      </c>
      <c r="F96" s="332">
        <v>150249</v>
      </c>
      <c r="G96" s="364">
        <f t="shared" si="13"/>
        <v>728755</v>
      </c>
      <c r="H96" s="332">
        <f t="shared" si="14"/>
        <v>266958.26920634921</v>
      </c>
      <c r="I96" s="14">
        <f t="shared" si="15"/>
        <v>461796.73079365079</v>
      </c>
      <c r="J96" s="361">
        <f t="shared" si="10"/>
        <v>-338906.74086084095</v>
      </c>
      <c r="K96" s="19">
        <v>36853</v>
      </c>
      <c r="L96" s="14">
        <f t="shared" si="11"/>
        <v>33369.783650793652</v>
      </c>
      <c r="M96" s="19">
        <f t="shared" si="8"/>
        <v>3483.2163492063482</v>
      </c>
      <c r="N96" s="4">
        <f t="shared" si="12"/>
        <v>-2556.2881283155043</v>
      </c>
      <c r="O96" s="147">
        <f t="shared" si="9"/>
        <v>-341463.02898915648</v>
      </c>
      <c r="P96" s="41">
        <f>O96/'D) Ecrêtage'!C97</f>
        <v>-11.779986177290899</v>
      </c>
      <c r="Q96" s="143"/>
    </row>
    <row r="97" spans="1:17" x14ac:dyDescent="0.25">
      <c r="A97" s="57">
        <f>+'A) Base RI'!A99</f>
        <v>5554</v>
      </c>
      <c r="B97" s="350" t="str">
        <f>+'A) Base RI'!B99</f>
        <v>Concise</v>
      </c>
      <c r="C97" s="364">
        <f>+'D) Ecrêtage'!M97</f>
        <v>28986.7088</v>
      </c>
      <c r="D97" s="332">
        <v>180405</v>
      </c>
      <c r="E97" s="364">
        <v>76652</v>
      </c>
      <c r="F97" s="332">
        <v>114131</v>
      </c>
      <c r="G97" s="364">
        <f t="shared" si="13"/>
        <v>371188</v>
      </c>
      <c r="H97" s="332">
        <f t="shared" si="14"/>
        <v>231893.6704</v>
      </c>
      <c r="I97" s="14">
        <f t="shared" si="15"/>
        <v>139294.3296</v>
      </c>
      <c r="J97" s="361">
        <f t="shared" si="10"/>
        <v>-102226.33491579673</v>
      </c>
      <c r="K97" s="19">
        <v>24684</v>
      </c>
      <c r="L97" s="14">
        <f t="shared" si="11"/>
        <v>28986.7088</v>
      </c>
      <c r="M97" s="19">
        <f t="shared" si="8"/>
        <v>0</v>
      </c>
      <c r="N97" s="4">
        <f t="shared" si="12"/>
        <v>0</v>
      </c>
      <c r="O97" s="147">
        <f t="shared" si="9"/>
        <v>-102226.33491579673</v>
      </c>
      <c r="P97" s="41">
        <f>O97/'D) Ecrêtage'!C98</f>
        <v>-9.2593194562859029</v>
      </c>
      <c r="Q97" s="143"/>
    </row>
    <row r="98" spans="1:17" x14ac:dyDescent="0.25">
      <c r="A98" s="57">
        <f>+'A) Base RI'!A100</f>
        <v>5555</v>
      </c>
      <c r="B98" s="350" t="str">
        <f>+'A) Base RI'!B100</f>
        <v>Corcelles-près-Concise</v>
      </c>
      <c r="C98" s="364">
        <f>+'D) Ecrêtage'!M98</f>
        <v>11040.372394366199</v>
      </c>
      <c r="D98" s="332">
        <v>137499</v>
      </c>
      <c r="E98" s="364">
        <v>20308</v>
      </c>
      <c r="F98" s="332">
        <v>43341</v>
      </c>
      <c r="G98" s="364">
        <f t="shared" si="13"/>
        <v>201148</v>
      </c>
      <c r="H98" s="332">
        <f t="shared" si="14"/>
        <v>88322.979154929591</v>
      </c>
      <c r="I98" s="14">
        <f t="shared" si="15"/>
        <v>112825.02084507041</v>
      </c>
      <c r="J98" s="361">
        <f t="shared" si="10"/>
        <v>-82800.846243420339</v>
      </c>
      <c r="K98" s="19">
        <v>36361</v>
      </c>
      <c r="L98" s="14">
        <f t="shared" si="11"/>
        <v>11040.372394366199</v>
      </c>
      <c r="M98" s="19">
        <f t="shared" si="8"/>
        <v>25320.627605633803</v>
      </c>
      <c r="N98" s="4">
        <f t="shared" si="12"/>
        <v>-18582.486202594777</v>
      </c>
      <c r="O98" s="147">
        <f t="shared" si="9"/>
        <v>-101383.33244601512</v>
      </c>
      <c r="P98" s="41">
        <f>O98/'D) Ecrêtage'!C99</f>
        <v>-8.1283837392109088</v>
      </c>
      <c r="Q98" s="143"/>
    </row>
    <row r="99" spans="1:17" x14ac:dyDescent="0.25">
      <c r="A99" s="57">
        <f>+'A) Base RI'!A101</f>
        <v>5556</v>
      </c>
      <c r="B99" s="350" t="str">
        <f>+'A) Base RI'!B101</f>
        <v>Fiez</v>
      </c>
      <c r="C99" s="364">
        <f>+'D) Ecrêtage'!M99</f>
        <v>12472.754202898552</v>
      </c>
      <c r="D99" s="332">
        <v>54646</v>
      </c>
      <c r="E99" s="364">
        <v>16913</v>
      </c>
      <c r="F99" s="332">
        <v>75518</v>
      </c>
      <c r="G99" s="364">
        <f t="shared" si="13"/>
        <v>147077</v>
      </c>
      <c r="H99" s="332">
        <f t="shared" si="14"/>
        <v>99782.033623188414</v>
      </c>
      <c r="I99" s="14">
        <f t="shared" si="15"/>
        <v>47294.966376811586</v>
      </c>
      <c r="J99" s="361">
        <f t="shared" si="10"/>
        <v>-34709.173636507359</v>
      </c>
      <c r="K99" s="19">
        <v>17782</v>
      </c>
      <c r="L99" s="14">
        <f t="shared" si="11"/>
        <v>12472.754202898552</v>
      </c>
      <c r="M99" s="19">
        <f t="shared" si="8"/>
        <v>5309.2457971014483</v>
      </c>
      <c r="N99" s="4">
        <f t="shared" si="12"/>
        <v>-3896.3878900407071</v>
      </c>
      <c r="O99" s="147">
        <f t="shared" si="9"/>
        <v>-38605.561526548066</v>
      </c>
      <c r="P99" s="41">
        <f>O99/'D) Ecrêtage'!C100</f>
        <v>-9.5788610504757656</v>
      </c>
      <c r="Q99" s="143"/>
    </row>
    <row r="100" spans="1:17" x14ac:dyDescent="0.25">
      <c r="A100" s="57">
        <f>+'A) Base RI'!A102</f>
        <v>5557</v>
      </c>
      <c r="B100" s="350" t="str">
        <f>+'A) Base RI'!B102</f>
        <v>Fontaines-sur-Grandson</v>
      </c>
      <c r="C100" s="364">
        <f>+'D) Ecrêtage'!M100</f>
        <v>4030.2872463768117</v>
      </c>
      <c r="D100" s="332">
        <v>18728</v>
      </c>
      <c r="E100" s="364">
        <v>7673</v>
      </c>
      <c r="F100" s="332">
        <v>33950</v>
      </c>
      <c r="G100" s="364">
        <f t="shared" si="13"/>
        <v>60351</v>
      </c>
      <c r="H100" s="332">
        <f t="shared" si="14"/>
        <v>32242.297971014494</v>
      </c>
      <c r="I100" s="14">
        <f t="shared" si="15"/>
        <v>28108.702028985506</v>
      </c>
      <c r="J100" s="361">
        <f t="shared" si="10"/>
        <v>-20628.618522482968</v>
      </c>
      <c r="K100" s="19">
        <v>24986</v>
      </c>
      <c r="L100" s="14">
        <f t="shared" si="11"/>
        <v>4030.2872463768117</v>
      </c>
      <c r="M100" s="19">
        <f t="shared" si="8"/>
        <v>20955.712753623189</v>
      </c>
      <c r="N100" s="4">
        <f t="shared" si="12"/>
        <v>-15379.130769377112</v>
      </c>
      <c r="O100" s="147">
        <f t="shared" si="9"/>
        <v>-36007.749291860076</v>
      </c>
      <c r="P100" s="41">
        <f>O100/'D) Ecrêtage'!C101</f>
        <v>-1.9839922055760695</v>
      </c>
      <c r="Q100" s="143"/>
    </row>
    <row r="101" spans="1:17" x14ac:dyDescent="0.25">
      <c r="A101" s="57">
        <f>+'A) Base RI'!A103</f>
        <v>5559</v>
      </c>
      <c r="B101" s="350" t="str">
        <f>+'A) Base RI'!B103</f>
        <v>Giez</v>
      </c>
      <c r="C101" s="364">
        <f>+'D) Ecrêtage'!M101</f>
        <v>18149.138484848489</v>
      </c>
      <c r="D101" s="332">
        <v>61944</v>
      </c>
      <c r="E101" s="364">
        <v>15627</v>
      </c>
      <c r="F101" s="332">
        <v>62768</v>
      </c>
      <c r="G101" s="364">
        <f t="shared" si="13"/>
        <v>140339</v>
      </c>
      <c r="H101" s="332">
        <f t="shared" si="14"/>
        <v>145193.10787878791</v>
      </c>
      <c r="I101" s="14">
        <f t="shared" si="15"/>
        <v>0</v>
      </c>
      <c r="J101" s="361">
        <f t="shared" si="10"/>
        <v>0</v>
      </c>
      <c r="K101" s="19">
        <v>8740</v>
      </c>
      <c r="L101" s="14">
        <f t="shared" si="11"/>
        <v>18149.138484848489</v>
      </c>
      <c r="M101" s="19">
        <f t="shared" si="8"/>
        <v>0</v>
      </c>
      <c r="N101" s="4">
        <f t="shared" si="12"/>
        <v>0</v>
      </c>
      <c r="O101" s="147">
        <f t="shared" si="9"/>
        <v>0</v>
      </c>
      <c r="P101" s="41">
        <f>O101/'D) Ecrêtage'!C102</f>
        <v>0</v>
      </c>
      <c r="Q101" s="143"/>
    </row>
    <row r="102" spans="1:17" x14ac:dyDescent="0.25">
      <c r="A102" s="57">
        <f>+'A) Base RI'!A104</f>
        <v>5560</v>
      </c>
      <c r="B102" s="350" t="str">
        <f>+'A) Base RI'!B104</f>
        <v>Grandevent</v>
      </c>
      <c r="C102" s="364">
        <f>+'D) Ecrêtage'!M102</f>
        <v>6446.6273529411765</v>
      </c>
      <c r="D102" s="332">
        <v>31887</v>
      </c>
      <c r="E102" s="364">
        <v>9320</v>
      </c>
      <c r="F102" s="332">
        <v>24560</v>
      </c>
      <c r="G102" s="364">
        <f t="shared" si="13"/>
        <v>65767</v>
      </c>
      <c r="H102" s="332">
        <f t="shared" si="14"/>
        <v>51573.018823529412</v>
      </c>
      <c r="I102" s="14">
        <f t="shared" si="15"/>
        <v>14193.981176470588</v>
      </c>
      <c r="J102" s="361">
        <f t="shared" si="10"/>
        <v>-10416.782059263358</v>
      </c>
      <c r="K102" s="19">
        <v>17754</v>
      </c>
      <c r="L102" s="14">
        <f t="shared" si="11"/>
        <v>6446.6273529411765</v>
      </c>
      <c r="M102" s="19">
        <f t="shared" si="8"/>
        <v>11307.372647058823</v>
      </c>
      <c r="N102" s="4">
        <f t="shared" si="12"/>
        <v>-8298.3368135321016</v>
      </c>
      <c r="O102" s="147">
        <f t="shared" si="9"/>
        <v>-18715.118872795458</v>
      </c>
      <c r="P102" s="41">
        <f>O102/'D) Ecrêtage'!C103</f>
        <v>-0.1624993805772989</v>
      </c>
      <c r="Q102" s="143"/>
    </row>
    <row r="103" spans="1:17" x14ac:dyDescent="0.25">
      <c r="A103" s="57">
        <f>+'A) Base RI'!A105</f>
        <v>5561</v>
      </c>
      <c r="B103" s="350" t="str">
        <f>+'A) Base RI'!B105</f>
        <v>Grandson</v>
      </c>
      <c r="C103" s="364">
        <f>+'D) Ecrêtage'!M103</f>
        <v>115170.40130434782</v>
      </c>
      <c r="D103" s="332">
        <v>1194029</v>
      </c>
      <c r="E103" s="364">
        <v>331735</v>
      </c>
      <c r="F103" s="332">
        <v>419138</v>
      </c>
      <c r="G103" s="364">
        <f t="shared" si="13"/>
        <v>1944902</v>
      </c>
      <c r="H103" s="332">
        <f t="shared" si="14"/>
        <v>921363.21043478255</v>
      </c>
      <c r="I103" s="14">
        <f t="shared" si="15"/>
        <v>1023538.7895652174</v>
      </c>
      <c r="J103" s="361">
        <f t="shared" si="10"/>
        <v>-751162.08536175126</v>
      </c>
      <c r="K103" s="19">
        <v>40099</v>
      </c>
      <c r="L103" s="14">
        <f t="shared" si="11"/>
        <v>115170.40130434782</v>
      </c>
      <c r="M103" s="19">
        <f t="shared" si="8"/>
        <v>0</v>
      </c>
      <c r="N103" s="4">
        <f t="shared" si="12"/>
        <v>0</v>
      </c>
      <c r="O103" s="147">
        <f t="shared" si="9"/>
        <v>-751162.08536175126</v>
      </c>
      <c r="P103" s="41">
        <f>O103/'D) Ecrêtage'!C104</f>
        <v>-205.09239404145237</v>
      </c>
      <c r="Q103" s="143"/>
    </row>
    <row r="104" spans="1:17" x14ac:dyDescent="0.25">
      <c r="A104" s="57">
        <f>+'A) Base RI'!A106</f>
        <v>5562</v>
      </c>
      <c r="B104" s="350" t="str">
        <f>+'A) Base RI'!B106</f>
        <v>Mauborget</v>
      </c>
      <c r="C104" s="364">
        <f>+'D) Ecrêtage'!M104</f>
        <v>3662.5545714285713</v>
      </c>
      <c r="D104" s="332">
        <v>33113</v>
      </c>
      <c r="E104" s="364">
        <v>4781</v>
      </c>
      <c r="F104" s="332">
        <v>10076</v>
      </c>
      <c r="G104" s="364">
        <f t="shared" si="13"/>
        <v>47970</v>
      </c>
      <c r="H104" s="332">
        <f t="shared" si="14"/>
        <v>29300.43657142857</v>
      </c>
      <c r="I104" s="14">
        <f t="shared" si="15"/>
        <v>18669.56342857143</v>
      </c>
      <c r="J104" s="361">
        <f t="shared" si="10"/>
        <v>-13701.354888324566</v>
      </c>
      <c r="K104" s="19">
        <v>12205</v>
      </c>
      <c r="L104" s="14">
        <f t="shared" si="11"/>
        <v>3662.5545714285713</v>
      </c>
      <c r="M104" s="19">
        <f t="shared" si="8"/>
        <v>8542.4454285714291</v>
      </c>
      <c r="N104" s="4">
        <f t="shared" si="12"/>
        <v>-6269.19193256995</v>
      </c>
      <c r="O104" s="147">
        <f t="shared" si="9"/>
        <v>-19970.546820894517</v>
      </c>
      <c r="P104" s="41">
        <f>O104/'D) Ecrêtage'!C105</f>
        <v>-4.6712886432855303</v>
      </c>
      <c r="Q104" s="143"/>
    </row>
    <row r="105" spans="1:17" x14ac:dyDescent="0.25">
      <c r="A105" s="57">
        <f>+'A) Base RI'!A107</f>
        <v>5563</v>
      </c>
      <c r="B105" s="350" t="str">
        <f>+'A) Base RI'!B107</f>
        <v>Mutrux</v>
      </c>
      <c r="C105" s="364">
        <f>+'D) Ecrêtage'!M105</f>
        <v>4275.1686624203812</v>
      </c>
      <c r="D105" s="332">
        <v>25660</v>
      </c>
      <c r="E105" s="364">
        <v>6147</v>
      </c>
      <c r="F105" s="332">
        <v>20948</v>
      </c>
      <c r="G105" s="364">
        <f t="shared" si="13"/>
        <v>52755</v>
      </c>
      <c r="H105" s="332">
        <f t="shared" si="14"/>
        <v>34201.34929936305</v>
      </c>
      <c r="I105" s="14">
        <f t="shared" si="15"/>
        <v>18553.65070063695</v>
      </c>
      <c r="J105" s="361">
        <f t="shared" si="10"/>
        <v>-13616.288013162737</v>
      </c>
      <c r="K105" s="19">
        <v>15368</v>
      </c>
      <c r="L105" s="14">
        <f t="shared" si="11"/>
        <v>4275.1686624203812</v>
      </c>
      <c r="M105" s="19">
        <f t="shared" si="8"/>
        <v>11092.831337579619</v>
      </c>
      <c r="N105" s="4">
        <f t="shared" si="12"/>
        <v>-8140.88767817193</v>
      </c>
      <c r="O105" s="147">
        <f t="shared" si="9"/>
        <v>-21757.175691334669</v>
      </c>
      <c r="P105" s="41">
        <f>O105/'D) Ecrêtage'!C106</f>
        <v>-10.546336780271504</v>
      </c>
      <c r="Q105" s="143"/>
    </row>
    <row r="106" spans="1:17" x14ac:dyDescent="0.25">
      <c r="A106" s="57">
        <f>+'A) Base RI'!A108</f>
        <v>5564</v>
      </c>
      <c r="B106" s="350" t="str">
        <f>+'A) Base RI'!B108</f>
        <v>Novalles</v>
      </c>
      <c r="C106" s="364">
        <f>+'D) Ecrêtage'!M106</f>
        <v>2063.0078618421053</v>
      </c>
      <c r="D106" s="332">
        <v>4380</v>
      </c>
      <c r="E106" s="364">
        <v>4097</v>
      </c>
      <c r="F106" s="332">
        <v>16614</v>
      </c>
      <c r="G106" s="364">
        <f t="shared" si="13"/>
        <v>25091</v>
      </c>
      <c r="H106" s="332">
        <f t="shared" si="14"/>
        <v>16504.062894736842</v>
      </c>
      <c r="I106" s="14">
        <f t="shared" si="15"/>
        <v>8586.9371052631577</v>
      </c>
      <c r="J106" s="361">
        <f t="shared" si="10"/>
        <v>-6301.8438075997146</v>
      </c>
      <c r="K106" s="19">
        <v>6785</v>
      </c>
      <c r="L106" s="14">
        <f t="shared" si="11"/>
        <v>2063.0078618421053</v>
      </c>
      <c r="M106" s="19">
        <f t="shared" si="8"/>
        <v>4721.9921381578952</v>
      </c>
      <c r="N106" s="4">
        <f t="shared" si="12"/>
        <v>-3465.4099070023312</v>
      </c>
      <c r="O106" s="147">
        <f t="shared" si="9"/>
        <v>-9767.2537146020459</v>
      </c>
      <c r="P106" s="41">
        <f>O106/'D) Ecrêtage'!C107</f>
        <v>-0.545571095993444</v>
      </c>
      <c r="Q106" s="143"/>
    </row>
    <row r="107" spans="1:17" x14ac:dyDescent="0.25">
      <c r="A107" s="57">
        <f>+'A) Base RI'!A109</f>
        <v>5565</v>
      </c>
      <c r="B107" s="350" t="str">
        <f>+'A) Base RI'!B109</f>
        <v>Onnens</v>
      </c>
      <c r="C107" s="364">
        <f>+'D) Ecrêtage'!M107</f>
        <v>17902.806410256413</v>
      </c>
      <c r="D107" s="332">
        <v>98084</v>
      </c>
      <c r="E107" s="364">
        <v>29709</v>
      </c>
      <c r="F107" s="332">
        <v>74402</v>
      </c>
      <c r="G107" s="364">
        <f t="shared" si="13"/>
        <v>202195</v>
      </c>
      <c r="H107" s="332">
        <f t="shared" si="14"/>
        <v>143222.4512820513</v>
      </c>
      <c r="I107" s="14">
        <f t="shared" si="15"/>
        <v>58972.548717948695</v>
      </c>
      <c r="J107" s="361">
        <f t="shared" si="10"/>
        <v>-43279.202630795116</v>
      </c>
      <c r="K107" s="19">
        <v>40022</v>
      </c>
      <c r="L107" s="14">
        <f t="shared" si="11"/>
        <v>17902.806410256413</v>
      </c>
      <c r="M107" s="19">
        <f t="shared" si="8"/>
        <v>22119.193589743587</v>
      </c>
      <c r="N107" s="4">
        <f t="shared" si="12"/>
        <v>-16232.994540880953</v>
      </c>
      <c r="O107" s="147">
        <f t="shared" si="9"/>
        <v>-59512.197171676067</v>
      </c>
      <c r="P107" s="41">
        <f>O107/'D) Ecrêtage'!C108</f>
        <v>-6.9159234767296986</v>
      </c>
      <c r="Q107" s="143"/>
    </row>
    <row r="108" spans="1:17" x14ac:dyDescent="0.25">
      <c r="A108" s="57">
        <f>+'A) Base RI'!A110</f>
        <v>5566</v>
      </c>
      <c r="B108" s="350" t="str">
        <f>+'A) Base RI'!B110</f>
        <v>Provence</v>
      </c>
      <c r="C108" s="364">
        <f>+'D) Ecrêtage'!M108</f>
        <v>8605.0976954732487</v>
      </c>
      <c r="D108" s="332">
        <v>181248</v>
      </c>
      <c r="E108" s="364">
        <v>15467</v>
      </c>
      <c r="F108" s="332">
        <v>33228</v>
      </c>
      <c r="G108" s="364">
        <f t="shared" si="13"/>
        <v>229943</v>
      </c>
      <c r="H108" s="332">
        <f t="shared" si="14"/>
        <v>68840.781563785989</v>
      </c>
      <c r="I108" s="14">
        <f t="shared" si="15"/>
        <v>161102.21843621403</v>
      </c>
      <c r="J108" s="361">
        <f t="shared" si="10"/>
        <v>-118230.86686177825</v>
      </c>
      <c r="K108" s="19">
        <v>23413</v>
      </c>
      <c r="L108" s="14">
        <f t="shared" si="11"/>
        <v>8605.0976954732487</v>
      </c>
      <c r="M108" s="19">
        <f t="shared" si="8"/>
        <v>14807.902304526751</v>
      </c>
      <c r="N108" s="4">
        <f t="shared" si="12"/>
        <v>-10867.330958337516</v>
      </c>
      <c r="O108" s="147">
        <f t="shared" si="9"/>
        <v>-129098.19782011578</v>
      </c>
      <c r="P108" s="41">
        <f>O108/'D) Ecrêtage'!C109</f>
        <v>-1.3415679480231384</v>
      </c>
      <c r="Q108" s="143"/>
    </row>
    <row r="109" spans="1:17" x14ac:dyDescent="0.25">
      <c r="A109" s="57">
        <f>+'A) Base RI'!A111</f>
        <v>5568</v>
      </c>
      <c r="B109" s="350" t="str">
        <f>+'A) Base RI'!B111</f>
        <v>Sainte-Croix</v>
      </c>
      <c r="C109" s="364">
        <f>+'D) Ecrêtage'!M109</f>
        <v>96229.339714285714</v>
      </c>
      <c r="D109" s="332">
        <v>1519882</v>
      </c>
      <c r="E109" s="364">
        <v>478369</v>
      </c>
      <c r="F109" s="332">
        <v>165766</v>
      </c>
      <c r="G109" s="364">
        <f t="shared" si="13"/>
        <v>2164017</v>
      </c>
      <c r="H109" s="332">
        <f t="shared" si="14"/>
        <v>769834.71771428571</v>
      </c>
      <c r="I109" s="14">
        <f t="shared" si="15"/>
        <v>1394182.2822857143</v>
      </c>
      <c r="J109" s="361">
        <f t="shared" si="10"/>
        <v>-1023172.6254175481</v>
      </c>
      <c r="K109" s="19">
        <v>-71518</v>
      </c>
      <c r="L109" s="14">
        <f t="shared" si="11"/>
        <v>96229.339714285714</v>
      </c>
      <c r="M109" s="19">
        <f t="shared" si="8"/>
        <v>0</v>
      </c>
      <c r="N109" s="4">
        <f t="shared" si="12"/>
        <v>0</v>
      </c>
      <c r="O109" s="147">
        <f t="shared" si="9"/>
        <v>-1023172.6254175481</v>
      </c>
      <c r="P109" s="41">
        <f>O109/'D) Ecrêtage'!C110</f>
        <v>-48.807417400519775</v>
      </c>
      <c r="Q109" s="143"/>
    </row>
    <row r="110" spans="1:17" x14ac:dyDescent="0.25">
      <c r="A110" s="57">
        <f>+'A) Base RI'!A112</f>
        <v>5571</v>
      </c>
      <c r="B110" s="350" t="str">
        <f>+'A) Base RI'!B112</f>
        <v>Tévenon</v>
      </c>
      <c r="C110" s="364">
        <f>+'D) Ecrêtage'!M110</f>
        <v>20963.465799086756</v>
      </c>
      <c r="D110" s="332">
        <v>177483</v>
      </c>
      <c r="E110" s="364">
        <v>32580</v>
      </c>
      <c r="F110" s="332">
        <v>101851</v>
      </c>
      <c r="G110" s="364">
        <f t="shared" si="13"/>
        <v>311914</v>
      </c>
      <c r="H110" s="332">
        <f t="shared" si="14"/>
        <v>167707.72639269405</v>
      </c>
      <c r="I110" s="14">
        <f t="shared" si="15"/>
        <v>144206.27360730595</v>
      </c>
      <c r="J110" s="361">
        <f t="shared" si="10"/>
        <v>-105831.14808098748</v>
      </c>
      <c r="K110" s="19">
        <v>55881</v>
      </c>
      <c r="L110" s="14">
        <f t="shared" si="11"/>
        <v>20963.465799086756</v>
      </c>
      <c r="M110" s="19">
        <f t="shared" si="8"/>
        <v>34917.534200913244</v>
      </c>
      <c r="N110" s="4">
        <f t="shared" si="12"/>
        <v>-25625.533759389615</v>
      </c>
      <c r="O110" s="147">
        <f t="shared" si="9"/>
        <v>-131456.6818403771</v>
      </c>
      <c r="P110" s="41">
        <f>O110/'D) Ecrêtage'!C111</f>
        <v>-0.70281560178652047</v>
      </c>
      <c r="Q110" s="143"/>
    </row>
    <row r="111" spans="1:17" x14ac:dyDescent="0.25">
      <c r="A111" s="57">
        <f>+'A) Base RI'!A113</f>
        <v>5581</v>
      </c>
      <c r="B111" s="350" t="str">
        <f>+'A) Base RI'!B113</f>
        <v>Belmont-sur-Lausanne</v>
      </c>
      <c r="C111" s="364">
        <f>+'D) Ecrêtage'!M111</f>
        <v>187042.91923261393</v>
      </c>
      <c r="D111" s="332">
        <v>926198</v>
      </c>
      <c r="E111" s="364">
        <v>1150828</v>
      </c>
      <c r="F111" s="332">
        <v>241166</v>
      </c>
      <c r="G111" s="364">
        <f t="shared" si="13"/>
        <v>2318192</v>
      </c>
      <c r="H111" s="332">
        <f t="shared" si="14"/>
        <v>1496343.3538609114</v>
      </c>
      <c r="I111" s="14">
        <f t="shared" si="15"/>
        <v>821848.64613908855</v>
      </c>
      <c r="J111" s="361">
        <f t="shared" si="10"/>
        <v>-603144.25713929837</v>
      </c>
      <c r="K111" s="19">
        <v>7753</v>
      </c>
      <c r="L111" s="14">
        <f t="shared" si="11"/>
        <v>187042.91923261393</v>
      </c>
      <c r="M111" s="19">
        <f t="shared" si="8"/>
        <v>0</v>
      </c>
      <c r="N111" s="4">
        <f t="shared" si="12"/>
        <v>0</v>
      </c>
      <c r="O111" s="147">
        <f t="shared" si="9"/>
        <v>-603144.25713929837</v>
      </c>
      <c r="P111" s="41">
        <f>O111/'D) Ecrêtage'!C112</f>
        <v>-2.9621481076202789</v>
      </c>
      <c r="Q111" s="143"/>
    </row>
    <row r="112" spans="1:17" x14ac:dyDescent="0.25">
      <c r="A112" s="57">
        <f>+'A) Base RI'!A114</f>
        <v>5582</v>
      </c>
      <c r="B112" s="350" t="str">
        <f>+'A) Base RI'!B114</f>
        <v>Cheseaux-sur-Lausanne</v>
      </c>
      <c r="C112" s="364">
        <f>+'D) Ecrêtage'!M112</f>
        <v>203617.184295302</v>
      </c>
      <c r="D112" s="332">
        <v>1111017</v>
      </c>
      <c r="E112" s="364">
        <v>395512</v>
      </c>
      <c r="F112" s="332">
        <v>205354</v>
      </c>
      <c r="G112" s="364">
        <f t="shared" si="13"/>
        <v>1711883</v>
      </c>
      <c r="H112" s="332">
        <f t="shared" si="14"/>
        <v>1628937.474362416</v>
      </c>
      <c r="I112" s="14">
        <f t="shared" si="15"/>
        <v>82945.52563758404</v>
      </c>
      <c r="J112" s="361">
        <f t="shared" si="10"/>
        <v>-60872.665154019807</v>
      </c>
      <c r="K112" s="19">
        <v>119828</v>
      </c>
      <c r="L112" s="14">
        <f t="shared" si="11"/>
        <v>203617.184295302</v>
      </c>
      <c r="M112" s="19">
        <f t="shared" si="8"/>
        <v>0</v>
      </c>
      <c r="N112" s="4">
        <f t="shared" si="12"/>
        <v>0</v>
      </c>
      <c r="O112" s="147">
        <f t="shared" si="9"/>
        <v>-60872.665154019807</v>
      </c>
      <c r="P112" s="41">
        <f>O112/'D) Ecrêtage'!C113</f>
        <v>-0.19526665409782401</v>
      </c>
      <c r="Q112" s="143"/>
    </row>
    <row r="113" spans="1:17" x14ac:dyDescent="0.25">
      <c r="A113" s="57">
        <f>+'A) Base RI'!A115</f>
        <v>5583</v>
      </c>
      <c r="B113" s="350" t="str">
        <f>+'A) Base RI'!B115</f>
        <v>Crissier</v>
      </c>
      <c r="C113" s="364">
        <f>+'D) Ecrêtage'!M113</f>
        <v>311741.22092307697</v>
      </c>
      <c r="D113" s="332">
        <v>2305291</v>
      </c>
      <c r="E113" s="364">
        <v>2870273</v>
      </c>
      <c r="F113" s="332">
        <v>282704</v>
      </c>
      <c r="G113" s="364">
        <f t="shared" si="13"/>
        <v>5458268</v>
      </c>
      <c r="H113" s="332">
        <f t="shared" si="14"/>
        <v>2493929.7673846157</v>
      </c>
      <c r="I113" s="14">
        <f t="shared" si="15"/>
        <v>2964338.2326153843</v>
      </c>
      <c r="J113" s="361">
        <f t="shared" si="10"/>
        <v>-2175490.0852119196</v>
      </c>
      <c r="K113" s="19">
        <v>101405</v>
      </c>
      <c r="L113" s="14">
        <f t="shared" si="11"/>
        <v>311741.22092307697</v>
      </c>
      <c r="M113" s="19">
        <f t="shared" si="8"/>
        <v>0</v>
      </c>
      <c r="N113" s="4">
        <f t="shared" si="12"/>
        <v>0</v>
      </c>
      <c r="O113" s="147">
        <f t="shared" si="9"/>
        <v>-2175490.0852119196</v>
      </c>
      <c r="P113" s="41">
        <f>O113/'D) Ecrêtage'!C114</f>
        <v>-4.7740308156741911</v>
      </c>
      <c r="Q113" s="143"/>
    </row>
    <row r="114" spans="1:17" x14ac:dyDescent="0.25">
      <c r="A114" s="57">
        <f>+'A) Base RI'!A116</f>
        <v>5584</v>
      </c>
      <c r="B114" s="350" t="str">
        <f>+'A) Base RI'!B116</f>
        <v>Epalinges</v>
      </c>
      <c r="C114" s="364">
        <f>+'D) Ecrêtage'!M114</f>
        <v>455692.51</v>
      </c>
      <c r="D114" s="332">
        <v>3960458</v>
      </c>
      <c r="E114" s="364">
        <v>3085863</v>
      </c>
      <c r="F114" s="332">
        <v>693905</v>
      </c>
      <c r="G114" s="364">
        <f t="shared" si="13"/>
        <v>7740226</v>
      </c>
      <c r="H114" s="332">
        <f t="shared" si="14"/>
        <v>3645540.08</v>
      </c>
      <c r="I114" s="14">
        <f t="shared" si="15"/>
        <v>4094685.92</v>
      </c>
      <c r="J114" s="361">
        <f t="shared" si="10"/>
        <v>-3005037.8607293805</v>
      </c>
      <c r="K114" s="19">
        <v>372718</v>
      </c>
      <c r="L114" s="14">
        <f t="shared" si="11"/>
        <v>455692.51</v>
      </c>
      <c r="M114" s="19">
        <f t="shared" si="8"/>
        <v>0</v>
      </c>
      <c r="N114" s="4">
        <f t="shared" si="12"/>
        <v>0</v>
      </c>
      <c r="O114" s="147">
        <f t="shared" si="9"/>
        <v>-3005037.8607293805</v>
      </c>
      <c r="P114" s="41">
        <f>O114/'D) Ecrêtage'!C115</f>
        <v>-14.909923414526505</v>
      </c>
      <c r="Q114" s="143"/>
    </row>
    <row r="115" spans="1:17" x14ac:dyDescent="0.25">
      <c r="A115" s="57">
        <f>+'A) Base RI'!A117</f>
        <v>5585</v>
      </c>
      <c r="B115" s="350" t="str">
        <f>+'A) Base RI'!B117</f>
        <v>Jouxtens-Mézery</v>
      </c>
      <c r="C115" s="364">
        <f>+'D) Ecrêtage'!M115</f>
        <v>171496.04356386178</v>
      </c>
      <c r="D115" s="332">
        <v>621626</v>
      </c>
      <c r="E115" s="364">
        <v>111815</v>
      </c>
      <c r="F115" s="332">
        <v>70616</v>
      </c>
      <c r="G115" s="364">
        <f t="shared" si="13"/>
        <v>804057</v>
      </c>
      <c r="H115" s="332">
        <f t="shared" si="14"/>
        <v>1371968.3485108942</v>
      </c>
      <c r="I115" s="14">
        <f t="shared" si="15"/>
        <v>0</v>
      </c>
      <c r="J115" s="361">
        <f t="shared" si="10"/>
        <v>0</v>
      </c>
      <c r="K115" s="19">
        <v>25679</v>
      </c>
      <c r="L115" s="14">
        <f t="shared" si="11"/>
        <v>171496.04356386178</v>
      </c>
      <c r="M115" s="19">
        <f t="shared" ref="M115:M165" si="16">IF(K115&gt;L115,K115-L115,0)</f>
        <v>0</v>
      </c>
      <c r="N115" s="4">
        <f t="shared" si="12"/>
        <v>0</v>
      </c>
      <c r="O115" s="147">
        <f t="shared" ref="O115:O165" si="17">N115+J115</f>
        <v>0</v>
      </c>
      <c r="P115" s="41">
        <f>O115/'D) Ecrêtage'!C116</f>
        <v>0</v>
      </c>
      <c r="Q115" s="143"/>
    </row>
    <row r="116" spans="1:17" x14ac:dyDescent="0.25">
      <c r="A116" s="57">
        <f>+'A) Base RI'!A118</f>
        <v>5586</v>
      </c>
      <c r="B116" s="350" t="str">
        <f>+'A) Base RI'!B118</f>
        <v>Lausanne</v>
      </c>
      <c r="C116" s="364">
        <f>+'D) Ecrêtage'!M116</f>
        <v>6075429.3645991571</v>
      </c>
      <c r="D116" s="332">
        <v>58371636</v>
      </c>
      <c r="E116" s="364">
        <v>49822045</v>
      </c>
      <c r="F116" s="332">
        <v>2221192</v>
      </c>
      <c r="G116" s="364">
        <f t="shared" si="13"/>
        <v>110414873</v>
      </c>
      <c r="H116" s="332">
        <f t="shared" si="14"/>
        <v>48603434.916793257</v>
      </c>
      <c r="I116" s="14">
        <f t="shared" si="15"/>
        <v>61811438.083206743</v>
      </c>
      <c r="J116" s="361">
        <f t="shared" si="10"/>
        <v>-45362627.389542535</v>
      </c>
      <c r="K116" s="19">
        <v>2758194</v>
      </c>
      <c r="L116" s="14">
        <f t="shared" si="11"/>
        <v>6075429.3645991571</v>
      </c>
      <c r="M116" s="19">
        <f t="shared" si="16"/>
        <v>0</v>
      </c>
      <c r="N116" s="4">
        <f t="shared" si="12"/>
        <v>0</v>
      </c>
      <c r="O116" s="147">
        <f t="shared" si="17"/>
        <v>-45362627.389542535</v>
      </c>
      <c r="P116" s="41">
        <f>O116/'D) Ecrêtage'!C117</f>
        <v>-109.7455123061516</v>
      </c>
      <c r="Q116" s="143"/>
    </row>
    <row r="117" spans="1:17" x14ac:dyDescent="0.25">
      <c r="A117" s="57">
        <f>+'A) Base RI'!A119</f>
        <v>5587</v>
      </c>
      <c r="B117" s="350" t="str">
        <f>+'A) Base RI'!B119</f>
        <v>Le Mont-sur-Lausanne</v>
      </c>
      <c r="C117" s="364">
        <f>+'D) Ecrêtage'!M117</f>
        <v>413343.80273333337</v>
      </c>
      <c r="D117" s="332">
        <v>3677450</v>
      </c>
      <c r="E117" s="364">
        <v>1961780</v>
      </c>
      <c r="F117" s="332">
        <v>635749</v>
      </c>
      <c r="G117" s="364">
        <f t="shared" si="13"/>
        <v>6274979</v>
      </c>
      <c r="H117" s="332">
        <f t="shared" si="14"/>
        <v>3306750.421866667</v>
      </c>
      <c r="I117" s="14">
        <f t="shared" si="15"/>
        <v>2968228.578133333</v>
      </c>
      <c r="J117" s="361">
        <f t="shared" si="10"/>
        <v>-2178345.1602533665</v>
      </c>
      <c r="K117" s="19">
        <v>31628</v>
      </c>
      <c r="L117" s="14">
        <f t="shared" si="11"/>
        <v>413343.80273333337</v>
      </c>
      <c r="M117" s="19">
        <f t="shared" si="16"/>
        <v>0</v>
      </c>
      <c r="N117" s="4">
        <f t="shared" si="12"/>
        <v>0</v>
      </c>
      <c r="O117" s="147">
        <f t="shared" si="17"/>
        <v>-2178345.1602533665</v>
      </c>
      <c r="P117" s="41">
        <f>O117/'D) Ecrêtage'!C118</f>
        <v>-13.614608139770469</v>
      </c>
      <c r="Q117" s="143"/>
    </row>
    <row r="118" spans="1:17" x14ac:dyDescent="0.25">
      <c r="A118" s="57">
        <f>+'A) Base RI'!A120</f>
        <v>5588</v>
      </c>
      <c r="B118" s="350" t="str">
        <f>+'A) Base RI'!B120</f>
        <v>Paudex</v>
      </c>
      <c r="C118" s="364">
        <f>+'D) Ecrêtage'!M118</f>
        <v>142038.72572399248</v>
      </c>
      <c r="D118" s="332">
        <v>138828</v>
      </c>
      <c r="E118" s="364">
        <v>457588</v>
      </c>
      <c r="F118" s="332">
        <v>26983</v>
      </c>
      <c r="G118" s="364">
        <f t="shared" si="13"/>
        <v>623399</v>
      </c>
      <c r="H118" s="332">
        <f t="shared" si="14"/>
        <v>1136309.8057919398</v>
      </c>
      <c r="I118" s="14">
        <f t="shared" si="15"/>
        <v>0</v>
      </c>
      <c r="J118" s="361">
        <f t="shared" si="10"/>
        <v>0</v>
      </c>
      <c r="K118" s="19">
        <v>5533</v>
      </c>
      <c r="L118" s="14">
        <f t="shared" si="11"/>
        <v>142038.72572399248</v>
      </c>
      <c r="M118" s="19">
        <f t="shared" si="16"/>
        <v>0</v>
      </c>
      <c r="N118" s="4">
        <f t="shared" si="12"/>
        <v>0</v>
      </c>
      <c r="O118" s="147">
        <f t="shared" si="17"/>
        <v>0</v>
      </c>
      <c r="P118" s="41">
        <f>O118/'D) Ecrêtage'!C119</f>
        <v>0</v>
      </c>
      <c r="Q118" s="143"/>
    </row>
    <row r="119" spans="1:17" x14ac:dyDescent="0.25">
      <c r="A119" s="57">
        <f>+'A) Base RI'!A121</f>
        <v>5589</v>
      </c>
      <c r="B119" s="350" t="str">
        <f>+'A) Base RI'!B121</f>
        <v>Prilly</v>
      </c>
      <c r="C119" s="364">
        <f>+'D) Ecrêtage'!M119</f>
        <v>437574.2323809524</v>
      </c>
      <c r="D119" s="332">
        <v>2549219</v>
      </c>
      <c r="E119" s="364">
        <v>3366952</v>
      </c>
      <c r="F119" s="332">
        <v>77756</v>
      </c>
      <c r="G119" s="364">
        <f t="shared" si="13"/>
        <v>5993927</v>
      </c>
      <c r="H119" s="332">
        <f t="shared" si="14"/>
        <v>3500593.8590476192</v>
      </c>
      <c r="I119" s="14">
        <f t="shared" si="15"/>
        <v>2493333.1409523808</v>
      </c>
      <c r="J119" s="361">
        <f t="shared" si="10"/>
        <v>-1829825.4455553479</v>
      </c>
      <c r="K119" s="19">
        <v>27942</v>
      </c>
      <c r="L119" s="14">
        <f t="shared" si="11"/>
        <v>437574.2323809524</v>
      </c>
      <c r="M119" s="19">
        <f t="shared" si="16"/>
        <v>0</v>
      </c>
      <c r="N119" s="4">
        <f t="shared" si="12"/>
        <v>0</v>
      </c>
      <c r="O119" s="147">
        <f t="shared" si="17"/>
        <v>-1829825.4455553479</v>
      </c>
      <c r="P119" s="41">
        <f>O119/'D) Ecrêtage'!C120</f>
        <v>-1.2865272695305983</v>
      </c>
      <c r="Q119" s="143"/>
    </row>
    <row r="120" spans="1:17" x14ac:dyDescent="0.25">
      <c r="A120" s="57">
        <f>+'A) Base RI'!A122</f>
        <v>5590</v>
      </c>
      <c r="B120" s="350" t="str">
        <f>+'A) Base RI'!B122</f>
        <v>Pully</v>
      </c>
      <c r="C120" s="364">
        <f>+'D) Ecrêtage'!M120</f>
        <v>1338969.9009013665</v>
      </c>
      <c r="D120" s="332">
        <v>5393266</v>
      </c>
      <c r="E120" s="364">
        <v>6808817</v>
      </c>
      <c r="F120" s="332">
        <v>329043</v>
      </c>
      <c r="G120" s="364">
        <f t="shared" si="13"/>
        <v>12531126</v>
      </c>
      <c r="H120" s="332">
        <f t="shared" si="14"/>
        <v>10711759.207210932</v>
      </c>
      <c r="I120" s="14">
        <f t="shared" si="15"/>
        <v>1819366.7927890681</v>
      </c>
      <c r="J120" s="361">
        <f t="shared" si="10"/>
        <v>-1335210.1239757445</v>
      </c>
      <c r="K120" s="19">
        <v>590431</v>
      </c>
      <c r="L120" s="14">
        <f t="shared" si="11"/>
        <v>1338969.9009013665</v>
      </c>
      <c r="M120" s="19">
        <f t="shared" si="16"/>
        <v>0</v>
      </c>
      <c r="N120" s="4">
        <f t="shared" si="12"/>
        <v>0</v>
      </c>
      <c r="O120" s="147">
        <f t="shared" si="17"/>
        <v>-1335210.1239757445</v>
      </c>
      <c r="P120" s="41">
        <f>O120/'D) Ecrêtage'!C121</f>
        <v>-2.5209429040135607</v>
      </c>
      <c r="Q120" s="143"/>
    </row>
    <row r="121" spans="1:17" x14ac:dyDescent="0.25">
      <c r="A121" s="57">
        <f>+'A) Base RI'!A123</f>
        <v>5591</v>
      </c>
      <c r="B121" s="350" t="str">
        <f>+'A) Base RI'!B123</f>
        <v>Renens</v>
      </c>
      <c r="C121" s="364">
        <f>+'D) Ecrêtage'!M121</f>
        <v>529647.11015468603</v>
      </c>
      <c r="D121" s="332">
        <v>4227793</v>
      </c>
      <c r="E121" s="364">
        <v>7273455</v>
      </c>
      <c r="F121" s="332">
        <v>186558</v>
      </c>
      <c r="G121" s="364">
        <f t="shared" si="13"/>
        <v>11687806</v>
      </c>
      <c r="H121" s="332">
        <f t="shared" si="14"/>
        <v>4237176.8812374882</v>
      </c>
      <c r="I121" s="14">
        <f t="shared" si="15"/>
        <v>7450629.1187625118</v>
      </c>
      <c r="J121" s="361">
        <f t="shared" si="10"/>
        <v>-5467921.8444510465</v>
      </c>
      <c r="K121" s="19">
        <v>33608</v>
      </c>
      <c r="L121" s="14">
        <f t="shared" si="11"/>
        <v>529647.11015468603</v>
      </c>
      <c r="M121" s="19">
        <f t="shared" si="16"/>
        <v>0</v>
      </c>
      <c r="N121" s="4">
        <f t="shared" si="12"/>
        <v>0</v>
      </c>
      <c r="O121" s="147">
        <f t="shared" si="17"/>
        <v>-5467921.8444510465</v>
      </c>
      <c r="P121" s="41">
        <f>O121/'D) Ecrêtage'!C122</f>
        <v>-46.912424171706732</v>
      </c>
      <c r="Q121" s="143"/>
    </row>
    <row r="122" spans="1:17" x14ac:dyDescent="0.25">
      <c r="A122" s="57">
        <f>+'A) Base RI'!A124</f>
        <v>5592</v>
      </c>
      <c r="B122" s="350" t="str">
        <f>+'A) Base RI'!B124</f>
        <v>Romanel-sur-Lausanne</v>
      </c>
      <c r="C122" s="364">
        <f>+'D) Ecrêtage'!M122</f>
        <v>116555.94314285714</v>
      </c>
      <c r="D122" s="332">
        <v>900305</v>
      </c>
      <c r="E122" s="364">
        <v>266685</v>
      </c>
      <c r="F122" s="332">
        <v>30902</v>
      </c>
      <c r="G122" s="364">
        <f t="shared" si="13"/>
        <v>1197892</v>
      </c>
      <c r="H122" s="332">
        <f t="shared" si="14"/>
        <v>932447.54514285713</v>
      </c>
      <c r="I122" s="14">
        <f t="shared" si="15"/>
        <v>265444.45485714287</v>
      </c>
      <c r="J122" s="361">
        <f t="shared" si="10"/>
        <v>-194806.3056241406</v>
      </c>
      <c r="K122" s="19">
        <v>14366</v>
      </c>
      <c r="L122" s="14">
        <f t="shared" si="11"/>
        <v>116555.94314285714</v>
      </c>
      <c r="M122" s="19">
        <f t="shared" si="16"/>
        <v>0</v>
      </c>
      <c r="N122" s="4">
        <f t="shared" si="12"/>
        <v>0</v>
      </c>
      <c r="O122" s="147">
        <f t="shared" si="17"/>
        <v>-194806.3056241406</v>
      </c>
      <c r="P122" s="41">
        <f>O122/'D) Ecrêtage'!C123</f>
        <v>-1.9530206037419442</v>
      </c>
      <c r="Q122" s="143"/>
    </row>
    <row r="123" spans="1:17" x14ac:dyDescent="0.25">
      <c r="A123" s="57">
        <f>+'A) Base RI'!A125</f>
        <v>5601</v>
      </c>
      <c r="B123" s="350" t="str">
        <f>+'A) Base RI'!B125</f>
        <v>Chexbres</v>
      </c>
      <c r="C123" s="364">
        <f>+'D) Ecrêtage'!M123</f>
        <v>99746.160000000018</v>
      </c>
      <c r="D123" s="332">
        <v>692456</v>
      </c>
      <c r="E123" s="364">
        <v>166485</v>
      </c>
      <c r="F123" s="332">
        <v>220469</v>
      </c>
      <c r="G123" s="364">
        <f t="shared" si="13"/>
        <v>1079410</v>
      </c>
      <c r="H123" s="332">
        <f t="shared" si="14"/>
        <v>797969.28000000014</v>
      </c>
      <c r="I123" s="14">
        <f t="shared" si="15"/>
        <v>281440.71999999986</v>
      </c>
      <c r="J123" s="361">
        <f t="shared" si="10"/>
        <v>-206545.76093859141</v>
      </c>
      <c r="K123" s="19">
        <v>47709</v>
      </c>
      <c r="L123" s="14">
        <f t="shared" si="11"/>
        <v>99746.160000000018</v>
      </c>
      <c r="M123" s="19">
        <f t="shared" si="16"/>
        <v>0</v>
      </c>
      <c r="N123" s="4">
        <f t="shared" si="12"/>
        <v>0</v>
      </c>
      <c r="O123" s="147">
        <f t="shared" si="17"/>
        <v>-206545.76093859141</v>
      </c>
      <c r="P123" s="41">
        <f>O123/'D) Ecrêtage'!C124</f>
        <v>-2.8992806550383015</v>
      </c>
      <c r="Q123" s="143"/>
    </row>
    <row r="124" spans="1:17" x14ac:dyDescent="0.25">
      <c r="A124" s="57">
        <f>+'A) Base RI'!A126</f>
        <v>5604</v>
      </c>
      <c r="B124" s="350" t="str">
        <f>+'A) Base RI'!B126</f>
        <v>Forel (Lavaux)</v>
      </c>
      <c r="C124" s="364">
        <f>+'D) Ecrêtage'!M124</f>
        <v>71240.347352941171</v>
      </c>
      <c r="D124" s="332">
        <v>584136</v>
      </c>
      <c r="E124" s="364">
        <v>99559</v>
      </c>
      <c r="F124" s="332">
        <v>246578</v>
      </c>
      <c r="G124" s="364">
        <f t="shared" si="13"/>
        <v>930273</v>
      </c>
      <c r="H124" s="332">
        <f t="shared" si="14"/>
        <v>569922.77882352937</v>
      </c>
      <c r="I124" s="14">
        <f t="shared" si="15"/>
        <v>360350.22117647063</v>
      </c>
      <c r="J124" s="361">
        <f t="shared" si="10"/>
        <v>-264456.43912964646</v>
      </c>
      <c r="K124" s="19">
        <v>38128</v>
      </c>
      <c r="L124" s="14">
        <f t="shared" si="11"/>
        <v>71240.347352941171</v>
      </c>
      <c r="M124" s="19">
        <f t="shared" si="16"/>
        <v>0</v>
      </c>
      <c r="N124" s="4">
        <f t="shared" si="12"/>
        <v>0</v>
      </c>
      <c r="O124" s="147">
        <f t="shared" si="17"/>
        <v>-264456.43912964646</v>
      </c>
      <c r="P124" s="41">
        <f>O124/'D) Ecrêtage'!C125</f>
        <v>-0.3431609626802547</v>
      </c>
      <c r="Q124" s="143"/>
    </row>
    <row r="125" spans="1:17" x14ac:dyDescent="0.25">
      <c r="A125" s="57">
        <f>+'A) Base RI'!A127</f>
        <v>5606</v>
      </c>
      <c r="B125" s="350" t="str">
        <f>+'A) Base RI'!B127</f>
        <v>Lutry</v>
      </c>
      <c r="C125" s="364">
        <f>+'D) Ecrêtage'!M125</f>
        <v>727483.29787726386</v>
      </c>
      <c r="D125" s="332">
        <v>4194827</v>
      </c>
      <c r="E125" s="364">
        <v>2898916</v>
      </c>
      <c r="F125" s="332">
        <v>1464611</v>
      </c>
      <c r="G125" s="364">
        <f t="shared" si="13"/>
        <v>8558354</v>
      </c>
      <c r="H125" s="332">
        <f t="shared" si="14"/>
        <v>5819866.3830181109</v>
      </c>
      <c r="I125" s="14">
        <f t="shared" si="15"/>
        <v>2738487.6169818891</v>
      </c>
      <c r="J125" s="361">
        <f t="shared" si="10"/>
        <v>-2009741.1940618772</v>
      </c>
      <c r="K125" s="19">
        <v>311693</v>
      </c>
      <c r="L125" s="14">
        <f t="shared" si="11"/>
        <v>727483.29787726386</v>
      </c>
      <c r="M125" s="19">
        <f t="shared" si="16"/>
        <v>0</v>
      </c>
      <c r="N125" s="4">
        <f t="shared" si="12"/>
        <v>0</v>
      </c>
      <c r="O125" s="147">
        <f t="shared" si="17"/>
        <v>-2009741.1940618772</v>
      </c>
      <c r="P125" s="41">
        <f>O125/'D) Ecrêtage'!C126</f>
        <v>-20.687516109871609</v>
      </c>
      <c r="Q125" s="143"/>
    </row>
    <row r="126" spans="1:17" x14ac:dyDescent="0.25">
      <c r="A126" s="57">
        <f>+'A) Base RI'!A128</f>
        <v>5607</v>
      </c>
      <c r="B126" s="350" t="str">
        <f>+'A) Base RI'!B128</f>
        <v>Puidoux</v>
      </c>
      <c r="C126" s="364">
        <f>+'D) Ecrêtage'!M126</f>
        <v>97147.534937888209</v>
      </c>
      <c r="D126" s="332">
        <v>990168</v>
      </c>
      <c r="E126" s="364">
        <v>268154</v>
      </c>
      <c r="F126" s="332">
        <v>647928</v>
      </c>
      <c r="G126" s="364">
        <f t="shared" si="13"/>
        <v>1906250</v>
      </c>
      <c r="H126" s="332">
        <f t="shared" si="14"/>
        <v>777180.27950310567</v>
      </c>
      <c r="I126" s="14">
        <f t="shared" si="15"/>
        <v>1129069.7204968943</v>
      </c>
      <c r="J126" s="361">
        <f t="shared" si="10"/>
        <v>-828609.89189039124</v>
      </c>
      <c r="K126" s="19">
        <v>71333</v>
      </c>
      <c r="L126" s="14">
        <f t="shared" si="11"/>
        <v>97147.534937888209</v>
      </c>
      <c r="M126" s="19">
        <f t="shared" si="16"/>
        <v>0</v>
      </c>
      <c r="N126" s="4">
        <f t="shared" si="12"/>
        <v>0</v>
      </c>
      <c r="O126" s="147">
        <f t="shared" si="17"/>
        <v>-828609.89189039124</v>
      </c>
      <c r="P126" s="41">
        <f>O126/'D) Ecrêtage'!C127</f>
        <v>-49.062361677790413</v>
      </c>
      <c r="Q126" s="143"/>
    </row>
    <row r="127" spans="1:17" x14ac:dyDescent="0.25">
      <c r="A127" s="57">
        <f>+'A) Base RI'!A129</f>
        <v>5609</v>
      </c>
      <c r="B127" s="350" t="str">
        <f>+'A) Base RI'!B129</f>
        <v>Rivaz</v>
      </c>
      <c r="C127" s="364">
        <f>+'D) Ecrêtage'!M127</f>
        <v>16888.91165354331</v>
      </c>
      <c r="D127" s="332">
        <v>133239</v>
      </c>
      <c r="E127" s="364">
        <v>33777</v>
      </c>
      <c r="F127" s="332">
        <v>52301</v>
      </c>
      <c r="G127" s="364">
        <f t="shared" si="13"/>
        <v>219317</v>
      </c>
      <c r="H127" s="332">
        <f t="shared" si="14"/>
        <v>135111.29322834648</v>
      </c>
      <c r="I127" s="14">
        <f t="shared" si="15"/>
        <v>84205.706771653524</v>
      </c>
      <c r="J127" s="361">
        <f t="shared" si="10"/>
        <v>-61797.496042943196</v>
      </c>
      <c r="K127" s="19">
        <v>31137</v>
      </c>
      <c r="L127" s="14">
        <f t="shared" si="11"/>
        <v>16888.91165354331</v>
      </c>
      <c r="M127" s="19">
        <f t="shared" si="16"/>
        <v>14248.08834645669</v>
      </c>
      <c r="N127" s="4">
        <f t="shared" si="12"/>
        <v>-10456.490622391724</v>
      </c>
      <c r="O127" s="147">
        <f t="shared" si="17"/>
        <v>-72253.986665334916</v>
      </c>
      <c r="P127" s="41">
        <f>O127/'D) Ecrêtage'!C128</f>
        <v>-3.6113064200404787</v>
      </c>
      <c r="Q127" s="143"/>
    </row>
    <row r="128" spans="1:17" x14ac:dyDescent="0.25">
      <c r="A128" s="57">
        <f>+'A) Base RI'!A130</f>
        <v>5610</v>
      </c>
      <c r="B128" s="350" t="str">
        <f>+'A) Base RI'!B130</f>
        <v>St-Saphorin (Lavaux)</v>
      </c>
      <c r="C128" s="364">
        <f>+'D) Ecrêtage'!M128</f>
        <v>20007.714179104478</v>
      </c>
      <c r="D128" s="332">
        <v>146845</v>
      </c>
      <c r="E128" s="364">
        <v>35935</v>
      </c>
      <c r="F128" s="332">
        <v>88699</v>
      </c>
      <c r="G128" s="364">
        <f t="shared" si="13"/>
        <v>271479</v>
      </c>
      <c r="H128" s="332">
        <f t="shared" si="14"/>
        <v>160061.71343283582</v>
      </c>
      <c r="I128" s="14">
        <f t="shared" si="15"/>
        <v>111417.28656716418</v>
      </c>
      <c r="J128" s="361">
        <f t="shared" si="10"/>
        <v>-81767.727980968906</v>
      </c>
      <c r="K128" s="19">
        <v>-19</v>
      </c>
      <c r="L128" s="14">
        <f t="shared" si="11"/>
        <v>20007.714179104478</v>
      </c>
      <c r="M128" s="19">
        <f t="shared" si="16"/>
        <v>0</v>
      </c>
      <c r="N128" s="4">
        <f t="shared" si="12"/>
        <v>0</v>
      </c>
      <c r="O128" s="147">
        <f t="shared" si="17"/>
        <v>-81767.727980968906</v>
      </c>
      <c r="P128" s="41">
        <f>O128/'D) Ecrêtage'!C129</f>
        <v>-0.70771637728040704</v>
      </c>
      <c r="Q128" s="143"/>
    </row>
    <row r="129" spans="1:17" x14ac:dyDescent="0.25">
      <c r="A129" s="57">
        <f>+'A) Base RI'!A131</f>
        <v>5611</v>
      </c>
      <c r="B129" s="350" t="str">
        <f>+'A) Base RI'!B131</f>
        <v>Savigny</v>
      </c>
      <c r="C129" s="364">
        <f>+'D) Ecrêtage'!M129</f>
        <v>115537.42516908211</v>
      </c>
      <c r="D129" s="332">
        <v>1023425</v>
      </c>
      <c r="E129" s="364">
        <v>157767</v>
      </c>
      <c r="F129" s="332">
        <v>363199</v>
      </c>
      <c r="G129" s="364">
        <f t="shared" si="13"/>
        <v>1544391</v>
      </c>
      <c r="H129" s="332">
        <f t="shared" si="14"/>
        <v>924299.40135265689</v>
      </c>
      <c r="I129" s="14">
        <f t="shared" si="15"/>
        <v>620091.59864734311</v>
      </c>
      <c r="J129" s="361">
        <f t="shared" si="10"/>
        <v>-455077.32887495158</v>
      </c>
      <c r="K129" s="19">
        <v>58841</v>
      </c>
      <c r="L129" s="14">
        <f t="shared" si="11"/>
        <v>115537.42516908211</v>
      </c>
      <c r="M129" s="19">
        <f t="shared" si="16"/>
        <v>0</v>
      </c>
      <c r="N129" s="4">
        <f t="shared" si="12"/>
        <v>0</v>
      </c>
      <c r="O129" s="147">
        <f t="shared" si="17"/>
        <v>-455077.32887495158</v>
      </c>
      <c r="P129" s="41">
        <f>O129/'D) Ecrêtage'!C130</f>
        <v>-1.5075168554957599</v>
      </c>
      <c r="Q129" s="143"/>
    </row>
    <row r="130" spans="1:17" x14ac:dyDescent="0.25">
      <c r="A130" s="57">
        <f>+'A) Base RI'!A132</f>
        <v>5613</v>
      </c>
      <c r="B130" s="350" t="str">
        <f>+'A) Base RI'!B132</f>
        <v>Bourg-en-Lavaux</v>
      </c>
      <c r="C130" s="364">
        <f>+'D) Ecrêtage'!M130</f>
        <v>300841.30822927633</v>
      </c>
      <c r="D130" s="332">
        <v>1663137</v>
      </c>
      <c r="E130" s="364">
        <v>417575</v>
      </c>
      <c r="F130" s="332">
        <v>696082</v>
      </c>
      <c r="G130" s="364">
        <f t="shared" si="13"/>
        <v>2776794</v>
      </c>
      <c r="H130" s="332">
        <f t="shared" si="14"/>
        <v>2406730.4658342106</v>
      </c>
      <c r="I130" s="14">
        <f t="shared" si="15"/>
        <v>370063.53416578937</v>
      </c>
      <c r="J130" s="361">
        <f t="shared" si="10"/>
        <v>-271584.91585687181</v>
      </c>
      <c r="K130" s="19">
        <v>174088</v>
      </c>
      <c r="L130" s="14">
        <f t="shared" si="11"/>
        <v>300841.30822927633</v>
      </c>
      <c r="M130" s="19">
        <f t="shared" si="16"/>
        <v>0</v>
      </c>
      <c r="N130" s="4">
        <f t="shared" si="12"/>
        <v>0</v>
      </c>
      <c r="O130" s="147">
        <f t="shared" si="17"/>
        <v>-271584.91585687181</v>
      </c>
      <c r="P130" s="41">
        <f>O130/'D) Ecrêtage'!C131</f>
        <v>-10.126168679994882</v>
      </c>
      <c r="Q130" s="143"/>
    </row>
    <row r="131" spans="1:17" x14ac:dyDescent="0.25">
      <c r="A131" s="57">
        <f>+'A) Base RI'!A133</f>
        <v>5621</v>
      </c>
      <c r="B131" s="350" t="str">
        <f>+'A) Base RI'!B133</f>
        <v>Aclens</v>
      </c>
      <c r="C131" s="364">
        <f>+'D) Ecrêtage'!M131</f>
        <v>26820.105850439882</v>
      </c>
      <c r="D131" s="332">
        <v>196971</v>
      </c>
      <c r="E131" s="364">
        <v>18652</v>
      </c>
      <c r="F131" s="332">
        <v>42073</v>
      </c>
      <c r="G131" s="364">
        <f t="shared" si="13"/>
        <v>257696</v>
      </c>
      <c r="H131" s="332">
        <f t="shared" si="14"/>
        <v>214560.84680351906</v>
      </c>
      <c r="I131" s="14">
        <f t="shared" si="15"/>
        <v>43135.15319648094</v>
      </c>
      <c r="J131" s="361">
        <f t="shared" si="10"/>
        <v>-31656.339708660045</v>
      </c>
      <c r="K131" s="19">
        <v>24759</v>
      </c>
      <c r="L131" s="14">
        <f t="shared" si="11"/>
        <v>26820.105850439882</v>
      </c>
      <c r="M131" s="19">
        <f t="shared" si="16"/>
        <v>0</v>
      </c>
      <c r="N131" s="4">
        <f t="shared" si="12"/>
        <v>0</v>
      </c>
      <c r="O131" s="147">
        <f t="shared" si="17"/>
        <v>-31656.339708660045</v>
      </c>
      <c r="P131" s="41">
        <f>O131/'D) Ecrêtage'!C132</f>
        <v>-0.96862418315808463</v>
      </c>
      <c r="Q131" s="143"/>
    </row>
    <row r="132" spans="1:17" x14ac:dyDescent="0.25">
      <c r="A132" s="57">
        <f>+'A) Base RI'!A134</f>
        <v>5622</v>
      </c>
      <c r="B132" s="350" t="str">
        <f>+'A) Base RI'!B134</f>
        <v>Bremblens</v>
      </c>
      <c r="C132" s="364">
        <f>+'D) Ecrêtage'!M132</f>
        <v>31992.76732180336</v>
      </c>
      <c r="D132" s="332">
        <v>117347</v>
      </c>
      <c r="E132" s="364">
        <v>18052</v>
      </c>
      <c r="F132" s="332">
        <v>47431</v>
      </c>
      <c r="G132" s="364">
        <f t="shared" si="13"/>
        <v>182830</v>
      </c>
      <c r="H132" s="332">
        <f t="shared" si="14"/>
        <v>255942.13857442688</v>
      </c>
      <c r="I132" s="14">
        <f t="shared" si="15"/>
        <v>0</v>
      </c>
      <c r="J132" s="361">
        <f t="shared" si="10"/>
        <v>0</v>
      </c>
      <c r="K132" s="19">
        <v>25854</v>
      </c>
      <c r="L132" s="14">
        <f t="shared" si="11"/>
        <v>31992.76732180336</v>
      </c>
      <c r="M132" s="19">
        <f t="shared" si="16"/>
        <v>0</v>
      </c>
      <c r="N132" s="4">
        <f t="shared" si="12"/>
        <v>0</v>
      </c>
      <c r="O132" s="147">
        <f t="shared" si="17"/>
        <v>0</v>
      </c>
      <c r="P132" s="41">
        <f>O132/'D) Ecrêtage'!C133</f>
        <v>0</v>
      </c>
      <c r="Q132" s="143"/>
    </row>
    <row r="133" spans="1:17" x14ac:dyDescent="0.25">
      <c r="A133" s="57">
        <f>+'A) Base RI'!A135</f>
        <v>5623</v>
      </c>
      <c r="B133" s="350" t="str">
        <f>+'A) Base RI'!B135</f>
        <v>Buchillon</v>
      </c>
      <c r="C133" s="364">
        <f>+'D) Ecrêtage'!M133</f>
        <v>70425.818764312105</v>
      </c>
      <c r="D133" s="332">
        <v>71089</v>
      </c>
      <c r="E133" s="364">
        <v>60406</v>
      </c>
      <c r="F133" s="332">
        <v>64854</v>
      </c>
      <c r="G133" s="364">
        <f t="shared" si="13"/>
        <v>196349</v>
      </c>
      <c r="H133" s="332">
        <f t="shared" si="14"/>
        <v>563406.55011449684</v>
      </c>
      <c r="I133" s="14">
        <f t="shared" si="15"/>
        <v>0</v>
      </c>
      <c r="J133" s="361">
        <f t="shared" ref="J133:J191" si="18">-I133*J$4</f>
        <v>0</v>
      </c>
      <c r="K133" s="19">
        <v>12350</v>
      </c>
      <c r="L133" s="14">
        <f t="shared" ref="L133:L191" si="19">C133*M$4</f>
        <v>70425.818764312105</v>
      </c>
      <c r="M133" s="19">
        <f t="shared" si="16"/>
        <v>0</v>
      </c>
      <c r="N133" s="4">
        <f t="shared" ref="N133:N191" si="20">-M133*N$4</f>
        <v>0</v>
      </c>
      <c r="O133" s="147">
        <f t="shared" si="17"/>
        <v>0</v>
      </c>
      <c r="P133" s="41">
        <f>O133/'D) Ecrêtage'!C134</f>
        <v>0</v>
      </c>
      <c r="Q133" s="143"/>
    </row>
    <row r="134" spans="1:17" x14ac:dyDescent="0.25">
      <c r="A134" s="57">
        <f>+'A) Base RI'!A136</f>
        <v>5624</v>
      </c>
      <c r="B134" s="350" t="str">
        <f>+'A) Base RI'!B136</f>
        <v>Bussigny</v>
      </c>
      <c r="C134" s="364">
        <f>+'D) Ecrêtage'!M134</f>
        <v>334130.13322580641</v>
      </c>
      <c r="D134" s="332">
        <v>1269135</v>
      </c>
      <c r="E134" s="364">
        <v>2438305</v>
      </c>
      <c r="F134" s="332">
        <v>251516</v>
      </c>
      <c r="G134" s="364">
        <f t="shared" ref="G134:G197" si="21">SUM(D134:F134)</f>
        <v>3958956</v>
      </c>
      <c r="H134" s="332">
        <f t="shared" ref="H134:H197" si="22">+C134*$I$4</f>
        <v>2673041.0658064513</v>
      </c>
      <c r="I134" s="14">
        <f t="shared" ref="I134:I197" si="23">IF(G134&gt;H134,G134-H134,0)</f>
        <v>1285914.9341935487</v>
      </c>
      <c r="J134" s="361">
        <f t="shared" si="18"/>
        <v>-943716.59717650432</v>
      </c>
      <c r="K134" s="19">
        <v>213436</v>
      </c>
      <c r="L134" s="14">
        <f t="shared" si="19"/>
        <v>334130.13322580641</v>
      </c>
      <c r="M134" s="19">
        <f t="shared" si="16"/>
        <v>0</v>
      </c>
      <c r="N134" s="4">
        <f t="shared" si="20"/>
        <v>0</v>
      </c>
      <c r="O134" s="147">
        <f t="shared" si="17"/>
        <v>-943716.59717650432</v>
      </c>
      <c r="P134" s="41">
        <f>O134/'D) Ecrêtage'!C135</f>
        <v>-68.654274355800752</v>
      </c>
      <c r="Q134" s="143"/>
    </row>
    <row r="135" spans="1:17" x14ac:dyDescent="0.25">
      <c r="A135" s="57">
        <f>+'A) Base RI'!A137</f>
        <v>5625</v>
      </c>
      <c r="B135" s="350" t="str">
        <f>+'A) Base RI'!B137</f>
        <v>Bussy-Chardonney</v>
      </c>
      <c r="C135" s="364">
        <f>+'D) Ecrêtage'!M135</f>
        <v>13745.926324786325</v>
      </c>
      <c r="D135" s="332">
        <v>89768</v>
      </c>
      <c r="E135" s="364">
        <v>33295</v>
      </c>
      <c r="F135" s="332">
        <v>51065</v>
      </c>
      <c r="G135" s="364">
        <f t="shared" si="21"/>
        <v>174128</v>
      </c>
      <c r="H135" s="332">
        <f t="shared" si="22"/>
        <v>109967.4105982906</v>
      </c>
      <c r="I135" s="14">
        <f t="shared" si="23"/>
        <v>64160.589401709396</v>
      </c>
      <c r="J135" s="361">
        <f t="shared" si="18"/>
        <v>-47086.639631410115</v>
      </c>
      <c r="K135" s="19">
        <v>2249</v>
      </c>
      <c r="L135" s="14">
        <f t="shared" si="19"/>
        <v>13745.926324786325</v>
      </c>
      <c r="M135" s="19">
        <f t="shared" si="16"/>
        <v>0</v>
      </c>
      <c r="N135" s="4">
        <f t="shared" si="20"/>
        <v>0</v>
      </c>
      <c r="O135" s="147">
        <f t="shared" si="17"/>
        <v>-47086.639631410115</v>
      </c>
      <c r="P135" s="41">
        <f>O135/'D) Ecrêtage'!C136</f>
        <v>-0.27412472350769646</v>
      </c>
      <c r="Q135" s="143"/>
    </row>
    <row r="136" spans="1:17" x14ac:dyDescent="0.25">
      <c r="A136" s="57">
        <f>+'A) Base RI'!A138</f>
        <v>5627</v>
      </c>
      <c r="B136" s="350" t="str">
        <f>+'A) Base RI'!B138</f>
        <v>Chavannes-près-Renens</v>
      </c>
      <c r="C136" s="364">
        <f>+'D) Ecrêtage'!M136</f>
        <v>171770.86046413501</v>
      </c>
      <c r="D136" s="332">
        <v>871277</v>
      </c>
      <c r="E136" s="364">
        <v>2299399</v>
      </c>
      <c r="F136" s="332">
        <v>4131</v>
      </c>
      <c r="G136" s="364">
        <f t="shared" si="21"/>
        <v>3174807</v>
      </c>
      <c r="H136" s="332">
        <f t="shared" si="22"/>
        <v>1374166.8837130801</v>
      </c>
      <c r="I136" s="14">
        <f t="shared" si="23"/>
        <v>1800640.1162869199</v>
      </c>
      <c r="J136" s="361">
        <f t="shared" si="18"/>
        <v>-1321466.8545299193</v>
      </c>
      <c r="K136" s="19">
        <v>8111</v>
      </c>
      <c r="L136" s="14">
        <f t="shared" si="19"/>
        <v>171770.86046413501</v>
      </c>
      <c r="M136" s="19">
        <f t="shared" si="16"/>
        <v>0</v>
      </c>
      <c r="N136" s="4">
        <f t="shared" si="20"/>
        <v>0</v>
      </c>
      <c r="O136" s="147">
        <f t="shared" si="17"/>
        <v>-1321466.8545299193</v>
      </c>
      <c r="P136" s="41">
        <f>O136/'D) Ecrêtage'!C137</f>
        <v>-68.251709560632406</v>
      </c>
      <c r="Q136" s="143"/>
    </row>
    <row r="137" spans="1:17" x14ac:dyDescent="0.25">
      <c r="A137" s="57">
        <f>+'A) Base RI'!A139</f>
        <v>5628</v>
      </c>
      <c r="B137" s="350" t="str">
        <f>+'A) Base RI'!B139</f>
        <v>Chigny</v>
      </c>
      <c r="C137" s="364">
        <f>+'D) Ecrêtage'!M137</f>
        <v>19328.986012330468</v>
      </c>
      <c r="D137" s="332">
        <v>17625</v>
      </c>
      <c r="E137" s="364">
        <v>29233</v>
      </c>
      <c r="F137" s="332">
        <v>40130</v>
      </c>
      <c r="G137" s="364">
        <f t="shared" si="21"/>
        <v>86988</v>
      </c>
      <c r="H137" s="332">
        <f t="shared" si="22"/>
        <v>154631.88809864374</v>
      </c>
      <c r="I137" s="14">
        <f t="shared" si="23"/>
        <v>0</v>
      </c>
      <c r="J137" s="361">
        <f t="shared" si="18"/>
        <v>0</v>
      </c>
      <c r="K137" s="19">
        <v>3968</v>
      </c>
      <c r="L137" s="14">
        <f t="shared" si="19"/>
        <v>19328.986012330468</v>
      </c>
      <c r="M137" s="19">
        <f t="shared" si="16"/>
        <v>0</v>
      </c>
      <c r="N137" s="4">
        <f t="shared" si="20"/>
        <v>0</v>
      </c>
      <c r="O137" s="147">
        <f t="shared" si="17"/>
        <v>0</v>
      </c>
      <c r="P137" s="41">
        <f>O137/'D) Ecrêtage'!C138</f>
        <v>0</v>
      </c>
      <c r="Q137" s="143"/>
    </row>
    <row r="138" spans="1:17" x14ac:dyDescent="0.25">
      <c r="A138" s="57">
        <f>+'A) Base RI'!A140</f>
        <v>5629</v>
      </c>
      <c r="B138" s="350" t="str">
        <f>+'A) Base RI'!B140</f>
        <v>Clarmont</v>
      </c>
      <c r="C138" s="364">
        <f>+'D) Ecrêtage'!M138</f>
        <v>7536.1791999999996</v>
      </c>
      <c r="D138" s="332">
        <v>118367</v>
      </c>
      <c r="E138" s="364">
        <v>5652</v>
      </c>
      <c r="F138" s="332">
        <v>20113</v>
      </c>
      <c r="G138" s="364">
        <f t="shared" si="21"/>
        <v>144132</v>
      </c>
      <c r="H138" s="332">
        <f t="shared" si="22"/>
        <v>60289.433599999997</v>
      </c>
      <c r="I138" s="14">
        <f t="shared" si="23"/>
        <v>83842.566400000011</v>
      </c>
      <c r="J138" s="361">
        <f t="shared" si="18"/>
        <v>-61530.991947904295</v>
      </c>
      <c r="K138" s="19">
        <v>227</v>
      </c>
      <c r="L138" s="14">
        <f t="shared" si="19"/>
        <v>7536.1791999999996</v>
      </c>
      <c r="M138" s="19">
        <f t="shared" si="16"/>
        <v>0</v>
      </c>
      <c r="N138" s="4">
        <f t="shared" si="20"/>
        <v>0</v>
      </c>
      <c r="O138" s="147">
        <f t="shared" si="17"/>
        <v>-61530.991947904295</v>
      </c>
      <c r="P138" s="41">
        <f>O138/'D) Ecrêtage'!C139</f>
        <v>-1.4573228402110618</v>
      </c>
      <c r="Q138" s="143"/>
    </row>
    <row r="139" spans="1:17" x14ac:dyDescent="0.25">
      <c r="A139" s="57">
        <f>+'A) Base RI'!A141</f>
        <v>5631</v>
      </c>
      <c r="B139" s="350" t="str">
        <f>+'A) Base RI'!B141</f>
        <v>Denens</v>
      </c>
      <c r="C139" s="364">
        <f>+'D) Ecrêtage'!M139</f>
        <v>42221.936176470583</v>
      </c>
      <c r="D139" s="332">
        <v>81355</v>
      </c>
      <c r="E139" s="364">
        <v>31789</v>
      </c>
      <c r="F139" s="332">
        <v>72455</v>
      </c>
      <c r="G139" s="364">
        <f t="shared" si="21"/>
        <v>185599</v>
      </c>
      <c r="H139" s="332">
        <f t="shared" si="22"/>
        <v>337775.48941176466</v>
      </c>
      <c r="I139" s="14">
        <f t="shared" si="23"/>
        <v>0</v>
      </c>
      <c r="J139" s="361">
        <f t="shared" si="18"/>
        <v>0</v>
      </c>
      <c r="K139" s="19">
        <v>4879</v>
      </c>
      <c r="L139" s="14">
        <f t="shared" si="19"/>
        <v>42221.936176470583</v>
      </c>
      <c r="M139" s="19">
        <f t="shared" si="16"/>
        <v>0</v>
      </c>
      <c r="N139" s="4">
        <f t="shared" si="20"/>
        <v>0</v>
      </c>
      <c r="O139" s="147">
        <f t="shared" si="17"/>
        <v>0</v>
      </c>
      <c r="P139" s="41">
        <f>O139/'D) Ecrêtage'!C140</f>
        <v>0</v>
      </c>
      <c r="Q139" s="143"/>
    </row>
    <row r="140" spans="1:17" x14ac:dyDescent="0.25">
      <c r="A140" s="57">
        <f>+'A) Base RI'!A142</f>
        <v>5632</v>
      </c>
      <c r="B140" s="350" t="str">
        <f>+'A) Base RI'!B142</f>
        <v>Denges</v>
      </c>
      <c r="C140" s="364">
        <f>+'D) Ecrêtage'!M140</f>
        <v>67310.066612903232</v>
      </c>
      <c r="D140" s="332">
        <v>66147</v>
      </c>
      <c r="E140" s="364">
        <v>336396</v>
      </c>
      <c r="F140" s="332">
        <v>62330</v>
      </c>
      <c r="G140" s="364">
        <f t="shared" si="21"/>
        <v>464873</v>
      </c>
      <c r="H140" s="332">
        <f t="shared" si="22"/>
        <v>538480.53290322586</v>
      </c>
      <c r="I140" s="14">
        <f t="shared" si="23"/>
        <v>0</v>
      </c>
      <c r="J140" s="361">
        <f t="shared" si="18"/>
        <v>0</v>
      </c>
      <c r="K140" s="19">
        <v>1512</v>
      </c>
      <c r="L140" s="14">
        <f t="shared" si="19"/>
        <v>67310.066612903232</v>
      </c>
      <c r="M140" s="19">
        <f t="shared" si="16"/>
        <v>0</v>
      </c>
      <c r="N140" s="4">
        <f t="shared" si="20"/>
        <v>0</v>
      </c>
      <c r="O140" s="147">
        <f t="shared" si="17"/>
        <v>0</v>
      </c>
      <c r="P140" s="41">
        <f>O140/'D) Ecrêtage'!C141</f>
        <v>0</v>
      </c>
      <c r="Q140" s="143"/>
    </row>
    <row r="141" spans="1:17" x14ac:dyDescent="0.25">
      <c r="A141" s="57">
        <f>+'A) Base RI'!A143</f>
        <v>5633</v>
      </c>
      <c r="B141" s="350" t="str">
        <f>+'A) Base RI'!B143</f>
        <v>Echandens</v>
      </c>
      <c r="C141" s="364">
        <f>+'D) Ecrêtage'!M141</f>
        <v>139554.44612903227</v>
      </c>
      <c r="D141" s="332">
        <v>675703</v>
      </c>
      <c r="E141" s="364">
        <v>596254</v>
      </c>
      <c r="F141" s="332">
        <v>148811</v>
      </c>
      <c r="G141" s="364">
        <f t="shared" si="21"/>
        <v>1420768</v>
      </c>
      <c r="H141" s="332">
        <f t="shared" si="22"/>
        <v>1116435.5690322581</v>
      </c>
      <c r="I141" s="14">
        <f t="shared" si="23"/>
        <v>304332.43096774188</v>
      </c>
      <c r="J141" s="361">
        <f t="shared" si="18"/>
        <v>-223345.69614703805</v>
      </c>
      <c r="K141" s="19">
        <v>12980</v>
      </c>
      <c r="L141" s="14">
        <f t="shared" si="19"/>
        <v>139554.44612903227</v>
      </c>
      <c r="M141" s="19">
        <f t="shared" si="16"/>
        <v>0</v>
      </c>
      <c r="N141" s="4">
        <f t="shared" si="20"/>
        <v>0</v>
      </c>
      <c r="O141" s="147">
        <f t="shared" si="17"/>
        <v>-223345.69614703805</v>
      </c>
      <c r="P141" s="41">
        <f>O141/'D) Ecrêtage'!C142</f>
        <v>-1.7768264950934021</v>
      </c>
      <c r="Q141" s="143"/>
    </row>
    <row r="142" spans="1:17" x14ac:dyDescent="0.25">
      <c r="A142" s="57">
        <f>+'A) Base RI'!A144</f>
        <v>5634</v>
      </c>
      <c r="B142" s="350" t="str">
        <f>+'A) Base RI'!B144</f>
        <v>Echichens</v>
      </c>
      <c r="C142" s="364">
        <f>+'D) Ecrêtage'!M142</f>
        <v>125699.21529411766</v>
      </c>
      <c r="D142" s="332">
        <v>242802</v>
      </c>
      <c r="E142" s="364">
        <v>254261</v>
      </c>
      <c r="F142" s="332">
        <v>187610</v>
      </c>
      <c r="G142" s="364">
        <f t="shared" si="21"/>
        <v>684673</v>
      </c>
      <c r="H142" s="332">
        <f t="shared" si="22"/>
        <v>1005593.7223529413</v>
      </c>
      <c r="I142" s="14">
        <f t="shared" si="23"/>
        <v>0</v>
      </c>
      <c r="J142" s="361">
        <f t="shared" si="18"/>
        <v>0</v>
      </c>
      <c r="K142" s="19">
        <v>16347</v>
      </c>
      <c r="L142" s="14">
        <f t="shared" si="19"/>
        <v>125699.21529411766</v>
      </c>
      <c r="M142" s="19">
        <f t="shared" si="16"/>
        <v>0</v>
      </c>
      <c r="N142" s="4">
        <f t="shared" si="20"/>
        <v>0</v>
      </c>
      <c r="O142" s="147">
        <f t="shared" si="17"/>
        <v>0</v>
      </c>
      <c r="P142" s="41">
        <f>O142/'D) Ecrêtage'!C143</f>
        <v>0</v>
      </c>
      <c r="Q142" s="143"/>
    </row>
    <row r="143" spans="1:17" x14ac:dyDescent="0.25">
      <c r="A143" s="57">
        <f>+'A) Base RI'!A145</f>
        <v>5635</v>
      </c>
      <c r="B143" s="350" t="str">
        <f>+'A) Base RI'!B145</f>
        <v>Ecublens</v>
      </c>
      <c r="C143" s="364">
        <f>+'D) Ecrêtage'!M143</f>
        <v>424543.31159592536</v>
      </c>
      <c r="D143" s="332">
        <v>3329091</v>
      </c>
      <c r="E143" s="364">
        <v>3724693</v>
      </c>
      <c r="F143" s="332">
        <v>216721</v>
      </c>
      <c r="G143" s="364">
        <f t="shared" si="21"/>
        <v>7270505</v>
      </c>
      <c r="H143" s="332">
        <f t="shared" si="22"/>
        <v>3396346.4927674029</v>
      </c>
      <c r="I143" s="14">
        <f t="shared" si="23"/>
        <v>3874158.5072325971</v>
      </c>
      <c r="J143" s="361">
        <f t="shared" si="18"/>
        <v>-2843195.6003846014</v>
      </c>
      <c r="K143" s="19">
        <v>110296</v>
      </c>
      <c r="L143" s="14">
        <f t="shared" si="19"/>
        <v>424543.31159592536</v>
      </c>
      <c r="M143" s="19">
        <f t="shared" si="16"/>
        <v>0</v>
      </c>
      <c r="N143" s="4">
        <f t="shared" si="20"/>
        <v>0</v>
      </c>
      <c r="O143" s="147">
        <f t="shared" si="17"/>
        <v>-2843195.6003846014</v>
      </c>
      <c r="P143" s="41">
        <f>O143/'D) Ecrêtage'!C144</f>
        <v>-18.847228894050136</v>
      </c>
      <c r="Q143" s="143"/>
    </row>
    <row r="144" spans="1:17" x14ac:dyDescent="0.25">
      <c r="A144" s="57">
        <f>+'A) Base RI'!A146</f>
        <v>5636</v>
      </c>
      <c r="B144" s="350" t="str">
        <f>+'A) Base RI'!B146</f>
        <v>Etoy</v>
      </c>
      <c r="C144" s="364">
        <f>+'D) Ecrêtage'!M144</f>
        <v>150854.83475409835</v>
      </c>
      <c r="D144" s="332">
        <v>509354</v>
      </c>
      <c r="E144" s="364">
        <v>335620</v>
      </c>
      <c r="F144" s="332">
        <v>354719</v>
      </c>
      <c r="G144" s="364">
        <f t="shared" si="21"/>
        <v>1199693</v>
      </c>
      <c r="H144" s="332">
        <f t="shared" si="22"/>
        <v>1206838.6780327868</v>
      </c>
      <c r="I144" s="14">
        <f t="shared" si="23"/>
        <v>0</v>
      </c>
      <c r="J144" s="361">
        <f t="shared" si="18"/>
        <v>0</v>
      </c>
      <c r="K144" s="19">
        <v>10024</v>
      </c>
      <c r="L144" s="14">
        <f t="shared" si="19"/>
        <v>150854.83475409835</v>
      </c>
      <c r="M144" s="19">
        <f t="shared" si="16"/>
        <v>0</v>
      </c>
      <c r="N144" s="4">
        <f t="shared" si="20"/>
        <v>0</v>
      </c>
      <c r="O144" s="147">
        <f t="shared" si="17"/>
        <v>0</v>
      </c>
      <c r="P144" s="41">
        <f>O144/'D) Ecrêtage'!C145</f>
        <v>0</v>
      </c>
      <c r="Q144" s="143"/>
    </row>
    <row r="145" spans="1:17" x14ac:dyDescent="0.25">
      <c r="A145" s="57">
        <f>+'A) Base RI'!A147</f>
        <v>5637</v>
      </c>
      <c r="B145" s="350" t="str">
        <f>+'A) Base RI'!B147</f>
        <v>Lavigny</v>
      </c>
      <c r="C145" s="364">
        <f>+'D) Ecrêtage'!M145</f>
        <v>35788.809619686814</v>
      </c>
      <c r="D145" s="332">
        <v>168516</v>
      </c>
      <c r="E145" s="364">
        <v>67368</v>
      </c>
      <c r="F145" s="332">
        <v>135735</v>
      </c>
      <c r="G145" s="364">
        <f t="shared" si="21"/>
        <v>371619</v>
      </c>
      <c r="H145" s="332">
        <f t="shared" si="22"/>
        <v>286310.47695749451</v>
      </c>
      <c r="I145" s="14">
        <f t="shared" si="23"/>
        <v>85308.523042505491</v>
      </c>
      <c r="J145" s="361">
        <f t="shared" si="18"/>
        <v>-62606.838862413599</v>
      </c>
      <c r="K145" s="19">
        <v>0</v>
      </c>
      <c r="L145" s="14">
        <f t="shared" si="19"/>
        <v>35788.809619686814</v>
      </c>
      <c r="M145" s="19">
        <f t="shared" si="16"/>
        <v>0</v>
      </c>
      <c r="N145" s="4">
        <f t="shared" si="20"/>
        <v>0</v>
      </c>
      <c r="O145" s="147">
        <f t="shared" si="17"/>
        <v>-62606.838862413599</v>
      </c>
      <c r="P145" s="41">
        <f>O145/'D) Ecrêtage'!C146</f>
        <v>-0.41496025470902448</v>
      </c>
      <c r="Q145" s="143"/>
    </row>
    <row r="146" spans="1:17" x14ac:dyDescent="0.25">
      <c r="A146" s="57">
        <f>+'A) Base RI'!A148</f>
        <v>5638</v>
      </c>
      <c r="B146" s="350" t="str">
        <f>+'A) Base RI'!B148</f>
        <v>Lonay</v>
      </c>
      <c r="C146" s="364">
        <f>+'D) Ecrêtage'!M146</f>
        <v>149182.29456782961</v>
      </c>
      <c r="D146" s="332">
        <v>743405</v>
      </c>
      <c r="E146" s="364">
        <v>823831</v>
      </c>
      <c r="F146" s="332">
        <v>90640</v>
      </c>
      <c r="G146" s="364">
        <f t="shared" si="21"/>
        <v>1657876</v>
      </c>
      <c r="H146" s="332">
        <f t="shared" si="22"/>
        <v>1193458.3565426369</v>
      </c>
      <c r="I146" s="14">
        <f t="shared" si="23"/>
        <v>464417.64345736313</v>
      </c>
      <c r="J146" s="361">
        <f t="shared" si="18"/>
        <v>-340830.19529373205</v>
      </c>
      <c r="K146" s="19">
        <v>15927</v>
      </c>
      <c r="L146" s="14">
        <f t="shared" si="19"/>
        <v>149182.29456782961</v>
      </c>
      <c r="M146" s="19">
        <f t="shared" si="16"/>
        <v>0</v>
      </c>
      <c r="N146" s="4">
        <f t="shared" si="20"/>
        <v>0</v>
      </c>
      <c r="O146" s="147">
        <f t="shared" si="17"/>
        <v>-340830.19529373205</v>
      </c>
      <c r="P146" s="41">
        <f>O146/'D) Ecrêtage'!C147</f>
        <v>-8.1687422199622208</v>
      </c>
      <c r="Q146" s="143"/>
    </row>
    <row r="147" spans="1:17" x14ac:dyDescent="0.25">
      <c r="A147" s="57">
        <f>+'A) Base RI'!A149</f>
        <v>5639</v>
      </c>
      <c r="B147" s="350" t="str">
        <f>+'A) Base RI'!B149</f>
        <v>Lully</v>
      </c>
      <c r="C147" s="364">
        <f>+'D) Ecrêtage'!M147</f>
        <v>41723.705573770494</v>
      </c>
      <c r="D147" s="332">
        <v>36280</v>
      </c>
      <c r="E147" s="364">
        <v>109637</v>
      </c>
      <c r="F147" s="332">
        <v>11829</v>
      </c>
      <c r="G147" s="364">
        <f t="shared" si="21"/>
        <v>157746</v>
      </c>
      <c r="H147" s="332">
        <f t="shared" si="22"/>
        <v>333789.64459016395</v>
      </c>
      <c r="I147" s="14">
        <f t="shared" si="23"/>
        <v>0</v>
      </c>
      <c r="J147" s="361">
        <f t="shared" si="18"/>
        <v>0</v>
      </c>
      <c r="K147" s="19">
        <v>22189</v>
      </c>
      <c r="L147" s="14">
        <f t="shared" si="19"/>
        <v>41723.705573770494</v>
      </c>
      <c r="M147" s="19">
        <f t="shared" si="16"/>
        <v>0</v>
      </c>
      <c r="N147" s="4">
        <f t="shared" si="20"/>
        <v>0</v>
      </c>
      <c r="O147" s="147">
        <f t="shared" si="17"/>
        <v>0</v>
      </c>
      <c r="P147" s="41">
        <f>O147/'D) Ecrêtage'!C148</f>
        <v>0</v>
      </c>
      <c r="Q147" s="143"/>
    </row>
    <row r="148" spans="1:17" x14ac:dyDescent="0.25">
      <c r="A148" s="57">
        <f>+'A) Base RI'!A150</f>
        <v>5640</v>
      </c>
      <c r="B148" s="350" t="str">
        <f>+'A) Base RI'!B150</f>
        <v>Lussy-sur-Morges</v>
      </c>
      <c r="C148" s="364">
        <f>+'D) Ecrêtage'!M148</f>
        <v>50448.007256951299</v>
      </c>
      <c r="D148" s="332">
        <v>164050</v>
      </c>
      <c r="E148" s="364">
        <v>79318</v>
      </c>
      <c r="F148" s="332">
        <v>69325</v>
      </c>
      <c r="G148" s="364">
        <f t="shared" si="21"/>
        <v>312693</v>
      </c>
      <c r="H148" s="332">
        <f t="shared" si="22"/>
        <v>403584.0580556104</v>
      </c>
      <c r="I148" s="14">
        <f t="shared" si="23"/>
        <v>0</v>
      </c>
      <c r="J148" s="361">
        <f t="shared" si="18"/>
        <v>0</v>
      </c>
      <c r="K148" s="19">
        <v>-8401</v>
      </c>
      <c r="L148" s="14">
        <f t="shared" si="19"/>
        <v>50448.007256951299</v>
      </c>
      <c r="M148" s="19">
        <f t="shared" si="16"/>
        <v>0</v>
      </c>
      <c r="N148" s="4">
        <f t="shared" si="20"/>
        <v>0</v>
      </c>
      <c r="O148" s="147">
        <f t="shared" si="17"/>
        <v>0</v>
      </c>
      <c r="P148" s="41">
        <f>O148/'D) Ecrêtage'!C149</f>
        <v>0</v>
      </c>
      <c r="Q148" s="143"/>
    </row>
    <row r="149" spans="1:17" x14ac:dyDescent="0.25">
      <c r="A149" s="57">
        <f>+'A) Base RI'!A151</f>
        <v>5642</v>
      </c>
      <c r="B149" s="350" t="str">
        <f>+'A) Base RI'!B151</f>
        <v>Morges</v>
      </c>
      <c r="C149" s="364">
        <f>+'D) Ecrêtage'!M149</f>
        <v>781778.61635036487</v>
      </c>
      <c r="D149" s="332">
        <v>3085470</v>
      </c>
      <c r="E149" s="364">
        <v>3433733</v>
      </c>
      <c r="F149" s="332">
        <v>86319</v>
      </c>
      <c r="G149" s="364">
        <f t="shared" si="21"/>
        <v>6605522</v>
      </c>
      <c r="H149" s="332">
        <f t="shared" si="22"/>
        <v>6254228.930802919</v>
      </c>
      <c r="I149" s="14">
        <f t="shared" si="23"/>
        <v>351293.06919708103</v>
      </c>
      <c r="J149" s="361">
        <f t="shared" si="18"/>
        <v>-257809.51061297875</v>
      </c>
      <c r="K149" s="19">
        <v>39825</v>
      </c>
      <c r="L149" s="14">
        <f t="shared" si="19"/>
        <v>781778.61635036487</v>
      </c>
      <c r="M149" s="19">
        <f t="shared" si="16"/>
        <v>0</v>
      </c>
      <c r="N149" s="4">
        <f t="shared" si="20"/>
        <v>0</v>
      </c>
      <c r="O149" s="147">
        <f t="shared" si="17"/>
        <v>-257809.51061297875</v>
      </c>
      <c r="P149" s="41">
        <f>O149/'D) Ecrêtage'!C150</f>
        <v>-0.98108527995385508</v>
      </c>
      <c r="Q149" s="143"/>
    </row>
    <row r="150" spans="1:17" x14ac:dyDescent="0.25">
      <c r="A150" s="57">
        <f>+'A) Base RI'!A152</f>
        <v>5643</v>
      </c>
      <c r="B150" s="350" t="str">
        <f>+'A) Base RI'!B152</f>
        <v>Préverenges</v>
      </c>
      <c r="C150" s="364">
        <f>+'D) Ecrêtage'!M150</f>
        <v>262779.91921874997</v>
      </c>
      <c r="D150" s="332">
        <v>140341</v>
      </c>
      <c r="E150" s="364">
        <v>951560</v>
      </c>
      <c r="F150" s="332">
        <v>107232</v>
      </c>
      <c r="G150" s="364">
        <f t="shared" si="21"/>
        <v>1199133</v>
      </c>
      <c r="H150" s="332">
        <f t="shared" si="22"/>
        <v>2102239.3537499998</v>
      </c>
      <c r="I150" s="14">
        <f t="shared" si="23"/>
        <v>0</v>
      </c>
      <c r="J150" s="361">
        <f t="shared" si="18"/>
        <v>0</v>
      </c>
      <c r="K150" s="19">
        <v>150</v>
      </c>
      <c r="L150" s="14">
        <f t="shared" si="19"/>
        <v>262779.91921874997</v>
      </c>
      <c r="M150" s="19">
        <f t="shared" si="16"/>
        <v>0</v>
      </c>
      <c r="N150" s="4">
        <f t="shared" si="20"/>
        <v>0</v>
      </c>
      <c r="O150" s="147">
        <f t="shared" si="17"/>
        <v>0</v>
      </c>
      <c r="P150" s="41">
        <f>O150/'D) Ecrêtage'!C151</f>
        <v>0</v>
      </c>
      <c r="Q150" s="143"/>
    </row>
    <row r="151" spans="1:17" x14ac:dyDescent="0.25">
      <c r="A151" s="57">
        <f>+'A) Base RI'!A153</f>
        <v>5644</v>
      </c>
      <c r="B151" s="350" t="str">
        <f>+'A) Base RI'!B153</f>
        <v>Reverolle</v>
      </c>
      <c r="C151" s="364">
        <f>+'D) Ecrêtage'!M151</f>
        <v>14128.860263157892</v>
      </c>
      <c r="D151" s="332">
        <v>106836</v>
      </c>
      <c r="E151" s="364">
        <v>25435</v>
      </c>
      <c r="F151" s="332">
        <v>45888</v>
      </c>
      <c r="G151" s="364">
        <f t="shared" si="21"/>
        <v>178159</v>
      </c>
      <c r="H151" s="332">
        <f t="shared" si="22"/>
        <v>113030.88210526314</v>
      </c>
      <c r="I151" s="14">
        <f t="shared" si="23"/>
        <v>65128.117894736861</v>
      </c>
      <c r="J151" s="361">
        <f t="shared" si="18"/>
        <v>-47796.696473298973</v>
      </c>
      <c r="K151" s="19">
        <v>5871</v>
      </c>
      <c r="L151" s="14">
        <f t="shared" si="19"/>
        <v>14128.860263157892</v>
      </c>
      <c r="M151" s="19">
        <f t="shared" si="16"/>
        <v>0</v>
      </c>
      <c r="N151" s="4">
        <f t="shared" si="20"/>
        <v>0</v>
      </c>
      <c r="O151" s="147">
        <f t="shared" si="17"/>
        <v>-47796.696473298973</v>
      </c>
      <c r="P151" s="41">
        <f>O151/'D) Ecrêtage'!C152</f>
        <v>-1.8135113733400312</v>
      </c>
      <c r="Q151" s="143"/>
    </row>
    <row r="152" spans="1:17" x14ac:dyDescent="0.25">
      <c r="A152" s="57">
        <f>+'A) Base RI'!A154</f>
        <v>5645</v>
      </c>
      <c r="B152" s="350" t="str">
        <f>+'A) Base RI'!B154</f>
        <v>Romanel-sur-Morges</v>
      </c>
      <c r="C152" s="364">
        <f>+'D) Ecrêtage'!M152</f>
        <v>26355.884598214288</v>
      </c>
      <c r="D152" s="332">
        <v>75493</v>
      </c>
      <c r="E152" s="364">
        <v>16215</v>
      </c>
      <c r="F152" s="332">
        <v>46526</v>
      </c>
      <c r="G152" s="364">
        <f t="shared" si="21"/>
        <v>138234</v>
      </c>
      <c r="H152" s="332">
        <f t="shared" si="22"/>
        <v>210847.07678571431</v>
      </c>
      <c r="I152" s="14">
        <f t="shared" si="23"/>
        <v>0</v>
      </c>
      <c r="J152" s="361">
        <f t="shared" si="18"/>
        <v>0</v>
      </c>
      <c r="K152" s="19">
        <v>4172</v>
      </c>
      <c r="L152" s="14">
        <f t="shared" si="19"/>
        <v>26355.884598214288</v>
      </c>
      <c r="M152" s="19">
        <f t="shared" si="16"/>
        <v>0</v>
      </c>
      <c r="N152" s="4">
        <f t="shared" si="20"/>
        <v>0</v>
      </c>
      <c r="O152" s="147">
        <f t="shared" si="17"/>
        <v>0</v>
      </c>
      <c r="P152" s="41">
        <f>O152/'D) Ecrêtage'!C153</f>
        <v>0</v>
      </c>
      <c r="Q152" s="143"/>
    </row>
    <row r="153" spans="1:17" x14ac:dyDescent="0.25">
      <c r="A153" s="57">
        <f>+'A) Base RI'!A155</f>
        <v>5646</v>
      </c>
      <c r="B153" s="350" t="str">
        <f>+'A) Base RI'!B155</f>
        <v>Saint-Prex</v>
      </c>
      <c r="C153" s="364">
        <f>+'D) Ecrêtage'!M153</f>
        <v>484583.52386979276</v>
      </c>
      <c r="D153" s="332">
        <v>881397</v>
      </c>
      <c r="E153" s="364">
        <v>494921</v>
      </c>
      <c r="F153" s="332">
        <v>175969</v>
      </c>
      <c r="G153" s="364">
        <f t="shared" si="21"/>
        <v>1552287</v>
      </c>
      <c r="H153" s="332">
        <f t="shared" si="22"/>
        <v>3876668.190958342</v>
      </c>
      <c r="I153" s="14">
        <f t="shared" si="23"/>
        <v>0</v>
      </c>
      <c r="J153" s="361">
        <f t="shared" si="18"/>
        <v>0</v>
      </c>
      <c r="K153" s="19">
        <v>8238</v>
      </c>
      <c r="L153" s="14">
        <f t="shared" si="19"/>
        <v>484583.52386979276</v>
      </c>
      <c r="M153" s="19">
        <f t="shared" si="16"/>
        <v>0</v>
      </c>
      <c r="N153" s="4">
        <f t="shared" si="20"/>
        <v>0</v>
      </c>
      <c r="O153" s="147">
        <f t="shared" si="17"/>
        <v>0</v>
      </c>
      <c r="P153" s="41">
        <f>O153/'D) Ecrêtage'!C154</f>
        <v>0</v>
      </c>
      <c r="Q153" s="143"/>
    </row>
    <row r="154" spans="1:17" x14ac:dyDescent="0.25">
      <c r="A154" s="57">
        <f>+'A) Base RI'!A156</f>
        <v>5648</v>
      </c>
      <c r="B154" s="350" t="str">
        <f>+'A) Base RI'!B156</f>
        <v>Saint-Sulpice</v>
      </c>
      <c r="C154" s="364">
        <f>+'D) Ecrêtage'!M154</f>
        <v>303063.54594420397</v>
      </c>
      <c r="D154" s="332">
        <v>403233</v>
      </c>
      <c r="E154" s="364">
        <v>1853712</v>
      </c>
      <c r="F154" s="332">
        <v>45639</v>
      </c>
      <c r="G154" s="364">
        <f t="shared" si="21"/>
        <v>2302584</v>
      </c>
      <c r="H154" s="332">
        <f t="shared" si="22"/>
        <v>2424508.3675536318</v>
      </c>
      <c r="I154" s="14">
        <f t="shared" si="23"/>
        <v>0</v>
      </c>
      <c r="J154" s="361">
        <f t="shared" si="18"/>
        <v>0</v>
      </c>
      <c r="K154" s="19">
        <v>29634</v>
      </c>
      <c r="L154" s="14">
        <f t="shared" si="19"/>
        <v>303063.54594420397</v>
      </c>
      <c r="M154" s="19">
        <f t="shared" si="16"/>
        <v>0</v>
      </c>
      <c r="N154" s="4">
        <f t="shared" si="20"/>
        <v>0</v>
      </c>
      <c r="O154" s="147">
        <f t="shared" si="17"/>
        <v>0</v>
      </c>
      <c r="P154" s="41">
        <f>O154/'D) Ecrêtage'!C155</f>
        <v>0</v>
      </c>
      <c r="Q154" s="143"/>
    </row>
    <row r="155" spans="1:17" x14ac:dyDescent="0.25">
      <c r="A155" s="57">
        <f>+'A) Base RI'!A157</f>
        <v>5649</v>
      </c>
      <c r="B155" s="350" t="str">
        <f>+'A) Base RI'!B157</f>
        <v>Tolochenaz</v>
      </c>
      <c r="C155" s="364">
        <f>+'D) Ecrêtage'!M155</f>
        <v>78727.730769230766</v>
      </c>
      <c r="D155" s="332">
        <v>242940</v>
      </c>
      <c r="E155" s="364">
        <v>494435</v>
      </c>
      <c r="F155" s="332">
        <v>31510</v>
      </c>
      <c r="G155" s="364">
        <f t="shared" si="21"/>
        <v>768885</v>
      </c>
      <c r="H155" s="332">
        <f t="shared" si="22"/>
        <v>629821.84615384613</v>
      </c>
      <c r="I155" s="14">
        <f t="shared" si="23"/>
        <v>139063.15384615387</v>
      </c>
      <c r="J155" s="361">
        <f t="shared" si="18"/>
        <v>-102056.67797351524</v>
      </c>
      <c r="K155" s="19">
        <v>6168</v>
      </c>
      <c r="L155" s="14">
        <f t="shared" si="19"/>
        <v>78727.730769230766</v>
      </c>
      <c r="M155" s="19">
        <f t="shared" si="16"/>
        <v>0</v>
      </c>
      <c r="N155" s="4">
        <f t="shared" si="20"/>
        <v>0</v>
      </c>
      <c r="O155" s="147">
        <f t="shared" si="17"/>
        <v>-102056.67797351524</v>
      </c>
      <c r="P155" s="41">
        <f>O155/'D) Ecrêtage'!C156</f>
        <v>-0.6089502401977035</v>
      </c>
      <c r="Q155" s="143"/>
    </row>
    <row r="156" spans="1:17" x14ac:dyDescent="0.25">
      <c r="A156" s="57">
        <f>+'A) Base RI'!A158</f>
        <v>5650</v>
      </c>
      <c r="B156" s="350" t="str">
        <f>+'A) Base RI'!B158</f>
        <v>Vaux-sur-Morges</v>
      </c>
      <c r="C156" s="364">
        <f>+'D) Ecrêtage'!M156</f>
        <v>117330.27959010621</v>
      </c>
      <c r="D156" s="332">
        <v>12757</v>
      </c>
      <c r="E156" s="364">
        <v>14343</v>
      </c>
      <c r="F156" s="332">
        <v>24004</v>
      </c>
      <c r="G156" s="364">
        <f t="shared" si="21"/>
        <v>51104</v>
      </c>
      <c r="H156" s="332">
        <f t="shared" si="22"/>
        <v>938642.23672084964</v>
      </c>
      <c r="I156" s="14">
        <f t="shared" si="23"/>
        <v>0</v>
      </c>
      <c r="J156" s="361">
        <f t="shared" si="18"/>
        <v>0</v>
      </c>
      <c r="K156" s="19">
        <v>841</v>
      </c>
      <c r="L156" s="14">
        <f t="shared" si="19"/>
        <v>117330.27959010621</v>
      </c>
      <c r="M156" s="19">
        <f t="shared" si="16"/>
        <v>0</v>
      </c>
      <c r="N156" s="4">
        <f t="shared" si="20"/>
        <v>0</v>
      </c>
      <c r="O156" s="147">
        <f t="shared" si="17"/>
        <v>0</v>
      </c>
      <c r="P156" s="41">
        <f>O156/'D) Ecrêtage'!C157</f>
        <v>0</v>
      </c>
      <c r="Q156" s="143"/>
    </row>
    <row r="157" spans="1:17" x14ac:dyDescent="0.25">
      <c r="A157" s="57">
        <f>+'A) Base RI'!A159</f>
        <v>5651</v>
      </c>
      <c r="B157" s="350" t="str">
        <f>+'A) Base RI'!B159</f>
        <v>Villars-Sainte-Croix</v>
      </c>
      <c r="C157" s="364">
        <f>+'D) Ecrêtage'!M157</f>
        <v>39092.930338983046</v>
      </c>
      <c r="D157" s="332">
        <v>157702</v>
      </c>
      <c r="E157" s="364">
        <v>61945</v>
      </c>
      <c r="F157" s="332">
        <v>37161</v>
      </c>
      <c r="G157" s="364">
        <f t="shared" si="21"/>
        <v>256808</v>
      </c>
      <c r="H157" s="332">
        <f t="shared" si="22"/>
        <v>312743.44271186437</v>
      </c>
      <c r="I157" s="14">
        <f t="shared" si="23"/>
        <v>0</v>
      </c>
      <c r="J157" s="361">
        <f t="shared" si="18"/>
        <v>0</v>
      </c>
      <c r="K157" s="19">
        <v>27591</v>
      </c>
      <c r="L157" s="14">
        <f t="shared" si="19"/>
        <v>39092.930338983046</v>
      </c>
      <c r="M157" s="19">
        <f t="shared" si="16"/>
        <v>0</v>
      </c>
      <c r="N157" s="4">
        <f t="shared" si="20"/>
        <v>0</v>
      </c>
      <c r="O157" s="147">
        <f t="shared" si="17"/>
        <v>0</v>
      </c>
      <c r="P157" s="41">
        <f>O157/'D) Ecrêtage'!C158</f>
        <v>0</v>
      </c>
      <c r="Q157" s="143"/>
    </row>
    <row r="158" spans="1:17" x14ac:dyDescent="0.25">
      <c r="A158" s="57">
        <f>+'A) Base RI'!A160</f>
        <v>5652</v>
      </c>
      <c r="B158" s="350" t="str">
        <f>+'A) Base RI'!B160</f>
        <v>Villars-sous-Yens</v>
      </c>
      <c r="C158" s="364">
        <f>+'D) Ecrêtage'!M158</f>
        <v>21921.455131578947</v>
      </c>
      <c r="D158" s="332">
        <v>261415</v>
      </c>
      <c r="E158" s="364">
        <v>46140</v>
      </c>
      <c r="F158" s="332">
        <v>59740</v>
      </c>
      <c r="G158" s="364">
        <f t="shared" si="21"/>
        <v>367295</v>
      </c>
      <c r="H158" s="332">
        <f t="shared" si="22"/>
        <v>175371.64105263157</v>
      </c>
      <c r="I158" s="14">
        <f t="shared" si="23"/>
        <v>191923.35894736843</v>
      </c>
      <c r="J158" s="361">
        <f t="shared" si="18"/>
        <v>-140850.1094499568</v>
      </c>
      <c r="K158" s="19">
        <v>19714</v>
      </c>
      <c r="L158" s="14">
        <f t="shared" si="19"/>
        <v>21921.455131578947</v>
      </c>
      <c r="M158" s="19">
        <f t="shared" si="16"/>
        <v>0</v>
      </c>
      <c r="N158" s="4">
        <f t="shared" si="20"/>
        <v>0</v>
      </c>
      <c r="O158" s="147">
        <f t="shared" si="17"/>
        <v>-140850.1094499568</v>
      </c>
      <c r="P158" s="41">
        <f>O158/'D) Ecrêtage'!C159</f>
        <v>-2.3050444713855187</v>
      </c>
      <c r="Q158" s="143"/>
    </row>
    <row r="159" spans="1:17" x14ac:dyDescent="0.25">
      <c r="A159" s="57">
        <f>+'A) Base RI'!A161</f>
        <v>5653</v>
      </c>
      <c r="B159" s="350" t="str">
        <f>+'A) Base RI'!B161</f>
        <v>Vufflens-le-Château</v>
      </c>
      <c r="C159" s="364">
        <f>+'D) Ecrêtage'!M159</f>
        <v>58455.167959134647</v>
      </c>
      <c r="D159" s="332">
        <v>94350</v>
      </c>
      <c r="E159" s="364">
        <v>72507</v>
      </c>
      <c r="F159" s="332">
        <v>11220</v>
      </c>
      <c r="G159" s="364">
        <f t="shared" si="21"/>
        <v>178077</v>
      </c>
      <c r="H159" s="332">
        <f t="shared" si="22"/>
        <v>467641.34367307718</v>
      </c>
      <c r="I159" s="14">
        <f t="shared" si="23"/>
        <v>0</v>
      </c>
      <c r="J159" s="361">
        <f t="shared" si="18"/>
        <v>0</v>
      </c>
      <c r="K159" s="19">
        <v>10233</v>
      </c>
      <c r="L159" s="14">
        <f t="shared" si="19"/>
        <v>58455.167959134647</v>
      </c>
      <c r="M159" s="19">
        <f t="shared" si="16"/>
        <v>0</v>
      </c>
      <c r="N159" s="4">
        <f t="shared" si="20"/>
        <v>0</v>
      </c>
      <c r="O159" s="147">
        <f t="shared" si="17"/>
        <v>0</v>
      </c>
      <c r="P159" s="41">
        <f>O159/'D) Ecrêtage'!C160</f>
        <v>0</v>
      </c>
      <c r="Q159" s="143"/>
    </row>
    <row r="160" spans="1:17" x14ac:dyDescent="0.25">
      <c r="A160" s="57">
        <f>+'A) Base RI'!A162</f>
        <v>5654</v>
      </c>
      <c r="B160" s="350" t="str">
        <f>+'A) Base RI'!B162</f>
        <v>Vullierens</v>
      </c>
      <c r="C160" s="364">
        <f>+'D) Ecrêtage'!M160</f>
        <v>17141.735000000001</v>
      </c>
      <c r="D160" s="332">
        <v>755543</v>
      </c>
      <c r="E160" s="364">
        <v>16250</v>
      </c>
      <c r="F160" s="332">
        <v>41409</v>
      </c>
      <c r="G160" s="364">
        <f t="shared" si="21"/>
        <v>813202</v>
      </c>
      <c r="H160" s="332">
        <f t="shared" si="22"/>
        <v>137133.88</v>
      </c>
      <c r="I160" s="14">
        <f t="shared" si="23"/>
        <v>676068.12</v>
      </c>
      <c r="J160" s="361">
        <f t="shared" si="18"/>
        <v>-496157.7851695483</v>
      </c>
      <c r="K160" s="19">
        <v>11444</v>
      </c>
      <c r="L160" s="14">
        <f t="shared" si="19"/>
        <v>17141.735000000001</v>
      </c>
      <c r="M160" s="19">
        <f t="shared" si="16"/>
        <v>0</v>
      </c>
      <c r="N160" s="4">
        <f t="shared" si="20"/>
        <v>0</v>
      </c>
      <c r="O160" s="147">
        <f t="shared" si="17"/>
        <v>-496157.7851695483</v>
      </c>
      <c r="P160" s="41">
        <f>O160/'D) Ecrêtage'!C161</f>
        <v>-5.936281843216527</v>
      </c>
      <c r="Q160" s="143"/>
    </row>
    <row r="161" spans="1:17" x14ac:dyDescent="0.25">
      <c r="A161" s="57">
        <f>+'A) Base RI'!A163</f>
        <v>5655</v>
      </c>
      <c r="B161" s="350" t="str">
        <f>+'A) Base RI'!B163</f>
        <v>Yens</v>
      </c>
      <c r="C161" s="364">
        <f>+'D) Ecrêtage'!M161</f>
        <v>82506.78552989832</v>
      </c>
      <c r="D161" s="332">
        <v>322377</v>
      </c>
      <c r="E161" s="364">
        <v>124084</v>
      </c>
      <c r="F161" s="332">
        <v>148744</v>
      </c>
      <c r="G161" s="364">
        <f t="shared" si="21"/>
        <v>595205</v>
      </c>
      <c r="H161" s="332">
        <f t="shared" si="22"/>
        <v>660054.28423918656</v>
      </c>
      <c r="I161" s="14">
        <f t="shared" si="23"/>
        <v>0</v>
      </c>
      <c r="J161" s="361">
        <f t="shared" si="18"/>
        <v>0</v>
      </c>
      <c r="K161" s="19">
        <v>30284</v>
      </c>
      <c r="L161" s="14">
        <f t="shared" si="19"/>
        <v>82506.78552989832</v>
      </c>
      <c r="M161" s="19">
        <f t="shared" si="16"/>
        <v>0</v>
      </c>
      <c r="N161" s="4">
        <f t="shared" si="20"/>
        <v>0</v>
      </c>
      <c r="O161" s="147">
        <f t="shared" si="17"/>
        <v>0</v>
      </c>
      <c r="P161" s="41">
        <f>O161/'D) Ecrêtage'!C162</f>
        <v>0</v>
      </c>
      <c r="Q161" s="143"/>
    </row>
    <row r="162" spans="1:17" x14ac:dyDescent="0.25">
      <c r="A162" s="57">
        <f>+'A) Base RI'!A164</f>
        <v>5661</v>
      </c>
      <c r="B162" s="350" t="str">
        <f>+'A) Base RI'!B164</f>
        <v>Boulens</v>
      </c>
      <c r="C162" s="364">
        <f>+'D) Ecrêtage'!M162</f>
        <v>9592.9711392405043</v>
      </c>
      <c r="D162" s="332">
        <v>8620</v>
      </c>
      <c r="E162" s="364">
        <v>9944</v>
      </c>
      <c r="F162" s="332">
        <v>31968</v>
      </c>
      <c r="G162" s="364">
        <f t="shared" si="21"/>
        <v>50532</v>
      </c>
      <c r="H162" s="332">
        <f t="shared" si="22"/>
        <v>76743.769113924034</v>
      </c>
      <c r="I162" s="14">
        <f t="shared" si="23"/>
        <v>0</v>
      </c>
      <c r="J162" s="361">
        <f t="shared" si="18"/>
        <v>0</v>
      </c>
      <c r="K162" s="19">
        <v>43100</v>
      </c>
      <c r="L162" s="14">
        <f t="shared" si="19"/>
        <v>9592.9711392405043</v>
      </c>
      <c r="M162" s="19">
        <f t="shared" si="16"/>
        <v>33507.028860759499</v>
      </c>
      <c r="N162" s="4">
        <f t="shared" si="20"/>
        <v>-24590.381849637528</v>
      </c>
      <c r="O162" s="147">
        <f t="shared" si="17"/>
        <v>-24590.381849637528</v>
      </c>
      <c r="P162" s="41">
        <f>O162/'D) Ecrêtage'!C163</f>
        <v>-4.4968038671249895</v>
      </c>
      <c r="Q162" s="143"/>
    </row>
    <row r="163" spans="1:17" x14ac:dyDescent="0.25">
      <c r="A163" s="57">
        <f>+'A) Base RI'!A165</f>
        <v>5663</v>
      </c>
      <c r="B163" s="350" t="str">
        <f>+'A) Base RI'!B165</f>
        <v>Bussy-sur-Moudon</v>
      </c>
      <c r="C163" s="364">
        <f>+'D) Ecrêtage'!M163</f>
        <v>5468.4132499999996</v>
      </c>
      <c r="D163" s="332">
        <v>49788</v>
      </c>
      <c r="E163" s="364">
        <v>6058</v>
      </c>
      <c r="F163" s="332">
        <v>13125</v>
      </c>
      <c r="G163" s="364">
        <f t="shared" si="21"/>
        <v>68971</v>
      </c>
      <c r="H163" s="332">
        <f t="shared" si="22"/>
        <v>43747.305999999997</v>
      </c>
      <c r="I163" s="14">
        <f t="shared" si="23"/>
        <v>25223.694000000003</v>
      </c>
      <c r="J163" s="361">
        <f t="shared" si="18"/>
        <v>-18511.347863636027</v>
      </c>
      <c r="K163" s="19">
        <v>46521</v>
      </c>
      <c r="L163" s="14">
        <f t="shared" si="19"/>
        <v>5468.4132499999996</v>
      </c>
      <c r="M163" s="19">
        <f t="shared" si="16"/>
        <v>41052.586750000002</v>
      </c>
      <c r="N163" s="4">
        <f t="shared" si="20"/>
        <v>-30127.970710053221</v>
      </c>
      <c r="O163" s="147">
        <f t="shared" si="17"/>
        <v>-48639.318573689248</v>
      </c>
      <c r="P163" s="41">
        <f>O163/'D) Ecrêtage'!C164</f>
        <v>-9.7612882376915895</v>
      </c>
      <c r="Q163" s="143"/>
    </row>
    <row r="164" spans="1:17" x14ac:dyDescent="0.25">
      <c r="A164" s="57">
        <f>+'A) Base RI'!A166</f>
        <v>5665</v>
      </c>
      <c r="B164" s="350" t="str">
        <f>+'A) Base RI'!B166</f>
        <v>Chavannes-sur-Moudon</v>
      </c>
      <c r="C164" s="364">
        <f>+'D) Ecrêtage'!M164</f>
        <v>4982.8790410958891</v>
      </c>
      <c r="D164" s="332">
        <v>40090</v>
      </c>
      <c r="E164" s="364">
        <v>6854</v>
      </c>
      <c r="F164" s="332">
        <v>13893</v>
      </c>
      <c r="G164" s="364">
        <f t="shared" si="21"/>
        <v>60837</v>
      </c>
      <c r="H164" s="332">
        <f t="shared" si="22"/>
        <v>39863.032328767113</v>
      </c>
      <c r="I164" s="14">
        <f t="shared" si="23"/>
        <v>20973.967671232887</v>
      </c>
      <c r="J164" s="361">
        <f t="shared" si="18"/>
        <v>-15392.527820978481</v>
      </c>
      <c r="K164" s="19">
        <v>-14919</v>
      </c>
      <c r="L164" s="14">
        <f t="shared" si="19"/>
        <v>4982.8790410958891</v>
      </c>
      <c r="M164" s="19">
        <f t="shared" si="16"/>
        <v>0</v>
      </c>
      <c r="N164" s="4">
        <f t="shared" si="20"/>
        <v>0</v>
      </c>
      <c r="O164" s="147">
        <f t="shared" si="17"/>
        <v>-15392.527820978481</v>
      </c>
      <c r="P164" s="41">
        <f>O164/'D) Ecrêtage'!C165</f>
        <v>-1.8591864078873583</v>
      </c>
      <c r="Q164" s="143"/>
    </row>
    <row r="165" spans="1:17" x14ac:dyDescent="0.25">
      <c r="A165" s="57">
        <f>+'A) Base RI'!A167</f>
        <v>5669</v>
      </c>
      <c r="B165" s="350" t="str">
        <f>+'A) Base RI'!B167</f>
        <v>Curtilles</v>
      </c>
      <c r="C165" s="364">
        <f>+'D) Ecrêtage'!M165</f>
        <v>8279.174027777779</v>
      </c>
      <c r="D165" s="332">
        <v>70860</v>
      </c>
      <c r="E165" s="364">
        <v>19031</v>
      </c>
      <c r="F165" s="332">
        <v>19347</v>
      </c>
      <c r="G165" s="364">
        <f t="shared" si="21"/>
        <v>109238</v>
      </c>
      <c r="H165" s="332">
        <f t="shared" si="22"/>
        <v>66233.392222222232</v>
      </c>
      <c r="I165" s="14">
        <f t="shared" si="23"/>
        <v>43004.607777777768</v>
      </c>
      <c r="J165" s="361">
        <f t="shared" si="18"/>
        <v>-31560.534088055134</v>
      </c>
      <c r="K165" s="19">
        <v>372</v>
      </c>
      <c r="L165" s="14">
        <f t="shared" si="19"/>
        <v>8279.174027777779</v>
      </c>
      <c r="M165" s="19">
        <f t="shared" si="16"/>
        <v>0</v>
      </c>
      <c r="N165" s="4">
        <f t="shared" si="20"/>
        <v>0</v>
      </c>
      <c r="O165" s="147">
        <f t="shared" si="17"/>
        <v>-31560.534088055134</v>
      </c>
      <c r="P165" s="41">
        <f>O165/'D) Ecrêtage'!C166</f>
        <v>-4.7297308005681549</v>
      </c>
      <c r="Q165" s="143"/>
    </row>
    <row r="166" spans="1:17" x14ac:dyDescent="0.25">
      <c r="A166" s="57">
        <f>+'A) Base RI'!A168</f>
        <v>5671</v>
      </c>
      <c r="B166" s="350" t="str">
        <f>+'A) Base RI'!B168</f>
        <v>Dompierre</v>
      </c>
      <c r="C166" s="364">
        <f>+'D) Ecrêtage'!M166</f>
        <v>6672.7971250000001</v>
      </c>
      <c r="D166" s="332">
        <v>86439</v>
      </c>
      <c r="E166" s="364">
        <v>7557</v>
      </c>
      <c r="F166" s="332">
        <v>29687</v>
      </c>
      <c r="G166" s="364">
        <f t="shared" si="21"/>
        <v>123683</v>
      </c>
      <c r="H166" s="332">
        <f t="shared" si="22"/>
        <v>53382.377</v>
      </c>
      <c r="I166" s="14">
        <f t="shared" si="23"/>
        <v>70300.622999999992</v>
      </c>
      <c r="J166" s="361">
        <f t="shared" si="18"/>
        <v>-51592.732110662757</v>
      </c>
      <c r="K166" s="19">
        <v>3942</v>
      </c>
      <c r="L166" s="14">
        <f t="shared" si="19"/>
        <v>6672.7971250000001</v>
      </c>
      <c r="M166" s="19">
        <f t="shared" ref="M166:M218" si="24">IF(K166&gt;L166,K166-L166,0)</f>
        <v>0</v>
      </c>
      <c r="N166" s="4">
        <f t="shared" si="20"/>
        <v>0</v>
      </c>
      <c r="O166" s="147">
        <f t="shared" ref="O166:O218" si="25">N166+J166</f>
        <v>-51592.732110662757</v>
      </c>
      <c r="P166" s="41">
        <f>O166/'D) Ecrêtage'!C167</f>
        <v>-6.5528457050664253</v>
      </c>
      <c r="Q166" s="143"/>
    </row>
    <row r="167" spans="1:17" x14ac:dyDescent="0.25">
      <c r="A167" s="57">
        <f>+'A) Base RI'!A169</f>
        <v>5673</v>
      </c>
      <c r="B167" s="350" t="str">
        <f>+'A) Base RI'!B169</f>
        <v>Hermenches</v>
      </c>
      <c r="C167" s="364">
        <f>+'D) Ecrêtage'!M167</f>
        <v>7873.3323555555571</v>
      </c>
      <c r="D167" s="332">
        <v>50939</v>
      </c>
      <c r="E167" s="364">
        <v>11688</v>
      </c>
      <c r="F167" s="332">
        <v>23825</v>
      </c>
      <c r="G167" s="364">
        <f t="shared" si="21"/>
        <v>86452</v>
      </c>
      <c r="H167" s="332">
        <f t="shared" si="22"/>
        <v>62986.658844444457</v>
      </c>
      <c r="I167" s="14">
        <f t="shared" si="23"/>
        <v>23465.341155555543</v>
      </c>
      <c r="J167" s="361">
        <f t="shared" si="18"/>
        <v>-17220.915099484781</v>
      </c>
      <c r="K167" s="19">
        <v>20150</v>
      </c>
      <c r="L167" s="14">
        <f t="shared" si="19"/>
        <v>7873.3323555555571</v>
      </c>
      <c r="M167" s="19">
        <f t="shared" si="24"/>
        <v>12276.667644444442</v>
      </c>
      <c r="N167" s="4">
        <f t="shared" si="20"/>
        <v>-9009.6900704772324</v>
      </c>
      <c r="O167" s="147">
        <f t="shared" si="25"/>
        <v>-26230.605169962015</v>
      </c>
      <c r="P167" s="41">
        <f>O167/'D) Ecrêtage'!C168</f>
        <v>-6.9451210160734487</v>
      </c>
      <c r="Q167" s="143"/>
    </row>
    <row r="168" spans="1:17" x14ac:dyDescent="0.25">
      <c r="A168" s="57">
        <f>+'A) Base RI'!A170</f>
        <v>5674</v>
      </c>
      <c r="B168" s="350" t="str">
        <f>+'A) Base RI'!B170</f>
        <v>Lovatens</v>
      </c>
      <c r="C168" s="364">
        <f>+'D) Ecrêtage'!M168</f>
        <v>3776.8391809523814</v>
      </c>
      <c r="D168" s="332">
        <v>46894</v>
      </c>
      <c r="E168" s="364">
        <v>4620</v>
      </c>
      <c r="F168" s="332">
        <v>7993</v>
      </c>
      <c r="G168" s="364">
        <f t="shared" si="21"/>
        <v>59507</v>
      </c>
      <c r="H168" s="332">
        <f t="shared" si="22"/>
        <v>30214.713447619051</v>
      </c>
      <c r="I168" s="14">
        <f t="shared" si="23"/>
        <v>29292.286552380949</v>
      </c>
      <c r="J168" s="361">
        <f t="shared" ref="J168" si="26">-I168*J$4</f>
        <v>-21497.236134105948</v>
      </c>
      <c r="K168" s="19">
        <v>1836</v>
      </c>
      <c r="L168" s="14">
        <f t="shared" ref="L168" si="27">C168*M$4</f>
        <v>3776.8391809523814</v>
      </c>
      <c r="M168" s="19">
        <f t="shared" ref="M168" si="28">IF(K168&gt;L168,K168-L168,0)</f>
        <v>0</v>
      </c>
      <c r="N168" s="4">
        <f t="shared" ref="N168" si="29">-M168*N$4</f>
        <v>0</v>
      </c>
      <c r="O168" s="147">
        <f t="shared" ref="O168" si="30">N168+J168</f>
        <v>-21497.236134105948</v>
      </c>
      <c r="P168" s="41">
        <f>O168/'D) Ecrêtage'!C169</f>
        <v>-0.23133551564211891</v>
      </c>
      <c r="Q168" s="143"/>
    </row>
    <row r="169" spans="1:17" x14ac:dyDescent="0.25">
      <c r="A169" s="57">
        <f>+'A) Base RI'!A171</f>
        <v>5675</v>
      </c>
      <c r="B169" s="350" t="str">
        <f>+'A) Base RI'!B171</f>
        <v>Lucens</v>
      </c>
      <c r="C169" s="364">
        <f>+'D) Ecrêtage'!M169</f>
        <v>92926.657086941384</v>
      </c>
      <c r="D169" s="332">
        <v>867310</v>
      </c>
      <c r="E169" s="364">
        <v>268275</v>
      </c>
      <c r="F169" s="332">
        <v>257672</v>
      </c>
      <c r="G169" s="364">
        <f t="shared" si="21"/>
        <v>1393257</v>
      </c>
      <c r="H169" s="332">
        <f t="shared" si="22"/>
        <v>743413.25669553108</v>
      </c>
      <c r="I169" s="14">
        <f t="shared" si="23"/>
        <v>649843.74330446892</v>
      </c>
      <c r="J169" s="361">
        <f t="shared" si="18"/>
        <v>-476912.04901694489</v>
      </c>
      <c r="K169" s="19">
        <v>78773</v>
      </c>
      <c r="L169" s="14">
        <f t="shared" si="19"/>
        <v>92926.657086941384</v>
      </c>
      <c r="M169" s="19">
        <f t="shared" si="24"/>
        <v>0</v>
      </c>
      <c r="N169" s="4">
        <f t="shared" si="20"/>
        <v>0</v>
      </c>
      <c r="O169" s="147">
        <f t="shared" si="25"/>
        <v>-476912.04901694489</v>
      </c>
      <c r="P169" s="41">
        <f>O169/'D) Ecrêtage'!C170</f>
        <v>-3.8736654902999845</v>
      </c>
      <c r="Q169" s="143"/>
    </row>
    <row r="170" spans="1:17" x14ac:dyDescent="0.25">
      <c r="A170" s="57">
        <f>+'A) Base RI'!A172</f>
        <v>5678</v>
      </c>
      <c r="B170" s="350" t="str">
        <f>+'A) Base RI'!B172</f>
        <v>Moudon</v>
      </c>
      <c r="C170" s="364">
        <f>+'D) Ecrêtage'!M170</f>
        <v>123116.47720000001</v>
      </c>
      <c r="D170" s="332">
        <v>1713427</v>
      </c>
      <c r="E170" s="364">
        <v>441361</v>
      </c>
      <c r="F170" s="332">
        <v>404825</v>
      </c>
      <c r="G170" s="364">
        <f t="shared" si="21"/>
        <v>2559613</v>
      </c>
      <c r="H170" s="332">
        <f t="shared" si="22"/>
        <v>984931.81760000007</v>
      </c>
      <c r="I170" s="14">
        <f t="shared" si="23"/>
        <v>1574681.1823999998</v>
      </c>
      <c r="J170" s="361">
        <f t="shared" si="18"/>
        <v>-1155638.4699928602</v>
      </c>
      <c r="K170" s="19">
        <v>380854</v>
      </c>
      <c r="L170" s="14">
        <f t="shared" si="19"/>
        <v>123116.47720000001</v>
      </c>
      <c r="M170" s="19">
        <f t="shared" si="24"/>
        <v>257737.52279999998</v>
      </c>
      <c r="N170" s="4">
        <f t="shared" si="20"/>
        <v>-189150.2863166125</v>
      </c>
      <c r="O170" s="147">
        <f t="shared" si="25"/>
        <v>-1344788.7563094727</v>
      </c>
      <c r="P170" s="41">
        <f>O170/'D) Ecrêtage'!C171</f>
        <v>-158.12953906228057</v>
      </c>
      <c r="Q170" s="143"/>
    </row>
    <row r="171" spans="1:17" x14ac:dyDescent="0.25">
      <c r="A171" s="57">
        <f>+'A) Base RI'!A173</f>
        <v>5680</v>
      </c>
      <c r="B171" s="350" t="str">
        <f>+'A) Base RI'!B173</f>
        <v>Ogens</v>
      </c>
      <c r="C171" s="364">
        <f>+'D) Ecrêtage'!M171</f>
        <v>8504.3488034188031</v>
      </c>
      <c r="D171" s="332">
        <v>45910</v>
      </c>
      <c r="E171" s="364">
        <v>11369</v>
      </c>
      <c r="F171" s="332">
        <v>29706</v>
      </c>
      <c r="G171" s="364">
        <f t="shared" si="21"/>
        <v>86985</v>
      </c>
      <c r="H171" s="332">
        <f t="shared" si="22"/>
        <v>68034.790427350425</v>
      </c>
      <c r="I171" s="14">
        <f t="shared" si="23"/>
        <v>18950.209572649575</v>
      </c>
      <c r="J171" s="361">
        <f t="shared" si="18"/>
        <v>-13907.317520111119</v>
      </c>
      <c r="K171" s="19">
        <v>17208</v>
      </c>
      <c r="L171" s="14">
        <f t="shared" si="19"/>
        <v>8504.3488034188031</v>
      </c>
      <c r="M171" s="19">
        <f t="shared" si="24"/>
        <v>8703.6511965811969</v>
      </c>
      <c r="N171" s="4">
        <f t="shared" si="20"/>
        <v>-6387.4987931453052</v>
      </c>
      <c r="O171" s="147">
        <f t="shared" si="25"/>
        <v>-20294.816313256422</v>
      </c>
      <c r="P171" s="41">
        <f>O171/'D) Ecrêtage'!C172</f>
        <v>-4.9157029238652594</v>
      </c>
      <c r="Q171" s="143"/>
    </row>
    <row r="172" spans="1:17" x14ac:dyDescent="0.25">
      <c r="A172" s="57">
        <f>+'A) Base RI'!A174</f>
        <v>5683</v>
      </c>
      <c r="B172" s="350" t="str">
        <f>+'A) Base RI'!B174</f>
        <v>Prévonloup</v>
      </c>
      <c r="C172" s="364">
        <f>+'D) Ecrêtage'!M172</f>
        <v>4128.5685135135127</v>
      </c>
      <c r="D172" s="332">
        <v>39084</v>
      </c>
      <c r="E172" s="364">
        <v>7894</v>
      </c>
      <c r="F172" s="332">
        <v>12465</v>
      </c>
      <c r="G172" s="364">
        <f t="shared" si="21"/>
        <v>59443</v>
      </c>
      <c r="H172" s="332">
        <f t="shared" si="22"/>
        <v>33028.548108108102</v>
      </c>
      <c r="I172" s="14">
        <f t="shared" si="23"/>
        <v>26414.451891891898</v>
      </c>
      <c r="J172" s="361">
        <f t="shared" si="18"/>
        <v>-19385.229919062993</v>
      </c>
      <c r="K172" s="19">
        <v>1414</v>
      </c>
      <c r="L172" s="14">
        <f t="shared" si="19"/>
        <v>4128.5685135135127</v>
      </c>
      <c r="M172" s="19">
        <f t="shared" si="24"/>
        <v>0</v>
      </c>
      <c r="N172" s="4">
        <f t="shared" si="20"/>
        <v>0</v>
      </c>
      <c r="O172" s="147">
        <f t="shared" si="25"/>
        <v>-19385.229919062993</v>
      </c>
      <c r="P172" s="41">
        <f>O172/'D) Ecrêtage'!C173</f>
        <v>-9.1441834150315646</v>
      </c>
      <c r="Q172" s="143"/>
    </row>
    <row r="173" spans="1:17" x14ac:dyDescent="0.25">
      <c r="A173" s="57">
        <f>+'A) Base RI'!A175</f>
        <v>5684</v>
      </c>
      <c r="B173" s="350" t="str">
        <f>+'A) Base RI'!B175</f>
        <v>Rossenges</v>
      </c>
      <c r="C173" s="364">
        <f>+'D) Ecrêtage'!M173</f>
        <v>2119.9519999999998</v>
      </c>
      <c r="D173" s="332">
        <v>4652</v>
      </c>
      <c r="E173" s="364">
        <v>1988</v>
      </c>
      <c r="F173" s="332">
        <v>3665</v>
      </c>
      <c r="G173" s="364">
        <f t="shared" si="21"/>
        <v>10305</v>
      </c>
      <c r="H173" s="332">
        <f t="shared" si="22"/>
        <v>16959.615999999998</v>
      </c>
      <c r="I173" s="14">
        <f t="shared" si="23"/>
        <v>0</v>
      </c>
      <c r="J173" s="361">
        <f t="shared" si="18"/>
        <v>0</v>
      </c>
      <c r="K173" s="19">
        <v>0</v>
      </c>
      <c r="L173" s="14">
        <f t="shared" si="19"/>
        <v>2119.9519999999998</v>
      </c>
      <c r="M173" s="19">
        <f t="shared" si="24"/>
        <v>0</v>
      </c>
      <c r="N173" s="4">
        <f t="shared" si="20"/>
        <v>0</v>
      </c>
      <c r="O173" s="147">
        <f t="shared" si="25"/>
        <v>0</v>
      </c>
      <c r="P173" s="41">
        <f>O173/'D) Ecrêtage'!C174</f>
        <v>0</v>
      </c>
      <c r="Q173" s="143"/>
    </row>
    <row r="174" spans="1:17" x14ac:dyDescent="0.25">
      <c r="A174" s="57">
        <f>+'A) Base RI'!A176</f>
        <v>5688</v>
      </c>
      <c r="B174" s="350" t="str">
        <f>+'A) Base RI'!B176</f>
        <v>Syens</v>
      </c>
      <c r="C174" s="364">
        <f>+'D) Ecrêtage'!M174</f>
        <v>4845.4007936507942</v>
      </c>
      <c r="D174" s="332">
        <v>40947</v>
      </c>
      <c r="E174" s="364">
        <v>6379</v>
      </c>
      <c r="F174" s="332">
        <v>16554</v>
      </c>
      <c r="G174" s="364">
        <f t="shared" si="21"/>
        <v>63880</v>
      </c>
      <c r="H174" s="332">
        <f t="shared" si="22"/>
        <v>38763.206349206353</v>
      </c>
      <c r="I174" s="14">
        <f t="shared" si="23"/>
        <v>25116.793650793647</v>
      </c>
      <c r="J174" s="361">
        <f t="shared" si="18"/>
        <v>-18432.895058471844</v>
      </c>
      <c r="K174" s="19">
        <v>3879</v>
      </c>
      <c r="L174" s="14">
        <f t="shared" si="19"/>
        <v>4845.4007936507942</v>
      </c>
      <c r="M174" s="19">
        <f t="shared" si="24"/>
        <v>0</v>
      </c>
      <c r="N174" s="4">
        <f t="shared" si="20"/>
        <v>0</v>
      </c>
      <c r="O174" s="147">
        <f t="shared" si="25"/>
        <v>-18432.895058471844</v>
      </c>
      <c r="P174" s="41">
        <f>O174/'D) Ecrêtage'!C175</f>
        <v>-5.6676749770469499</v>
      </c>
      <c r="Q174" s="143"/>
    </row>
    <row r="175" spans="1:17" x14ac:dyDescent="0.25">
      <c r="A175" s="57">
        <f>+'A) Base RI'!A177</f>
        <v>5690</v>
      </c>
      <c r="B175" s="350" t="str">
        <f>+'A) Base RI'!B177</f>
        <v>Villars-le-Comte</v>
      </c>
      <c r="C175" s="364">
        <f>+'D) Ecrêtage'!M175</f>
        <v>3252.2851315789467</v>
      </c>
      <c r="D175" s="332">
        <f>45163-26538-10303</f>
        <v>8322</v>
      </c>
      <c r="E175" s="364">
        <v>4590</v>
      </c>
      <c r="F175" s="332">
        <v>9054</v>
      </c>
      <c r="G175" s="364">
        <f t="shared" si="21"/>
        <v>21966</v>
      </c>
      <c r="H175" s="332">
        <f t="shared" si="22"/>
        <v>26018.281052631573</v>
      </c>
      <c r="I175" s="14">
        <f t="shared" si="23"/>
        <v>0</v>
      </c>
      <c r="J175" s="361">
        <f t="shared" si="18"/>
        <v>0</v>
      </c>
      <c r="K175" s="19">
        <v>4050</v>
      </c>
      <c r="L175" s="14">
        <f t="shared" si="19"/>
        <v>3252.2851315789467</v>
      </c>
      <c r="M175" s="19">
        <f t="shared" si="24"/>
        <v>797.71486842105332</v>
      </c>
      <c r="N175" s="4">
        <f t="shared" si="20"/>
        <v>-585.43278495753873</v>
      </c>
      <c r="O175" s="147">
        <f t="shared" si="25"/>
        <v>-585.43278495753873</v>
      </c>
      <c r="P175" s="41">
        <f>O175/'D) Ecrêtage'!C176</f>
        <v>-3.4450937349806594E-2</v>
      </c>
      <c r="Q175" s="143"/>
    </row>
    <row r="176" spans="1:17" x14ac:dyDescent="0.25">
      <c r="A176" s="57">
        <f>+'A) Base RI'!A178</f>
        <v>5692</v>
      </c>
      <c r="B176" s="350" t="str">
        <f>+'A) Base RI'!B178</f>
        <v>Vucherens</v>
      </c>
      <c r="C176" s="364">
        <f>+'D) Ecrêtage'!M176</f>
        <v>16993.232405063292</v>
      </c>
      <c r="D176" s="332">
        <v>91138</v>
      </c>
      <c r="E176" s="364">
        <v>24921</v>
      </c>
      <c r="F176" s="332">
        <v>63968</v>
      </c>
      <c r="G176" s="364">
        <f t="shared" si="21"/>
        <v>180027</v>
      </c>
      <c r="H176" s="332">
        <f t="shared" si="22"/>
        <v>135945.85924050634</v>
      </c>
      <c r="I176" s="14">
        <f t="shared" si="23"/>
        <v>44081.140759493661</v>
      </c>
      <c r="J176" s="361">
        <f t="shared" si="18"/>
        <v>-32350.587936282922</v>
      </c>
      <c r="K176" s="19">
        <v>32246</v>
      </c>
      <c r="L176" s="14">
        <f t="shared" si="19"/>
        <v>16993.232405063292</v>
      </c>
      <c r="M176" s="19">
        <f>IF(K176&gt;L176,K176-L176,0)</f>
        <v>15252.767594936708</v>
      </c>
      <c r="N176" s="4">
        <f t="shared" si="20"/>
        <v>-11193.811930681859</v>
      </c>
      <c r="O176" s="147">
        <f>N176+J176</f>
        <v>-43544.399866964784</v>
      </c>
      <c r="P176" s="41">
        <f>O176/'D) Ecrêtage'!C177</f>
        <v>-0.68482101179569888</v>
      </c>
      <c r="Q176" s="143"/>
    </row>
    <row r="177" spans="1:17" x14ac:dyDescent="0.25">
      <c r="A177" s="57">
        <f>+'A) Base RI'!A179</f>
        <v>5693</v>
      </c>
      <c r="B177" s="350" t="str">
        <f>+'A) Base RI'!B179</f>
        <v>Montanaire</v>
      </c>
      <c r="C177" s="364">
        <f>+'D) Ecrêtage'!M177</f>
        <v>63585.08152777778</v>
      </c>
      <c r="D177" s="332">
        <v>685087</v>
      </c>
      <c r="E177" s="364">
        <v>74075</v>
      </c>
      <c r="F177" s="332">
        <v>238139</v>
      </c>
      <c r="G177" s="364">
        <f t="shared" si="21"/>
        <v>997301</v>
      </c>
      <c r="H177" s="332">
        <f t="shared" si="22"/>
        <v>508680.65222222224</v>
      </c>
      <c r="I177" s="14">
        <f t="shared" si="23"/>
        <v>488620.34777777776</v>
      </c>
      <c r="J177" s="361">
        <f t="shared" si="18"/>
        <v>-358592.25183136371</v>
      </c>
      <c r="K177" s="19">
        <v>154749</v>
      </c>
      <c r="L177" s="14">
        <f t="shared" si="19"/>
        <v>63585.08152777778</v>
      </c>
      <c r="M177" s="19">
        <f t="shared" si="24"/>
        <v>91163.918472222227</v>
      </c>
      <c r="N177" s="4">
        <f t="shared" si="20"/>
        <v>-66904.039013931106</v>
      </c>
      <c r="O177" s="147">
        <f t="shared" si="25"/>
        <v>-425496.29084529483</v>
      </c>
      <c r="P177" s="41">
        <f>O177/'D) Ecrêtage'!C178</f>
        <v>-27.863737659636719</v>
      </c>
      <c r="Q177" s="143"/>
    </row>
    <row r="178" spans="1:17" x14ac:dyDescent="0.25">
      <c r="A178" s="57">
        <f>+'A) Base RI'!A180</f>
        <v>5701</v>
      </c>
      <c r="B178" s="350" t="str">
        <f>+'A) Base RI'!B180</f>
        <v>Arnex-sur-Nyon</v>
      </c>
      <c r="C178" s="364">
        <f>+'D) Ecrêtage'!M178</f>
        <v>14660.270137972431</v>
      </c>
      <c r="D178" s="332">
        <v>5970</v>
      </c>
      <c r="E178" s="364">
        <v>7619</v>
      </c>
      <c r="F178" s="332">
        <v>41188</v>
      </c>
      <c r="G178" s="364">
        <f t="shared" si="21"/>
        <v>54777</v>
      </c>
      <c r="H178" s="332">
        <f t="shared" si="22"/>
        <v>117282.16110377945</v>
      </c>
      <c r="I178" s="14">
        <f t="shared" si="23"/>
        <v>0</v>
      </c>
      <c r="J178" s="361">
        <f t="shared" si="18"/>
        <v>0</v>
      </c>
      <c r="K178" s="19">
        <v>230</v>
      </c>
      <c r="L178" s="14">
        <f t="shared" si="19"/>
        <v>14660.270137972431</v>
      </c>
      <c r="M178" s="19">
        <f t="shared" si="24"/>
        <v>0</v>
      </c>
      <c r="N178" s="4">
        <f t="shared" si="20"/>
        <v>0</v>
      </c>
      <c r="O178" s="147">
        <f t="shared" si="25"/>
        <v>0</v>
      </c>
      <c r="P178" s="41">
        <f>O178/'D) Ecrêtage'!C179</f>
        <v>0</v>
      </c>
      <c r="Q178" s="143"/>
    </row>
    <row r="179" spans="1:17" x14ac:dyDescent="0.25">
      <c r="A179" s="57">
        <f>+'A) Base RI'!A181</f>
        <v>5702</v>
      </c>
      <c r="B179" s="350" t="str">
        <f>+'A) Base RI'!B181</f>
        <v>Arzier-Le Muids</v>
      </c>
      <c r="C179" s="364">
        <f>+'D) Ecrêtage'!M179</f>
        <v>151993.41132082354</v>
      </c>
      <c r="D179" s="332">
        <v>647634</v>
      </c>
      <c r="E179" s="364">
        <v>154542</v>
      </c>
      <c r="F179" s="332">
        <v>91294</v>
      </c>
      <c r="G179" s="364">
        <f t="shared" si="21"/>
        <v>893470</v>
      </c>
      <c r="H179" s="332">
        <f t="shared" si="22"/>
        <v>1215947.2905665883</v>
      </c>
      <c r="I179" s="14">
        <f t="shared" si="23"/>
        <v>0</v>
      </c>
      <c r="J179" s="361">
        <f t="shared" si="18"/>
        <v>0</v>
      </c>
      <c r="K179" s="19">
        <v>464292</v>
      </c>
      <c r="L179" s="14">
        <f t="shared" si="19"/>
        <v>151993.41132082354</v>
      </c>
      <c r="M179" s="19">
        <f t="shared" si="24"/>
        <v>312298.58867917646</v>
      </c>
      <c r="N179" s="4">
        <f t="shared" si="20"/>
        <v>-229191.95786163674</v>
      </c>
      <c r="O179" s="147">
        <f t="shared" si="25"/>
        <v>-229191.95786163674</v>
      </c>
      <c r="P179" s="41">
        <f>O179/'D) Ecrêtage'!C180</f>
        <v>-4.3762135631914694</v>
      </c>
      <c r="Q179" s="143"/>
    </row>
    <row r="180" spans="1:17" x14ac:dyDescent="0.25">
      <c r="A180" s="57">
        <f>+'A) Base RI'!A182</f>
        <v>5703</v>
      </c>
      <c r="B180" s="350" t="str">
        <f>+'A) Base RI'!B182</f>
        <v>Bassins</v>
      </c>
      <c r="C180" s="364">
        <f>+'D) Ecrêtage'!M180</f>
        <v>52372.205915492945</v>
      </c>
      <c r="D180" s="332">
        <v>194169</v>
      </c>
      <c r="E180" s="364">
        <v>138640</v>
      </c>
      <c r="F180" s="332">
        <v>152755</v>
      </c>
      <c r="G180" s="364">
        <f t="shared" si="21"/>
        <v>485564</v>
      </c>
      <c r="H180" s="332">
        <f t="shared" si="22"/>
        <v>418977.64732394356</v>
      </c>
      <c r="I180" s="14">
        <f t="shared" si="23"/>
        <v>66586.352676056442</v>
      </c>
      <c r="J180" s="361">
        <f t="shared" si="18"/>
        <v>-48866.876412203237</v>
      </c>
      <c r="K180" s="19">
        <v>260347</v>
      </c>
      <c r="L180" s="14">
        <f t="shared" si="19"/>
        <v>52372.205915492945</v>
      </c>
      <c r="M180" s="19">
        <f t="shared" si="24"/>
        <v>207974.79408450704</v>
      </c>
      <c r="N180" s="4">
        <f t="shared" si="20"/>
        <v>-152630.05332075397</v>
      </c>
      <c r="O180" s="147">
        <f t="shared" si="25"/>
        <v>-201496.92973295721</v>
      </c>
      <c r="P180" s="41">
        <f>O180/'D) Ecrêtage'!C181</f>
        <v>-1.7031725563672289</v>
      </c>
      <c r="Q180" s="143"/>
    </row>
    <row r="181" spans="1:17" x14ac:dyDescent="0.25">
      <c r="A181" s="57">
        <f>+'A) Base RI'!A183</f>
        <v>5704</v>
      </c>
      <c r="B181" s="350" t="str">
        <f>+'A) Base RI'!B183</f>
        <v>Begnins</v>
      </c>
      <c r="C181" s="364">
        <f>+'D) Ecrêtage'!M181</f>
        <v>115692.90527235197</v>
      </c>
      <c r="D181" s="332">
        <v>523163</v>
      </c>
      <c r="E181" s="364">
        <v>71412</v>
      </c>
      <c r="F181" s="332">
        <v>184964</v>
      </c>
      <c r="G181" s="364">
        <f t="shared" si="21"/>
        <v>779539</v>
      </c>
      <c r="H181" s="332">
        <f t="shared" si="22"/>
        <v>925543.24217881577</v>
      </c>
      <c r="I181" s="14">
        <f t="shared" si="23"/>
        <v>0</v>
      </c>
      <c r="J181" s="361">
        <f t="shared" si="18"/>
        <v>0</v>
      </c>
      <c r="K181" s="19">
        <v>44756</v>
      </c>
      <c r="L181" s="14">
        <f t="shared" si="19"/>
        <v>115692.90527235197</v>
      </c>
      <c r="M181" s="19">
        <f t="shared" si="24"/>
        <v>0</v>
      </c>
      <c r="N181" s="4">
        <f t="shared" si="20"/>
        <v>0</v>
      </c>
      <c r="O181" s="147">
        <f t="shared" si="25"/>
        <v>0</v>
      </c>
      <c r="P181" s="41">
        <f>O181/'D) Ecrêtage'!C182</f>
        <v>0</v>
      </c>
      <c r="Q181" s="143"/>
    </row>
    <row r="182" spans="1:17" x14ac:dyDescent="0.25">
      <c r="A182" s="57">
        <f>+'A) Base RI'!A184</f>
        <v>5705</v>
      </c>
      <c r="B182" s="350" t="str">
        <f>+'A) Base RI'!B184</f>
        <v>Bogis-Bossey</v>
      </c>
      <c r="C182" s="364">
        <f>+'D) Ecrêtage'!M182</f>
        <v>49004.809228600694</v>
      </c>
      <c r="D182" s="332">
        <v>169008</v>
      </c>
      <c r="E182" s="364">
        <v>30402</v>
      </c>
      <c r="F182" s="332">
        <v>59981</v>
      </c>
      <c r="G182" s="364">
        <f t="shared" si="21"/>
        <v>259391</v>
      </c>
      <c r="H182" s="332">
        <f t="shared" si="22"/>
        <v>392038.47382880555</v>
      </c>
      <c r="I182" s="14">
        <f t="shared" si="23"/>
        <v>0</v>
      </c>
      <c r="J182" s="361">
        <f t="shared" si="18"/>
        <v>0</v>
      </c>
      <c r="K182" s="19">
        <v>8431</v>
      </c>
      <c r="L182" s="14">
        <f t="shared" si="19"/>
        <v>49004.809228600694</v>
      </c>
      <c r="M182" s="19">
        <f t="shared" si="24"/>
        <v>0</v>
      </c>
      <c r="N182" s="4">
        <f t="shared" si="20"/>
        <v>0</v>
      </c>
      <c r="O182" s="147">
        <f t="shared" si="25"/>
        <v>0</v>
      </c>
      <c r="P182" s="41">
        <f>O182/'D) Ecrêtage'!C183</f>
        <v>0</v>
      </c>
      <c r="Q182" s="143"/>
    </row>
    <row r="183" spans="1:17" x14ac:dyDescent="0.25">
      <c r="A183" s="57">
        <f>+'A) Base RI'!A185</f>
        <v>5706</v>
      </c>
      <c r="B183" s="350" t="str">
        <f>+'A) Base RI'!B185</f>
        <v>Borex</v>
      </c>
      <c r="C183" s="364">
        <f>+'D) Ecrêtage'!M183</f>
        <v>66994.978821330893</v>
      </c>
      <c r="D183" s="332">
        <v>206042</v>
      </c>
      <c r="E183" s="364">
        <v>38423</v>
      </c>
      <c r="F183" s="332">
        <v>170942</v>
      </c>
      <c r="G183" s="364">
        <f t="shared" si="21"/>
        <v>415407</v>
      </c>
      <c r="H183" s="332">
        <f t="shared" si="22"/>
        <v>535959.83057064714</v>
      </c>
      <c r="I183" s="14">
        <f t="shared" si="23"/>
        <v>0</v>
      </c>
      <c r="J183" s="361">
        <f t="shared" si="18"/>
        <v>0</v>
      </c>
      <c r="K183" s="19">
        <v>0</v>
      </c>
      <c r="L183" s="14">
        <f t="shared" si="19"/>
        <v>66994.978821330893</v>
      </c>
      <c r="M183" s="19">
        <f t="shared" si="24"/>
        <v>0</v>
      </c>
      <c r="N183" s="4">
        <f t="shared" si="20"/>
        <v>0</v>
      </c>
      <c r="O183" s="147">
        <f t="shared" si="25"/>
        <v>0</v>
      </c>
      <c r="P183" s="41">
        <f>O183/'D) Ecrêtage'!C184</f>
        <v>0</v>
      </c>
      <c r="Q183" s="143"/>
    </row>
    <row r="184" spans="1:17" x14ac:dyDescent="0.25">
      <c r="A184" s="57">
        <f>+'A) Base RI'!A186</f>
        <v>5707</v>
      </c>
      <c r="B184" s="350" t="str">
        <f>+'A) Base RI'!B186</f>
        <v>Chavannes-de-Bogis</v>
      </c>
      <c r="C184" s="364">
        <f>+'D) Ecrêtage'!M184</f>
        <v>93606.750062920488</v>
      </c>
      <c r="D184" s="332">
        <v>68915</v>
      </c>
      <c r="E184" s="364">
        <v>45539</v>
      </c>
      <c r="F184" s="332">
        <v>75408</v>
      </c>
      <c r="G184" s="364">
        <f t="shared" si="21"/>
        <v>189862</v>
      </c>
      <c r="H184" s="332">
        <f t="shared" si="22"/>
        <v>748854.0005033639</v>
      </c>
      <c r="I184" s="14">
        <f t="shared" si="23"/>
        <v>0</v>
      </c>
      <c r="J184" s="361">
        <f t="shared" si="18"/>
        <v>0</v>
      </c>
      <c r="K184" s="19">
        <v>1734</v>
      </c>
      <c r="L184" s="14">
        <f t="shared" si="19"/>
        <v>93606.750062920488</v>
      </c>
      <c r="M184" s="19">
        <f t="shared" si="24"/>
        <v>0</v>
      </c>
      <c r="N184" s="4">
        <f t="shared" si="20"/>
        <v>0</v>
      </c>
      <c r="O184" s="147">
        <f t="shared" si="25"/>
        <v>0</v>
      </c>
      <c r="P184" s="41">
        <f>O184/'D) Ecrêtage'!C185</f>
        <v>0</v>
      </c>
      <c r="Q184" s="143"/>
    </row>
    <row r="185" spans="1:17" x14ac:dyDescent="0.25">
      <c r="A185" s="57">
        <f>+'A) Base RI'!A187</f>
        <v>5708</v>
      </c>
      <c r="B185" s="350" t="str">
        <f>+'A) Base RI'!B187</f>
        <v>Chavannes-des-Bois</v>
      </c>
      <c r="C185" s="364">
        <f>+'D) Ecrêtage'!M185</f>
        <v>62406.249989727599</v>
      </c>
      <c r="D185" s="332">
        <v>106489</v>
      </c>
      <c r="E185" s="364">
        <v>169706</v>
      </c>
      <c r="F185" s="332">
        <v>64328</v>
      </c>
      <c r="G185" s="364">
        <f t="shared" si="21"/>
        <v>340523</v>
      </c>
      <c r="H185" s="332">
        <f t="shared" si="22"/>
        <v>499249.99991782079</v>
      </c>
      <c r="I185" s="14">
        <f t="shared" si="23"/>
        <v>0</v>
      </c>
      <c r="J185" s="361">
        <f t="shared" si="18"/>
        <v>0</v>
      </c>
      <c r="K185" s="19">
        <v>0</v>
      </c>
      <c r="L185" s="14">
        <f t="shared" si="19"/>
        <v>62406.249989727599</v>
      </c>
      <c r="M185" s="19">
        <f t="shared" si="24"/>
        <v>0</v>
      </c>
      <c r="N185" s="4">
        <f t="shared" si="20"/>
        <v>0</v>
      </c>
      <c r="O185" s="147">
        <f t="shared" si="25"/>
        <v>0</v>
      </c>
      <c r="P185" s="41">
        <f>O185/'D) Ecrêtage'!C186</f>
        <v>0</v>
      </c>
      <c r="Q185" s="143"/>
    </row>
    <row r="186" spans="1:17" x14ac:dyDescent="0.25">
      <c r="A186" s="57">
        <f>+'A) Base RI'!A188</f>
        <v>5709</v>
      </c>
      <c r="B186" s="350" t="str">
        <f>+'A) Base RI'!B188</f>
        <v>Chéserex</v>
      </c>
      <c r="C186" s="364">
        <f>+'D) Ecrêtage'!M186</f>
        <v>124275.39965933609</v>
      </c>
      <c r="D186" s="332">
        <v>324857</v>
      </c>
      <c r="E186" s="364">
        <v>43002</v>
      </c>
      <c r="F186" s="332">
        <v>194333</v>
      </c>
      <c r="G186" s="364">
        <f t="shared" si="21"/>
        <v>562192</v>
      </c>
      <c r="H186" s="332">
        <f t="shared" si="22"/>
        <v>994203.19727468875</v>
      </c>
      <c r="I186" s="14">
        <f t="shared" si="23"/>
        <v>0</v>
      </c>
      <c r="J186" s="361">
        <f t="shared" si="18"/>
        <v>0</v>
      </c>
      <c r="K186" s="19">
        <v>51352</v>
      </c>
      <c r="L186" s="14">
        <f t="shared" si="19"/>
        <v>124275.39965933609</v>
      </c>
      <c r="M186" s="19">
        <f t="shared" si="24"/>
        <v>0</v>
      </c>
      <c r="N186" s="4">
        <f t="shared" si="20"/>
        <v>0</v>
      </c>
      <c r="O186" s="147">
        <f t="shared" si="25"/>
        <v>0</v>
      </c>
      <c r="P186" s="41">
        <f>O186/'D) Ecrêtage'!C187</f>
        <v>0</v>
      </c>
      <c r="Q186" s="143"/>
    </row>
    <row r="187" spans="1:17" x14ac:dyDescent="0.25">
      <c r="A187" s="57">
        <f>+'A) Base RI'!A189</f>
        <v>5710</v>
      </c>
      <c r="B187" s="350" t="str">
        <f>+'A) Base RI'!B189</f>
        <v>Coinsins</v>
      </c>
      <c r="C187" s="364">
        <f>+'D) Ecrêtage'!M187</f>
        <v>64292.971472833407</v>
      </c>
      <c r="D187" s="332">
        <v>100451</v>
      </c>
      <c r="E187" s="364">
        <v>15933</v>
      </c>
      <c r="F187" s="332">
        <v>50684</v>
      </c>
      <c r="G187" s="364">
        <f t="shared" si="21"/>
        <v>167068</v>
      </c>
      <c r="H187" s="332">
        <f t="shared" si="22"/>
        <v>514343.77178266726</v>
      </c>
      <c r="I187" s="14">
        <f t="shared" si="23"/>
        <v>0</v>
      </c>
      <c r="J187" s="361">
        <f t="shared" si="18"/>
        <v>0</v>
      </c>
      <c r="K187" s="19">
        <v>8544</v>
      </c>
      <c r="L187" s="14">
        <f t="shared" si="19"/>
        <v>64292.971472833407</v>
      </c>
      <c r="M187" s="19">
        <f t="shared" si="24"/>
        <v>0</v>
      </c>
      <c r="N187" s="4">
        <f t="shared" si="20"/>
        <v>0</v>
      </c>
      <c r="O187" s="147">
        <f t="shared" si="25"/>
        <v>0</v>
      </c>
      <c r="P187" s="41">
        <f>O187/'D) Ecrêtage'!C188</f>
        <v>0</v>
      </c>
      <c r="Q187" s="143"/>
    </row>
    <row r="188" spans="1:17" x14ac:dyDescent="0.25">
      <c r="A188" s="57">
        <f>+'A) Base RI'!A190</f>
        <v>5711</v>
      </c>
      <c r="B188" s="350" t="str">
        <f>+'A) Base RI'!B190</f>
        <v>Commugny</v>
      </c>
      <c r="C188" s="364">
        <f>+'D) Ecrêtage'!M188</f>
        <v>226389.55281831487</v>
      </c>
      <c r="D188" s="332">
        <v>4148</v>
      </c>
      <c r="E188" s="364">
        <v>130750</v>
      </c>
      <c r="F188" s="332">
        <v>168586</v>
      </c>
      <c r="G188" s="364">
        <f t="shared" si="21"/>
        <v>303484</v>
      </c>
      <c r="H188" s="332">
        <f t="shared" si="22"/>
        <v>1811116.422546519</v>
      </c>
      <c r="I188" s="14">
        <f t="shared" si="23"/>
        <v>0</v>
      </c>
      <c r="J188" s="361">
        <f t="shared" si="18"/>
        <v>0</v>
      </c>
      <c r="K188" s="19">
        <v>0</v>
      </c>
      <c r="L188" s="14">
        <f t="shared" si="19"/>
        <v>226389.55281831487</v>
      </c>
      <c r="M188" s="19">
        <f t="shared" si="24"/>
        <v>0</v>
      </c>
      <c r="N188" s="4">
        <f t="shared" si="20"/>
        <v>0</v>
      </c>
      <c r="O188" s="147">
        <f t="shared" si="25"/>
        <v>0</v>
      </c>
      <c r="P188" s="41">
        <f>O188/'D) Ecrêtage'!C189</f>
        <v>0</v>
      </c>
      <c r="Q188" s="143"/>
    </row>
    <row r="189" spans="1:17" x14ac:dyDescent="0.25">
      <c r="A189" s="57">
        <f>+'A) Base RI'!A191</f>
        <v>5712</v>
      </c>
      <c r="B189" s="350" t="str">
        <f>+'A) Base RI'!B191</f>
        <v>Coppet</v>
      </c>
      <c r="C189" s="364">
        <f>+'D) Ecrêtage'!M189</f>
        <v>281747.88573250698</v>
      </c>
      <c r="D189" s="332">
        <v>584859</v>
      </c>
      <c r="E189" s="364">
        <v>185291</v>
      </c>
      <c r="F189" s="332">
        <v>189408</v>
      </c>
      <c r="G189" s="364">
        <f t="shared" si="21"/>
        <v>959558</v>
      </c>
      <c r="H189" s="332">
        <f t="shared" si="22"/>
        <v>2253983.0858600559</v>
      </c>
      <c r="I189" s="14">
        <f t="shared" si="23"/>
        <v>0</v>
      </c>
      <c r="J189" s="361">
        <f t="shared" si="18"/>
        <v>0</v>
      </c>
      <c r="K189" s="19">
        <v>0</v>
      </c>
      <c r="L189" s="14">
        <f t="shared" si="19"/>
        <v>281747.88573250698</v>
      </c>
      <c r="M189" s="19">
        <f t="shared" si="24"/>
        <v>0</v>
      </c>
      <c r="N189" s="4">
        <f t="shared" si="20"/>
        <v>0</v>
      </c>
      <c r="O189" s="147">
        <f t="shared" si="25"/>
        <v>0</v>
      </c>
      <c r="P189" s="41">
        <f>O189/'D) Ecrêtage'!C190</f>
        <v>0</v>
      </c>
      <c r="Q189" s="143"/>
    </row>
    <row r="190" spans="1:17" x14ac:dyDescent="0.25">
      <c r="A190" s="57">
        <f>+'A) Base RI'!A192</f>
        <v>5713</v>
      </c>
      <c r="B190" s="350" t="str">
        <f>+'A) Base RI'!B192</f>
        <v>Crans-près-Céligny</v>
      </c>
      <c r="C190" s="364">
        <f>+'D) Ecrêtage'!M190</f>
        <v>202601.05352067066</v>
      </c>
      <c r="D190" s="332">
        <v>1369890</v>
      </c>
      <c r="E190" s="364">
        <v>143442</v>
      </c>
      <c r="F190" s="332">
        <v>146640</v>
      </c>
      <c r="G190" s="364">
        <f t="shared" si="21"/>
        <v>1659972</v>
      </c>
      <c r="H190" s="332">
        <f t="shared" si="22"/>
        <v>1620808.4281653652</v>
      </c>
      <c r="I190" s="14">
        <f t="shared" si="23"/>
        <v>39163.571834634757</v>
      </c>
      <c r="J190" s="361">
        <f t="shared" si="18"/>
        <v>-28741.646715719835</v>
      </c>
      <c r="K190" s="19">
        <v>10151</v>
      </c>
      <c r="L190" s="14">
        <f t="shared" si="19"/>
        <v>202601.05352067066</v>
      </c>
      <c r="M190" s="19">
        <f t="shared" si="24"/>
        <v>0</v>
      </c>
      <c r="N190" s="4">
        <f t="shared" si="20"/>
        <v>0</v>
      </c>
      <c r="O190" s="147">
        <f t="shared" si="25"/>
        <v>-28741.646715719835</v>
      </c>
      <c r="P190" s="41">
        <f>O190/'D) Ecrêtage'!C191</f>
        <v>-0.34868899660433073</v>
      </c>
      <c r="Q190" s="143"/>
    </row>
    <row r="191" spans="1:17" x14ac:dyDescent="0.25">
      <c r="A191" s="57">
        <f>+'A) Base RI'!A193</f>
        <v>5714</v>
      </c>
      <c r="B191" s="350" t="str">
        <f>+'A) Base RI'!B193</f>
        <v>Crassier</v>
      </c>
      <c r="C191" s="364">
        <f>+'D) Ecrêtage'!M191</f>
        <v>79362.009468971679</v>
      </c>
      <c r="D191" s="332">
        <v>153267</v>
      </c>
      <c r="E191" s="364">
        <v>41793</v>
      </c>
      <c r="F191" s="332">
        <v>213145</v>
      </c>
      <c r="G191" s="364">
        <f t="shared" si="21"/>
        <v>408205</v>
      </c>
      <c r="H191" s="332">
        <f t="shared" si="22"/>
        <v>634896.07575177343</v>
      </c>
      <c r="I191" s="14">
        <f t="shared" si="23"/>
        <v>0</v>
      </c>
      <c r="J191" s="361">
        <f t="shared" si="18"/>
        <v>0</v>
      </c>
      <c r="K191" s="19">
        <v>0</v>
      </c>
      <c r="L191" s="14">
        <f t="shared" si="19"/>
        <v>79362.009468971679</v>
      </c>
      <c r="M191" s="19">
        <f t="shared" si="24"/>
        <v>0</v>
      </c>
      <c r="N191" s="4">
        <f t="shared" si="20"/>
        <v>0</v>
      </c>
      <c r="O191" s="147">
        <f t="shared" si="25"/>
        <v>0</v>
      </c>
      <c r="P191" s="41">
        <f>O191/'D) Ecrêtage'!C192</f>
        <v>0</v>
      </c>
      <c r="Q191" s="143"/>
    </row>
    <row r="192" spans="1:17" x14ac:dyDescent="0.25">
      <c r="A192" s="57">
        <f>+'A) Base RI'!A194</f>
        <v>5715</v>
      </c>
      <c r="B192" s="350" t="str">
        <f>+'A) Base RI'!B194</f>
        <v>Duillier</v>
      </c>
      <c r="C192" s="364">
        <f>+'D) Ecrêtage'!M192</f>
        <v>63030.040980148689</v>
      </c>
      <c r="D192" s="332">
        <v>356704</v>
      </c>
      <c r="E192" s="364">
        <v>36555</v>
      </c>
      <c r="F192" s="332">
        <v>106636</v>
      </c>
      <c r="G192" s="364">
        <f t="shared" si="21"/>
        <v>499895</v>
      </c>
      <c r="H192" s="332">
        <f t="shared" si="22"/>
        <v>504240.32784118952</v>
      </c>
      <c r="I192" s="14">
        <f t="shared" si="23"/>
        <v>0</v>
      </c>
      <c r="J192" s="361">
        <f t="shared" ref="J192:J253" si="31">-I192*J$4</f>
        <v>0</v>
      </c>
      <c r="K192" s="19">
        <v>10496</v>
      </c>
      <c r="L192" s="14">
        <f t="shared" ref="L192:L253" si="32">C192*M$4</f>
        <v>63030.040980148689</v>
      </c>
      <c r="M192" s="19">
        <f t="shared" si="24"/>
        <v>0</v>
      </c>
      <c r="N192" s="4">
        <f t="shared" ref="N192:N253" si="33">-M192*N$4</f>
        <v>0</v>
      </c>
      <c r="O192" s="147">
        <f t="shared" si="25"/>
        <v>0</v>
      </c>
      <c r="P192" s="41">
        <f>O192/'D) Ecrêtage'!C193</f>
        <v>0</v>
      </c>
      <c r="Q192" s="143"/>
    </row>
    <row r="193" spans="1:17" x14ac:dyDescent="0.25">
      <c r="A193" s="57">
        <f>+'A) Base RI'!A195</f>
        <v>5716</v>
      </c>
      <c r="B193" s="350" t="str">
        <f>+'A) Base RI'!B195</f>
        <v>Eysins</v>
      </c>
      <c r="C193" s="364">
        <f>+'D) Ecrêtage'!M193</f>
        <v>91389.284930366979</v>
      </c>
      <c r="D193" s="332">
        <v>297031</v>
      </c>
      <c r="E193" s="364">
        <v>57903</v>
      </c>
      <c r="F193" s="332">
        <v>280478</v>
      </c>
      <c r="G193" s="364">
        <f t="shared" si="21"/>
        <v>635412</v>
      </c>
      <c r="H193" s="332">
        <f t="shared" si="22"/>
        <v>731114.27944293583</v>
      </c>
      <c r="I193" s="14">
        <f t="shared" si="23"/>
        <v>0</v>
      </c>
      <c r="J193" s="361">
        <f t="shared" si="31"/>
        <v>0</v>
      </c>
      <c r="K193" s="19">
        <v>1173</v>
      </c>
      <c r="L193" s="14">
        <f t="shared" si="32"/>
        <v>91389.284930366979</v>
      </c>
      <c r="M193" s="19">
        <f t="shared" si="24"/>
        <v>0</v>
      </c>
      <c r="N193" s="4">
        <f t="shared" si="33"/>
        <v>0</v>
      </c>
      <c r="O193" s="147">
        <f t="shared" si="25"/>
        <v>0</v>
      </c>
      <c r="P193" s="41">
        <f>O193/'D) Ecrêtage'!C194</f>
        <v>0</v>
      </c>
      <c r="Q193" s="143"/>
    </row>
    <row r="194" spans="1:17" x14ac:dyDescent="0.25">
      <c r="A194" s="57">
        <f>+'A) Base RI'!A196</f>
        <v>5717</v>
      </c>
      <c r="B194" s="350" t="str">
        <f>+'A) Base RI'!B196</f>
        <v>Founex</v>
      </c>
      <c r="C194" s="364">
        <f>+'D) Ecrêtage'!M194</f>
        <v>321105.05976303871</v>
      </c>
      <c r="D194" s="332">
        <v>1323122</v>
      </c>
      <c r="E194" s="364">
        <v>123512</v>
      </c>
      <c r="F194" s="332">
        <v>228559</v>
      </c>
      <c r="G194" s="364">
        <f t="shared" si="21"/>
        <v>1675193</v>
      </c>
      <c r="H194" s="332">
        <f t="shared" si="22"/>
        <v>2568840.4781043096</v>
      </c>
      <c r="I194" s="14">
        <f t="shared" si="23"/>
        <v>0</v>
      </c>
      <c r="J194" s="361">
        <f t="shared" si="31"/>
        <v>0</v>
      </c>
      <c r="K194" s="19">
        <v>11429</v>
      </c>
      <c r="L194" s="14">
        <f t="shared" si="32"/>
        <v>321105.05976303871</v>
      </c>
      <c r="M194" s="19">
        <f t="shared" si="24"/>
        <v>0</v>
      </c>
      <c r="N194" s="4">
        <f t="shared" si="33"/>
        <v>0</v>
      </c>
      <c r="O194" s="147">
        <f t="shared" si="25"/>
        <v>0</v>
      </c>
      <c r="P194" s="41">
        <f>O194/'D) Ecrêtage'!C195</f>
        <v>0</v>
      </c>
      <c r="Q194" s="143"/>
    </row>
    <row r="195" spans="1:17" s="295" customFormat="1" x14ac:dyDescent="0.25">
      <c r="A195" s="57">
        <f>+'A) Base RI'!A197</f>
        <v>5718</v>
      </c>
      <c r="B195" s="350" t="str">
        <f>+'A) Base RI'!B197</f>
        <v>Genolier</v>
      </c>
      <c r="C195" s="364">
        <f>+'D) Ecrêtage'!M195</f>
        <v>174604.38142677894</v>
      </c>
      <c r="D195" s="332">
        <v>363049</v>
      </c>
      <c r="E195" s="364">
        <v>118265</v>
      </c>
      <c r="F195" s="332">
        <v>105449</v>
      </c>
      <c r="G195" s="364">
        <f t="shared" si="21"/>
        <v>586763</v>
      </c>
      <c r="H195" s="332">
        <f t="shared" si="22"/>
        <v>1396835.0514142315</v>
      </c>
      <c r="I195" s="14">
        <f t="shared" si="23"/>
        <v>0</v>
      </c>
      <c r="J195" s="361">
        <f t="shared" si="31"/>
        <v>0</v>
      </c>
      <c r="K195" s="1">
        <v>74170</v>
      </c>
      <c r="L195" s="293">
        <f t="shared" si="32"/>
        <v>174604.38142677894</v>
      </c>
      <c r="M195" s="1">
        <f t="shared" si="24"/>
        <v>0</v>
      </c>
      <c r="N195" s="4">
        <f t="shared" si="33"/>
        <v>0</v>
      </c>
      <c r="O195" s="147">
        <f t="shared" si="25"/>
        <v>0</v>
      </c>
      <c r="P195" s="41">
        <f>O195/'D) Ecrêtage'!C196</f>
        <v>0</v>
      </c>
      <c r="Q195" s="294"/>
    </row>
    <row r="196" spans="1:17" x14ac:dyDescent="0.25">
      <c r="A196" s="57">
        <f>+'A) Base RI'!A198</f>
        <v>5719</v>
      </c>
      <c r="B196" s="350" t="str">
        <f>+'A) Base RI'!B198</f>
        <v>Gingins</v>
      </c>
      <c r="C196" s="364">
        <f>+'D) Ecrêtage'!M196</f>
        <v>85513.552336943947</v>
      </c>
      <c r="D196" s="332">
        <v>281516</v>
      </c>
      <c r="E196" s="364">
        <v>44100</v>
      </c>
      <c r="F196" s="332">
        <v>194925</v>
      </c>
      <c r="G196" s="364">
        <f t="shared" si="21"/>
        <v>520541</v>
      </c>
      <c r="H196" s="332">
        <f t="shared" si="22"/>
        <v>684108.41869555158</v>
      </c>
      <c r="I196" s="14">
        <f t="shared" si="23"/>
        <v>0</v>
      </c>
      <c r="J196" s="361">
        <f t="shared" si="31"/>
        <v>0</v>
      </c>
      <c r="K196" s="19">
        <v>64334</v>
      </c>
      <c r="L196" s="14">
        <f t="shared" si="32"/>
        <v>85513.552336943947</v>
      </c>
      <c r="M196" s="19">
        <f t="shared" si="24"/>
        <v>0</v>
      </c>
      <c r="N196" s="4">
        <f t="shared" si="33"/>
        <v>0</v>
      </c>
      <c r="O196" s="147">
        <f t="shared" si="25"/>
        <v>0</v>
      </c>
      <c r="P196" s="41">
        <f>O196/'D) Ecrêtage'!C197</f>
        <v>0</v>
      </c>
      <c r="Q196" s="143"/>
    </row>
    <row r="197" spans="1:17" x14ac:dyDescent="0.25">
      <c r="A197" s="57">
        <f>+'A) Base RI'!A199</f>
        <v>5720</v>
      </c>
      <c r="B197" s="350" t="str">
        <f>+'A) Base RI'!B199</f>
        <v>Givrins</v>
      </c>
      <c r="C197" s="364">
        <f>+'D) Ecrêtage'!M197</f>
        <v>70256.366894965046</v>
      </c>
      <c r="D197" s="332">
        <v>365293</v>
      </c>
      <c r="E197" s="364">
        <v>59926</v>
      </c>
      <c r="F197" s="332">
        <v>57373</v>
      </c>
      <c r="G197" s="364">
        <f t="shared" si="21"/>
        <v>482592</v>
      </c>
      <c r="H197" s="332">
        <f t="shared" si="22"/>
        <v>562050.93515972036</v>
      </c>
      <c r="I197" s="14">
        <f t="shared" si="23"/>
        <v>0</v>
      </c>
      <c r="J197" s="361">
        <f t="shared" si="31"/>
        <v>0</v>
      </c>
      <c r="K197" s="19">
        <v>83831</v>
      </c>
      <c r="L197" s="14">
        <f t="shared" si="32"/>
        <v>70256.366894965046</v>
      </c>
      <c r="M197" s="19">
        <f t="shared" si="24"/>
        <v>13574.633105034954</v>
      </c>
      <c r="N197" s="4">
        <f t="shared" si="33"/>
        <v>-9962.2503955420525</v>
      </c>
      <c r="O197" s="147">
        <f t="shared" si="25"/>
        <v>-9962.2503955420525</v>
      </c>
      <c r="P197" s="41">
        <f>O197/'D) Ecrêtage'!C198</f>
        <v>-1.8409437858040768E-2</v>
      </c>
      <c r="Q197" s="143"/>
    </row>
    <row r="198" spans="1:17" x14ac:dyDescent="0.25">
      <c r="A198" s="57">
        <f>+'A) Base RI'!A200</f>
        <v>5721</v>
      </c>
      <c r="B198" s="350" t="str">
        <f>+'A) Base RI'!B200</f>
        <v>Gland</v>
      </c>
      <c r="C198" s="364">
        <f>+'D) Ecrêtage'!M198</f>
        <v>541149.08192000003</v>
      </c>
      <c r="D198" s="332">
        <v>1666795</v>
      </c>
      <c r="E198" s="364">
        <v>1352876</v>
      </c>
      <c r="F198" s="332">
        <v>46574</v>
      </c>
      <c r="G198" s="364">
        <f t="shared" ref="G198:G261" si="34">SUM(D198:F198)</f>
        <v>3066245</v>
      </c>
      <c r="H198" s="332">
        <f t="shared" ref="H198:H261" si="35">+C198*$I$4</f>
        <v>4329192.6553600002</v>
      </c>
      <c r="I198" s="14">
        <f t="shared" ref="I198:I261" si="36">IF(G198&gt;H198,G198-H198,0)</f>
        <v>0</v>
      </c>
      <c r="J198" s="361">
        <f t="shared" si="31"/>
        <v>0</v>
      </c>
      <c r="K198" s="19">
        <v>4561</v>
      </c>
      <c r="L198" s="14">
        <f t="shared" si="32"/>
        <v>541149.08192000003</v>
      </c>
      <c r="M198" s="19">
        <f t="shared" si="24"/>
        <v>0</v>
      </c>
      <c r="N198" s="4">
        <f t="shared" si="33"/>
        <v>0</v>
      </c>
      <c r="O198" s="147">
        <f t="shared" si="25"/>
        <v>0</v>
      </c>
      <c r="P198" s="41">
        <f>O198/'D) Ecrêtage'!C199</f>
        <v>0</v>
      </c>
      <c r="Q198" s="143"/>
    </row>
    <row r="199" spans="1:17" x14ac:dyDescent="0.25">
      <c r="A199" s="57">
        <f>+'A) Base RI'!A201</f>
        <v>5722</v>
      </c>
      <c r="B199" s="350" t="str">
        <f>+'A) Base RI'!B201</f>
        <v>Grens</v>
      </c>
      <c r="C199" s="364">
        <f>+'D) Ecrêtage'!M199</f>
        <v>20499.342258064513</v>
      </c>
      <c r="D199" s="332">
        <v>59888</v>
      </c>
      <c r="E199" s="364">
        <v>16474</v>
      </c>
      <c r="F199" s="332">
        <v>63647</v>
      </c>
      <c r="G199" s="364">
        <f t="shared" si="34"/>
        <v>140009</v>
      </c>
      <c r="H199" s="332">
        <f t="shared" si="35"/>
        <v>163994.7380645161</v>
      </c>
      <c r="I199" s="14">
        <f t="shared" si="36"/>
        <v>0</v>
      </c>
      <c r="J199" s="361">
        <f t="shared" si="31"/>
        <v>0</v>
      </c>
      <c r="K199" s="19">
        <v>2494</v>
      </c>
      <c r="L199" s="14">
        <f t="shared" si="32"/>
        <v>20499.342258064513</v>
      </c>
      <c r="M199" s="19">
        <f t="shared" si="24"/>
        <v>0</v>
      </c>
      <c r="N199" s="4">
        <f t="shared" si="33"/>
        <v>0</v>
      </c>
      <c r="O199" s="147">
        <f t="shared" si="25"/>
        <v>0</v>
      </c>
      <c r="P199" s="41">
        <f>O199/'D) Ecrêtage'!C200</f>
        <v>0</v>
      </c>
      <c r="Q199" s="143"/>
    </row>
    <row r="200" spans="1:17" x14ac:dyDescent="0.25">
      <c r="A200" s="57">
        <f>+'A) Base RI'!A202</f>
        <v>5723</v>
      </c>
      <c r="B200" s="350" t="str">
        <f>+'A) Base RI'!B202</f>
        <v>Mies</v>
      </c>
      <c r="C200" s="364">
        <f>+'D) Ecrêtage'!M200</f>
        <v>461595.53306972765</v>
      </c>
      <c r="D200" s="332">
        <v>161938</v>
      </c>
      <c r="E200" s="364">
        <v>113580</v>
      </c>
      <c r="F200" s="332">
        <v>115890</v>
      </c>
      <c r="G200" s="364">
        <f t="shared" si="34"/>
        <v>391408</v>
      </c>
      <c r="H200" s="332">
        <f t="shared" si="35"/>
        <v>3692764.2645578212</v>
      </c>
      <c r="I200" s="14">
        <f t="shared" si="36"/>
        <v>0</v>
      </c>
      <c r="J200" s="361">
        <f t="shared" si="31"/>
        <v>0</v>
      </c>
      <c r="K200" s="19">
        <v>0</v>
      </c>
      <c r="L200" s="14">
        <f t="shared" si="32"/>
        <v>461595.53306972765</v>
      </c>
      <c r="M200" s="19">
        <f t="shared" si="24"/>
        <v>0</v>
      </c>
      <c r="N200" s="4">
        <f t="shared" si="33"/>
        <v>0</v>
      </c>
      <c r="O200" s="147">
        <f t="shared" si="25"/>
        <v>0</v>
      </c>
      <c r="P200" s="41">
        <f>O200/'D) Ecrêtage'!C201</f>
        <v>0</v>
      </c>
      <c r="Q200" s="143"/>
    </row>
    <row r="201" spans="1:17" x14ac:dyDescent="0.25">
      <c r="A201" s="57">
        <f>+'A) Base RI'!A203</f>
        <v>5724</v>
      </c>
      <c r="B201" s="350" t="str">
        <f>+'A) Base RI'!B203</f>
        <v>Nyon</v>
      </c>
      <c r="C201" s="364">
        <f>+'D) Ecrêtage'!M201</f>
        <v>1364222.9732743632</v>
      </c>
      <c r="D201" s="332">
        <v>6725524</v>
      </c>
      <c r="E201" s="364">
        <v>3722896</v>
      </c>
      <c r="F201" s="332">
        <v>172137</v>
      </c>
      <c r="G201" s="364">
        <f t="shared" si="34"/>
        <v>10620557</v>
      </c>
      <c r="H201" s="332">
        <f t="shared" si="35"/>
        <v>10913783.786194906</v>
      </c>
      <c r="I201" s="14">
        <f t="shared" si="36"/>
        <v>0</v>
      </c>
      <c r="J201" s="361">
        <f t="shared" si="31"/>
        <v>0</v>
      </c>
      <c r="K201" s="19">
        <v>343822</v>
      </c>
      <c r="L201" s="14">
        <f t="shared" si="32"/>
        <v>1364222.9732743632</v>
      </c>
      <c r="M201" s="19">
        <f t="shared" si="24"/>
        <v>0</v>
      </c>
      <c r="N201" s="4">
        <f t="shared" si="33"/>
        <v>0</v>
      </c>
      <c r="O201" s="147">
        <f t="shared" si="25"/>
        <v>0</v>
      </c>
      <c r="P201" s="41">
        <f>O201/'D) Ecrêtage'!C202</f>
        <v>0</v>
      </c>
      <c r="Q201" s="143"/>
    </row>
    <row r="202" spans="1:17" x14ac:dyDescent="0.25">
      <c r="A202" s="57">
        <f>+'A) Base RI'!A204</f>
        <v>5725</v>
      </c>
      <c r="B202" s="350" t="str">
        <f>+'A) Base RI'!B204</f>
        <v>Prangins</v>
      </c>
      <c r="C202" s="364">
        <f>+'D) Ecrêtage'!M202</f>
        <v>300667.51187256473</v>
      </c>
      <c r="D202" s="332">
        <v>712791</v>
      </c>
      <c r="E202" s="364">
        <v>1056246</v>
      </c>
      <c r="F202" s="332">
        <v>77363</v>
      </c>
      <c r="G202" s="364">
        <f t="shared" si="34"/>
        <v>1846400</v>
      </c>
      <c r="H202" s="332">
        <f t="shared" si="35"/>
        <v>2405340.0949805179</v>
      </c>
      <c r="I202" s="14">
        <f t="shared" si="36"/>
        <v>0</v>
      </c>
      <c r="J202" s="361">
        <f t="shared" si="31"/>
        <v>0</v>
      </c>
      <c r="K202" s="19">
        <v>49624</v>
      </c>
      <c r="L202" s="14">
        <f t="shared" si="32"/>
        <v>300667.51187256473</v>
      </c>
      <c r="M202" s="19">
        <f t="shared" si="24"/>
        <v>0</v>
      </c>
      <c r="N202" s="4">
        <f t="shared" si="33"/>
        <v>0</v>
      </c>
      <c r="O202" s="147">
        <f t="shared" si="25"/>
        <v>0</v>
      </c>
      <c r="P202" s="41">
        <f>O202/'D) Ecrêtage'!C203</f>
        <v>0</v>
      </c>
      <c r="Q202" s="143"/>
    </row>
    <row r="203" spans="1:17" x14ac:dyDescent="0.25">
      <c r="A203" s="57">
        <f>+'A) Base RI'!A205</f>
        <v>5726</v>
      </c>
      <c r="B203" s="350" t="str">
        <f>+'A) Base RI'!B205</f>
        <v>La Rippe</v>
      </c>
      <c r="C203" s="364">
        <f>+'D) Ecrêtage'!M203</f>
        <v>62420.845692307696</v>
      </c>
      <c r="D203" s="332">
        <v>271655</v>
      </c>
      <c r="E203" s="364">
        <v>97194</v>
      </c>
      <c r="F203" s="332">
        <v>186408</v>
      </c>
      <c r="G203" s="364">
        <f t="shared" si="34"/>
        <v>555257</v>
      </c>
      <c r="H203" s="332">
        <f t="shared" si="35"/>
        <v>499366.76553846156</v>
      </c>
      <c r="I203" s="14">
        <f t="shared" si="36"/>
        <v>55890.234461538435</v>
      </c>
      <c r="J203" s="361">
        <f t="shared" si="31"/>
        <v>-41017.131443860526</v>
      </c>
      <c r="K203" s="19">
        <v>23359</v>
      </c>
      <c r="L203" s="14">
        <f t="shared" si="32"/>
        <v>62420.845692307696</v>
      </c>
      <c r="M203" s="19">
        <f t="shared" si="24"/>
        <v>0</v>
      </c>
      <c r="N203" s="4">
        <f t="shared" si="33"/>
        <v>0</v>
      </c>
      <c r="O203" s="147">
        <f t="shared" si="25"/>
        <v>-41017.131443860526</v>
      </c>
      <c r="P203" s="41">
        <f>O203/'D) Ecrêtage'!C204</f>
        <v>-0.4357682554929499</v>
      </c>
      <c r="Q203" s="143"/>
    </row>
    <row r="204" spans="1:17" x14ac:dyDescent="0.25">
      <c r="A204" s="57">
        <f>+'A) Base RI'!A206</f>
        <v>5727</v>
      </c>
      <c r="B204" s="350" t="str">
        <f>+'A) Base RI'!B206</f>
        <v>Saint-Cergue</v>
      </c>
      <c r="C204" s="364">
        <f>+'D) Ecrêtage'!M204</f>
        <v>94126.01979797981</v>
      </c>
      <c r="D204" s="332">
        <v>801737</v>
      </c>
      <c r="E204" s="364">
        <v>148270</v>
      </c>
      <c r="F204" s="332">
        <v>75630</v>
      </c>
      <c r="G204" s="364">
        <f t="shared" si="34"/>
        <v>1025637</v>
      </c>
      <c r="H204" s="332">
        <f t="shared" si="35"/>
        <v>753008.15838383848</v>
      </c>
      <c r="I204" s="14">
        <f t="shared" si="36"/>
        <v>272628.84161616152</v>
      </c>
      <c r="J204" s="361">
        <f t="shared" si="31"/>
        <v>-200078.83559073054</v>
      </c>
      <c r="K204" s="19">
        <v>148770</v>
      </c>
      <c r="L204" s="14">
        <f t="shared" si="32"/>
        <v>94126.01979797981</v>
      </c>
      <c r="M204" s="19">
        <f t="shared" si="24"/>
        <v>54643.98020202019</v>
      </c>
      <c r="N204" s="4">
        <f t="shared" si="33"/>
        <v>-40102.521310845099</v>
      </c>
      <c r="O204" s="147">
        <f t="shared" si="25"/>
        <v>-240181.35690157564</v>
      </c>
      <c r="P204" s="41">
        <f>O204/'D) Ecrêtage'!C205</f>
        <v>-7.1594170211756314</v>
      </c>
      <c r="Q204" s="143"/>
    </row>
    <row r="205" spans="1:17" x14ac:dyDescent="0.25">
      <c r="A205" s="57">
        <f>+'A) Base RI'!A207</f>
        <v>5728</v>
      </c>
      <c r="B205" s="350" t="str">
        <f>+'A) Base RI'!B207</f>
        <v>Signy-Avenex</v>
      </c>
      <c r="C205" s="364">
        <f>+'D) Ecrêtage'!M205</f>
        <v>32702.770254379117</v>
      </c>
      <c r="D205" s="332">
        <v>76429</v>
      </c>
      <c r="E205" s="364">
        <v>20455</v>
      </c>
      <c r="F205" s="332">
        <v>78310</v>
      </c>
      <c r="G205" s="364">
        <f t="shared" si="34"/>
        <v>175194</v>
      </c>
      <c r="H205" s="332">
        <f t="shared" si="35"/>
        <v>261622.16203503293</v>
      </c>
      <c r="I205" s="14">
        <f t="shared" si="36"/>
        <v>0</v>
      </c>
      <c r="J205" s="361">
        <f t="shared" si="31"/>
        <v>0</v>
      </c>
      <c r="K205" s="19">
        <v>0</v>
      </c>
      <c r="L205" s="14">
        <f t="shared" si="32"/>
        <v>32702.770254379117</v>
      </c>
      <c r="M205" s="19">
        <f t="shared" si="24"/>
        <v>0</v>
      </c>
      <c r="N205" s="4">
        <f t="shared" si="33"/>
        <v>0</v>
      </c>
      <c r="O205" s="147">
        <f t="shared" si="25"/>
        <v>0</v>
      </c>
      <c r="P205" s="41">
        <f>O205/'D) Ecrêtage'!C206</f>
        <v>0</v>
      </c>
      <c r="Q205" s="143"/>
    </row>
    <row r="206" spans="1:17" x14ac:dyDescent="0.25">
      <c r="A206" s="57">
        <f>+'A) Base RI'!A208</f>
        <v>5729</v>
      </c>
      <c r="B206" s="350" t="str">
        <f>+'A) Base RI'!B208</f>
        <v>Tannay</v>
      </c>
      <c r="C206" s="364">
        <f>+'D) Ecrêtage'!M206</f>
        <v>128032.5299435471</v>
      </c>
      <c r="D206" s="332">
        <v>146576</v>
      </c>
      <c r="E206" s="364">
        <v>94026</v>
      </c>
      <c r="F206" s="332">
        <v>89731</v>
      </c>
      <c r="G206" s="364">
        <f t="shared" si="34"/>
        <v>330333</v>
      </c>
      <c r="H206" s="332">
        <f t="shared" si="35"/>
        <v>1024260.2395483768</v>
      </c>
      <c r="I206" s="14">
        <f t="shared" si="36"/>
        <v>0</v>
      </c>
      <c r="J206" s="361">
        <f t="shared" si="31"/>
        <v>0</v>
      </c>
      <c r="K206" s="19">
        <v>0</v>
      </c>
      <c r="L206" s="14">
        <f t="shared" si="32"/>
        <v>128032.5299435471</v>
      </c>
      <c r="M206" s="19">
        <f t="shared" si="24"/>
        <v>0</v>
      </c>
      <c r="N206" s="4">
        <f t="shared" si="33"/>
        <v>0</v>
      </c>
      <c r="O206" s="147">
        <f t="shared" si="25"/>
        <v>0</v>
      </c>
      <c r="P206" s="41">
        <f>O206/'D) Ecrêtage'!C207</f>
        <v>0</v>
      </c>
      <c r="Q206" s="143"/>
    </row>
    <row r="207" spans="1:17" x14ac:dyDescent="0.25">
      <c r="A207" s="57">
        <f>+'A) Base RI'!A209</f>
        <v>5730</v>
      </c>
      <c r="B207" s="350" t="str">
        <f>+'A) Base RI'!B209</f>
        <v>Trélex</v>
      </c>
      <c r="C207" s="364">
        <f>+'D) Ecrêtage'!M207</f>
        <v>115553.12234600043</v>
      </c>
      <c r="D207" s="332">
        <v>242518</v>
      </c>
      <c r="E207" s="364">
        <v>85101</v>
      </c>
      <c r="F207" s="332">
        <v>83643</v>
      </c>
      <c r="G207" s="364">
        <f t="shared" si="34"/>
        <v>411262</v>
      </c>
      <c r="H207" s="332">
        <f t="shared" si="35"/>
        <v>924424.97876800341</v>
      </c>
      <c r="I207" s="14">
        <f t="shared" si="36"/>
        <v>0</v>
      </c>
      <c r="J207" s="361">
        <f t="shared" si="31"/>
        <v>0</v>
      </c>
      <c r="K207" s="19">
        <v>47901</v>
      </c>
      <c r="L207" s="14">
        <f t="shared" si="32"/>
        <v>115553.12234600043</v>
      </c>
      <c r="M207" s="19">
        <f t="shared" si="24"/>
        <v>0</v>
      </c>
      <c r="N207" s="4">
        <f t="shared" si="33"/>
        <v>0</v>
      </c>
      <c r="O207" s="147">
        <f t="shared" si="25"/>
        <v>0</v>
      </c>
      <c r="P207" s="41">
        <f>O207/'D) Ecrêtage'!C208</f>
        <v>0</v>
      </c>
      <c r="Q207" s="143"/>
    </row>
    <row r="208" spans="1:17" x14ac:dyDescent="0.25">
      <c r="A208" s="57">
        <f>+'A) Base RI'!A210</f>
        <v>5731</v>
      </c>
      <c r="B208" s="350" t="str">
        <f>+'A) Base RI'!B210</f>
        <v>Le Vaud</v>
      </c>
      <c r="C208" s="364">
        <f>+'D) Ecrêtage'!M208</f>
        <v>47266.974133333322</v>
      </c>
      <c r="D208" s="332">
        <v>325225</v>
      </c>
      <c r="E208" s="364">
        <v>45529</v>
      </c>
      <c r="F208" s="332">
        <v>152958</v>
      </c>
      <c r="G208" s="364">
        <f t="shared" si="34"/>
        <v>523712</v>
      </c>
      <c r="H208" s="332">
        <f t="shared" si="35"/>
        <v>378135.79306666658</v>
      </c>
      <c r="I208" s="14">
        <f t="shared" si="36"/>
        <v>145576.20693333342</v>
      </c>
      <c r="J208" s="361">
        <f t="shared" si="31"/>
        <v>-106836.52470615912</v>
      </c>
      <c r="K208" s="19">
        <v>34221</v>
      </c>
      <c r="L208" s="14">
        <f t="shared" si="32"/>
        <v>47266.974133333322</v>
      </c>
      <c r="M208" s="19">
        <f t="shared" si="24"/>
        <v>0</v>
      </c>
      <c r="N208" s="4">
        <f t="shared" si="33"/>
        <v>0</v>
      </c>
      <c r="O208" s="147">
        <f t="shared" si="25"/>
        <v>-106836.52470615912</v>
      </c>
      <c r="P208" s="41">
        <f>O208/'D) Ecrêtage'!C209</f>
        <v>-1.3994129082840143</v>
      </c>
      <c r="Q208" s="143"/>
    </row>
    <row r="209" spans="1:17" x14ac:dyDescent="0.25">
      <c r="A209" s="57">
        <f>+'A) Base RI'!A211</f>
        <v>5732</v>
      </c>
      <c r="B209" s="350" t="str">
        <f>+'A) Base RI'!B211</f>
        <v>Vich</v>
      </c>
      <c r="C209" s="364">
        <f>+'D) Ecrêtage'!M209</f>
        <v>71775.488137800727</v>
      </c>
      <c r="D209" s="332">
        <v>201589</v>
      </c>
      <c r="E209" s="364">
        <v>51515</v>
      </c>
      <c r="F209" s="332">
        <v>92622</v>
      </c>
      <c r="G209" s="364">
        <f t="shared" si="34"/>
        <v>345726</v>
      </c>
      <c r="H209" s="332">
        <f t="shared" si="35"/>
        <v>574203.90510240581</v>
      </c>
      <c r="I209" s="14">
        <f t="shared" si="36"/>
        <v>0</v>
      </c>
      <c r="J209" s="361">
        <f t="shared" si="31"/>
        <v>0</v>
      </c>
      <c r="K209" s="19">
        <v>648</v>
      </c>
      <c r="L209" s="14">
        <f t="shared" si="32"/>
        <v>71775.488137800727</v>
      </c>
      <c r="M209" s="19">
        <f t="shared" si="24"/>
        <v>0</v>
      </c>
      <c r="N209" s="4">
        <f t="shared" si="33"/>
        <v>0</v>
      </c>
      <c r="O209" s="147">
        <f t="shared" si="25"/>
        <v>0</v>
      </c>
      <c r="P209" s="41">
        <f>O209/'D) Ecrêtage'!C210</f>
        <v>0</v>
      </c>
      <c r="Q209" s="143"/>
    </row>
    <row r="210" spans="1:17" x14ac:dyDescent="0.25">
      <c r="A210" s="57">
        <f>+'A) Base RI'!A212</f>
        <v>5741</v>
      </c>
      <c r="B210" s="350" t="str">
        <f>+'A) Base RI'!B212</f>
        <v>L'Abergement</v>
      </c>
      <c r="C210" s="364">
        <f>+'D) Ecrêtage'!M210</f>
        <v>6474.3855761316872</v>
      </c>
      <c r="D210" s="332">
        <v>84713</v>
      </c>
      <c r="E210" s="364">
        <v>10084</v>
      </c>
      <c r="F210" s="332">
        <v>26681</v>
      </c>
      <c r="G210" s="364">
        <f t="shared" si="34"/>
        <v>121478</v>
      </c>
      <c r="H210" s="332">
        <f t="shared" si="35"/>
        <v>51795.084609053498</v>
      </c>
      <c r="I210" s="14">
        <f t="shared" si="36"/>
        <v>69682.915390946495</v>
      </c>
      <c r="J210" s="361">
        <f t="shared" si="31"/>
        <v>-51139.404361396366</v>
      </c>
      <c r="K210" s="19">
        <v>24158</v>
      </c>
      <c r="L210" s="14">
        <f t="shared" si="32"/>
        <v>6474.3855761316872</v>
      </c>
      <c r="M210" s="19">
        <f t="shared" si="24"/>
        <v>17683.614423868312</v>
      </c>
      <c r="N210" s="4">
        <f t="shared" si="33"/>
        <v>-12977.779467457776</v>
      </c>
      <c r="O210" s="147">
        <f t="shared" si="25"/>
        <v>-64117.18382885414</v>
      </c>
      <c r="P210" s="41">
        <f>O210/'D) Ecrêtage'!C211</f>
        <v>-7.6275297668690705</v>
      </c>
      <c r="Q210" s="143"/>
    </row>
    <row r="211" spans="1:17" x14ac:dyDescent="0.25">
      <c r="A211" s="57">
        <f>+'A) Base RI'!A213</f>
        <v>5742</v>
      </c>
      <c r="B211" s="350" t="str">
        <f>+'A) Base RI'!B213</f>
        <v>Agiez</v>
      </c>
      <c r="C211" s="364">
        <f>+'D) Ecrêtage'!M211</f>
        <v>8406.0221052631568</v>
      </c>
      <c r="D211" s="332">
        <v>33709</v>
      </c>
      <c r="E211" s="364">
        <v>12374</v>
      </c>
      <c r="F211" s="332">
        <v>31725</v>
      </c>
      <c r="G211" s="364">
        <f t="shared" si="34"/>
        <v>77808</v>
      </c>
      <c r="H211" s="332">
        <f t="shared" si="35"/>
        <v>67248.176842105255</v>
      </c>
      <c r="I211" s="14">
        <f t="shared" si="36"/>
        <v>10559.823157894745</v>
      </c>
      <c r="J211" s="361">
        <f t="shared" si="31"/>
        <v>-7749.7197616760304</v>
      </c>
      <c r="K211" s="19">
        <v>30163</v>
      </c>
      <c r="L211" s="14">
        <f t="shared" si="32"/>
        <v>8406.0221052631568</v>
      </c>
      <c r="M211" s="19">
        <f t="shared" si="24"/>
        <v>21756.977894736843</v>
      </c>
      <c r="N211" s="4">
        <f t="shared" si="33"/>
        <v>-15967.169054259582</v>
      </c>
      <c r="O211" s="147">
        <f t="shared" si="25"/>
        <v>-23716.888815935614</v>
      </c>
      <c r="P211" s="41">
        <f>O211/'D) Ecrêtage'!C212</f>
        <v>-1.4678735203400157</v>
      </c>
      <c r="Q211" s="143"/>
    </row>
    <row r="212" spans="1:17" x14ac:dyDescent="0.25">
      <c r="A212" s="57">
        <f>+'A) Base RI'!A214</f>
        <v>5743</v>
      </c>
      <c r="B212" s="350" t="str">
        <f>+'A) Base RI'!B214</f>
        <v>Arnex-sur-Orbe</v>
      </c>
      <c r="C212" s="364">
        <f>+'D) Ecrêtage'!M212</f>
        <v>16157.310890410963</v>
      </c>
      <c r="D212" s="332">
        <v>145260</v>
      </c>
      <c r="E212" s="364">
        <v>62772</v>
      </c>
      <c r="F212" s="332">
        <v>64718</v>
      </c>
      <c r="G212" s="364">
        <f t="shared" si="34"/>
        <v>272750</v>
      </c>
      <c r="H212" s="332">
        <f t="shared" si="35"/>
        <v>129258.4871232877</v>
      </c>
      <c r="I212" s="14">
        <f t="shared" si="36"/>
        <v>143491.51287671231</v>
      </c>
      <c r="J212" s="361">
        <f t="shared" si="31"/>
        <v>-105306.59428156042</v>
      </c>
      <c r="K212" s="19">
        <v>5612</v>
      </c>
      <c r="L212" s="14">
        <f t="shared" si="32"/>
        <v>16157.310890410963</v>
      </c>
      <c r="M212" s="19">
        <f t="shared" si="24"/>
        <v>0</v>
      </c>
      <c r="N212" s="4">
        <f t="shared" si="33"/>
        <v>0</v>
      </c>
      <c r="O212" s="147">
        <f t="shared" si="25"/>
        <v>-105306.59428156042</v>
      </c>
      <c r="P212" s="41">
        <f>O212/'D) Ecrêtage'!C213</f>
        <v>-1.5514372222393242</v>
      </c>
      <c r="Q212" s="143"/>
    </row>
    <row r="213" spans="1:17" x14ac:dyDescent="0.25">
      <c r="A213" s="57">
        <f>+'A) Base RI'!A215</f>
        <v>5744</v>
      </c>
      <c r="B213" s="350" t="str">
        <f>+'A) Base RI'!B215</f>
        <v>Ballaigues</v>
      </c>
      <c r="C213" s="364">
        <f>+'D) Ecrêtage'!M213</f>
        <v>66740.940086057177</v>
      </c>
      <c r="D213" s="332">
        <v>764094</v>
      </c>
      <c r="E213" s="364">
        <v>42946</v>
      </c>
      <c r="F213" s="332">
        <v>119177</v>
      </c>
      <c r="G213" s="364">
        <f t="shared" si="34"/>
        <v>926217</v>
      </c>
      <c r="H213" s="332">
        <f t="shared" si="35"/>
        <v>533927.52068845741</v>
      </c>
      <c r="I213" s="14">
        <f t="shared" si="36"/>
        <v>392289.47931154259</v>
      </c>
      <c r="J213" s="361">
        <f t="shared" si="31"/>
        <v>-287896.2540054844</v>
      </c>
      <c r="K213" s="19">
        <v>74228</v>
      </c>
      <c r="L213" s="14">
        <f t="shared" si="32"/>
        <v>66740.940086057177</v>
      </c>
      <c r="M213" s="19">
        <f t="shared" si="24"/>
        <v>7487.0599139428232</v>
      </c>
      <c r="N213" s="4">
        <f t="shared" si="33"/>
        <v>-5494.6579411754838</v>
      </c>
      <c r="O213" s="147">
        <f t="shared" si="25"/>
        <v>-293390.91194665991</v>
      </c>
      <c r="P213" s="41">
        <f>O213/'D) Ecrêtage'!C214</f>
        <v>-10.985031790620624</v>
      </c>
      <c r="Q213" s="143"/>
    </row>
    <row r="214" spans="1:17" x14ac:dyDescent="0.25">
      <c r="A214" s="57">
        <f>+'A) Base RI'!A216</f>
        <v>5745</v>
      </c>
      <c r="B214" s="350" t="str">
        <f>+'A) Base RI'!B216</f>
        <v>Baulmes</v>
      </c>
      <c r="C214" s="364">
        <f>+'D) Ecrêtage'!M214</f>
        <v>26708.244230769233</v>
      </c>
      <c r="D214" s="332">
        <v>233497</v>
      </c>
      <c r="E214" s="364">
        <v>103849</v>
      </c>
      <c r="F214" s="332">
        <v>89869</v>
      </c>
      <c r="G214" s="364">
        <f t="shared" si="34"/>
        <v>427215</v>
      </c>
      <c r="H214" s="332">
        <f t="shared" si="35"/>
        <v>213665.95384615386</v>
      </c>
      <c r="I214" s="14">
        <f t="shared" si="36"/>
        <v>213549.04615384614</v>
      </c>
      <c r="J214" s="361">
        <f t="shared" si="31"/>
        <v>-156720.92593977356</v>
      </c>
      <c r="K214" s="19">
        <v>284749</v>
      </c>
      <c r="L214" s="14">
        <f t="shared" si="32"/>
        <v>26708.244230769233</v>
      </c>
      <c r="M214" s="19">
        <f t="shared" si="24"/>
        <v>258040.75576923077</v>
      </c>
      <c r="N214" s="4">
        <f t="shared" si="33"/>
        <v>-189372.82513178981</v>
      </c>
      <c r="O214" s="147">
        <f t="shared" si="25"/>
        <v>-346093.75107156334</v>
      </c>
      <c r="P214" s="41">
        <f>O214/'D) Ecrêtage'!C215</f>
        <v>-13.022923007556944</v>
      </c>
      <c r="Q214" s="143"/>
    </row>
    <row r="215" spans="1:17" x14ac:dyDescent="0.25">
      <c r="A215" s="57">
        <f>+'A) Base RI'!A217</f>
        <v>5746</v>
      </c>
      <c r="B215" s="350" t="str">
        <f>+'A) Base RI'!B217</f>
        <v>Bavois</v>
      </c>
      <c r="C215" s="364">
        <f>+'D) Ecrêtage'!M215</f>
        <v>26575.73502283105</v>
      </c>
      <c r="D215" s="332">
        <v>265004</v>
      </c>
      <c r="E215" s="364">
        <v>94308</v>
      </c>
      <c r="F215" s="332">
        <v>119898</v>
      </c>
      <c r="G215" s="364">
        <f t="shared" si="34"/>
        <v>479210</v>
      </c>
      <c r="H215" s="332">
        <f t="shared" si="35"/>
        <v>212605.8801826484</v>
      </c>
      <c r="I215" s="14">
        <f t="shared" si="36"/>
        <v>266604.11981735157</v>
      </c>
      <c r="J215" s="361">
        <f t="shared" si="31"/>
        <v>-195657.36897289881</v>
      </c>
      <c r="K215" s="19">
        <v>58176</v>
      </c>
      <c r="L215" s="14">
        <f t="shared" si="32"/>
        <v>26575.73502283105</v>
      </c>
      <c r="M215" s="19">
        <f t="shared" si="24"/>
        <v>31600.26497716895</v>
      </c>
      <c r="N215" s="4">
        <f t="shared" si="33"/>
        <v>-23191.032113513935</v>
      </c>
      <c r="O215" s="147">
        <f t="shared" si="25"/>
        <v>-218848.40108641275</v>
      </c>
      <c r="P215" s="41">
        <f>O215/'D) Ecrêtage'!C216</f>
        <v>-41.231276106246739</v>
      </c>
      <c r="Q215" s="143"/>
    </row>
    <row r="216" spans="1:17" x14ac:dyDescent="0.25">
      <c r="A216" s="57">
        <f>+'A) Base RI'!A218</f>
        <v>5747</v>
      </c>
      <c r="B216" s="350" t="str">
        <f>+'A) Base RI'!B218</f>
        <v>Bofflens</v>
      </c>
      <c r="C216" s="364">
        <f>+'D) Ecrêtage'!M216</f>
        <v>5307.8250724637683</v>
      </c>
      <c r="D216" s="332">
        <v>25698</v>
      </c>
      <c r="E216" s="364">
        <v>7513</v>
      </c>
      <c r="F216" s="332">
        <v>19983</v>
      </c>
      <c r="G216" s="364">
        <f t="shared" si="34"/>
        <v>53194</v>
      </c>
      <c r="H216" s="332">
        <f t="shared" si="35"/>
        <v>42462.600579710146</v>
      </c>
      <c r="I216" s="14">
        <f t="shared" si="36"/>
        <v>10731.399420289854</v>
      </c>
      <c r="J216" s="361">
        <f t="shared" si="31"/>
        <v>-7875.6373960375304</v>
      </c>
      <c r="K216" s="19">
        <v>-310</v>
      </c>
      <c r="L216" s="14">
        <f t="shared" si="32"/>
        <v>5307.8250724637683</v>
      </c>
      <c r="M216" s="19">
        <f t="shared" si="24"/>
        <v>0</v>
      </c>
      <c r="N216" s="4">
        <f t="shared" si="33"/>
        <v>0</v>
      </c>
      <c r="O216" s="147">
        <f t="shared" si="25"/>
        <v>-7875.6373960375304</v>
      </c>
      <c r="P216" s="41">
        <f>O216/'D) Ecrêtage'!C217</f>
        <v>-1.0846504250217406</v>
      </c>
      <c r="Q216" s="143"/>
    </row>
    <row r="217" spans="1:17" x14ac:dyDescent="0.25">
      <c r="A217" s="57">
        <f>+'A) Base RI'!A219</f>
        <v>5748</v>
      </c>
      <c r="B217" s="350" t="str">
        <f>+'A) Base RI'!B219</f>
        <v>Bretonnières</v>
      </c>
      <c r="C217" s="364">
        <f>+'D) Ecrêtage'!M217</f>
        <v>7260.9913888888877</v>
      </c>
      <c r="D217" s="332">
        <v>61996</v>
      </c>
      <c r="E217" s="364">
        <v>25309</v>
      </c>
      <c r="F217" s="332">
        <v>28514</v>
      </c>
      <c r="G217" s="364">
        <f t="shared" si="34"/>
        <v>115819</v>
      </c>
      <c r="H217" s="332">
        <f t="shared" si="35"/>
        <v>58087.931111111102</v>
      </c>
      <c r="I217" s="14">
        <f t="shared" si="36"/>
        <v>57731.068888888898</v>
      </c>
      <c r="J217" s="361">
        <f t="shared" ref="J217" si="37">-I217*J$4</f>
        <v>-42368.09639150228</v>
      </c>
      <c r="K217" s="19">
        <v>39048</v>
      </c>
      <c r="L217" s="14">
        <f t="shared" ref="L217" si="38">C217*M$4</f>
        <v>7260.9913888888877</v>
      </c>
      <c r="M217" s="19">
        <f t="shared" ref="M217" si="39">IF(K217&gt;L217,K217-L217,0)</f>
        <v>31787.008611111112</v>
      </c>
      <c r="N217" s="4">
        <f t="shared" ref="N217" si="40">-M217*N$4</f>
        <v>-23328.08088873389</v>
      </c>
      <c r="O217" s="147">
        <f t="shared" ref="O217" si="41">N217+J217</f>
        <v>-65696.177280236167</v>
      </c>
      <c r="P217" s="41">
        <f>O217/'D) Ecrêtage'!C218</f>
        <v>-0.49538678830503768</v>
      </c>
      <c r="Q217" s="143"/>
    </row>
    <row r="218" spans="1:17" x14ac:dyDescent="0.25">
      <c r="A218" s="57">
        <f>+'A) Base RI'!A220</f>
        <v>5749</v>
      </c>
      <c r="B218" s="350" t="str">
        <f>+'A) Base RI'!B220</f>
        <v>Chavornay</v>
      </c>
      <c r="C218" s="364">
        <f>+'D) Ecrêtage'!M218</f>
        <v>132615.92523493644</v>
      </c>
      <c r="D218" s="332">
        <v>740834</v>
      </c>
      <c r="E218" s="364">
        <v>448017</v>
      </c>
      <c r="F218" s="332">
        <v>663868</v>
      </c>
      <c r="G218" s="364">
        <f t="shared" si="34"/>
        <v>1852719</v>
      </c>
      <c r="H218" s="332">
        <f t="shared" si="35"/>
        <v>1060927.4018794915</v>
      </c>
      <c r="I218" s="14">
        <f t="shared" si="36"/>
        <v>791791.59812050848</v>
      </c>
      <c r="J218" s="361">
        <f t="shared" si="31"/>
        <v>-581085.7723025434</v>
      </c>
      <c r="K218" s="19">
        <v>157806</v>
      </c>
      <c r="L218" s="14">
        <f t="shared" si="32"/>
        <v>132615.92523493644</v>
      </c>
      <c r="M218" s="19">
        <f t="shared" si="24"/>
        <v>25190.07476506356</v>
      </c>
      <c r="N218" s="4">
        <f t="shared" si="33"/>
        <v>-18486.67513517612</v>
      </c>
      <c r="O218" s="147">
        <f t="shared" si="25"/>
        <v>-599572.44743771956</v>
      </c>
      <c r="P218" s="41">
        <f>O218/'D) Ecrêtage'!C219</f>
        <v>-125.16979877232789</v>
      </c>
      <c r="Q218" s="143"/>
    </row>
    <row r="219" spans="1:17" x14ac:dyDescent="0.25">
      <c r="A219" s="57">
        <f>+'A) Base RI'!A221</f>
        <v>5750</v>
      </c>
      <c r="B219" s="350" t="str">
        <f>+'A) Base RI'!B221</f>
        <v>Les Clées</v>
      </c>
      <c r="C219" s="364">
        <f>+'D) Ecrêtage'!M219</f>
        <v>4790.0727916666665</v>
      </c>
      <c r="D219" s="332">
        <v>61454</v>
      </c>
      <c r="E219" s="364">
        <v>0</v>
      </c>
      <c r="F219" s="332">
        <v>17750</v>
      </c>
      <c r="G219" s="364">
        <f t="shared" si="34"/>
        <v>79204</v>
      </c>
      <c r="H219" s="332">
        <f t="shared" si="35"/>
        <v>38320.582333333332</v>
      </c>
      <c r="I219" s="14">
        <f t="shared" si="36"/>
        <v>40883.417666666668</v>
      </c>
      <c r="J219" s="361">
        <f t="shared" si="31"/>
        <v>-30003.819673755534</v>
      </c>
      <c r="K219" s="19">
        <v>26369</v>
      </c>
      <c r="L219" s="14">
        <f t="shared" si="32"/>
        <v>4790.0727916666665</v>
      </c>
      <c r="M219" s="19">
        <f t="shared" ref="M219:M264" si="42">IF(K219&gt;L219,K219-L219,0)</f>
        <v>21578.927208333334</v>
      </c>
      <c r="N219" s="4">
        <f t="shared" si="33"/>
        <v>-15836.499922554507</v>
      </c>
      <c r="O219" s="147">
        <f t="shared" ref="O219:O264" si="43">N219+J219</f>
        <v>-45840.319596310044</v>
      </c>
      <c r="P219" s="41">
        <f>O219/'D) Ecrêtage'!C220</f>
        <v>-4.9753393551603606</v>
      </c>
      <c r="Q219" s="143"/>
    </row>
    <row r="220" spans="1:17" x14ac:dyDescent="0.25">
      <c r="A220" s="57">
        <f>+'A) Base RI'!A222</f>
        <v>5752</v>
      </c>
      <c r="B220" s="350" t="str">
        <f>+'A) Base RI'!B222</f>
        <v>Croy</v>
      </c>
      <c r="C220" s="364">
        <f>+'D) Ecrêtage'!M220</f>
        <v>9213.5061196911174</v>
      </c>
      <c r="D220" s="332">
        <v>561867</v>
      </c>
      <c r="E220" s="364">
        <v>33646</v>
      </c>
      <c r="F220" s="332">
        <v>32502</v>
      </c>
      <c r="G220" s="364">
        <f t="shared" si="34"/>
        <v>628015</v>
      </c>
      <c r="H220" s="332">
        <f t="shared" si="35"/>
        <v>73708.048957528939</v>
      </c>
      <c r="I220" s="14">
        <f t="shared" si="36"/>
        <v>554306.9510424711</v>
      </c>
      <c r="J220" s="361">
        <f t="shared" si="31"/>
        <v>-406798.81360670831</v>
      </c>
      <c r="K220" s="19">
        <v>6121</v>
      </c>
      <c r="L220" s="14">
        <f t="shared" si="32"/>
        <v>9213.5061196911174</v>
      </c>
      <c r="M220" s="19">
        <f t="shared" si="42"/>
        <v>0</v>
      </c>
      <c r="N220" s="4">
        <f t="shared" si="33"/>
        <v>0</v>
      </c>
      <c r="O220" s="147">
        <f t="shared" si="43"/>
        <v>-406798.81360670831</v>
      </c>
      <c r="P220" s="41">
        <f>O220/'D) Ecrêtage'!C221</f>
        <v>-56.479711843403251</v>
      </c>
      <c r="Q220" s="143"/>
    </row>
    <row r="221" spans="1:17" x14ac:dyDescent="0.25">
      <c r="A221" s="57">
        <f>+'A) Base RI'!A223</f>
        <v>5754</v>
      </c>
      <c r="B221" s="350" t="str">
        <f>+'A) Base RI'!B223</f>
        <v>Juriens</v>
      </c>
      <c r="C221" s="364">
        <f>+'D) Ecrêtage'!M221</f>
        <v>7202.565316455697</v>
      </c>
      <c r="D221" s="332">
        <v>64674</v>
      </c>
      <c r="E221" s="364">
        <v>12133</v>
      </c>
      <c r="F221" s="332">
        <v>25864</v>
      </c>
      <c r="G221" s="364">
        <f t="shared" si="34"/>
        <v>102671</v>
      </c>
      <c r="H221" s="332">
        <f t="shared" si="35"/>
        <v>57620.522531645576</v>
      </c>
      <c r="I221" s="14">
        <f t="shared" si="36"/>
        <v>45050.477468354424</v>
      </c>
      <c r="J221" s="361">
        <f t="shared" si="31"/>
        <v>-33061.971804748566</v>
      </c>
      <c r="K221" s="19">
        <v>18488</v>
      </c>
      <c r="L221" s="14">
        <f t="shared" si="32"/>
        <v>7202.565316455697</v>
      </c>
      <c r="M221" s="19">
        <f t="shared" si="42"/>
        <v>11285.434683544303</v>
      </c>
      <c r="N221" s="4">
        <f t="shared" si="33"/>
        <v>-8282.2368214358994</v>
      </c>
      <c r="O221" s="147">
        <f t="shared" si="43"/>
        <v>-41344.208626184467</v>
      </c>
      <c r="P221" s="41">
        <f>O221/'D) Ecrêtage'!C222</f>
        <v>-4.5352469342062589</v>
      </c>
      <c r="Q221" s="143"/>
    </row>
    <row r="222" spans="1:17" x14ac:dyDescent="0.25">
      <c r="A222" s="57">
        <f>+'A) Base RI'!A224</f>
        <v>5755</v>
      </c>
      <c r="B222" s="350" t="str">
        <f>+'A) Base RI'!B224</f>
        <v>Lignerolle</v>
      </c>
      <c r="C222" s="364">
        <f>+'D) Ecrêtage'!M222</f>
        <v>9116.1979107142852</v>
      </c>
      <c r="D222" s="332">
        <v>221895</v>
      </c>
      <c r="E222" s="364">
        <v>15828</v>
      </c>
      <c r="F222" s="332">
        <v>38644</v>
      </c>
      <c r="G222" s="364">
        <f t="shared" si="34"/>
        <v>276367</v>
      </c>
      <c r="H222" s="332">
        <f t="shared" si="35"/>
        <v>72929.583285714281</v>
      </c>
      <c r="I222" s="14">
        <f t="shared" si="36"/>
        <v>203437.41671428573</v>
      </c>
      <c r="J222" s="361">
        <f t="shared" si="31"/>
        <v>-149300.12984131608</v>
      </c>
      <c r="K222" s="19">
        <v>59382</v>
      </c>
      <c r="L222" s="14">
        <f t="shared" si="32"/>
        <v>9116.1979107142852</v>
      </c>
      <c r="M222" s="19">
        <f t="shared" si="42"/>
        <v>50265.802089285717</v>
      </c>
      <c r="N222" s="4">
        <f t="shared" si="33"/>
        <v>-36889.432139457866</v>
      </c>
      <c r="O222" s="147">
        <f t="shared" si="43"/>
        <v>-186189.56198077396</v>
      </c>
      <c r="P222" s="41">
        <f>O222/'D) Ecrêtage'!C223</f>
        <v>-12.7144444719641</v>
      </c>
      <c r="Q222" s="143"/>
    </row>
    <row r="223" spans="1:17" x14ac:dyDescent="0.25">
      <c r="A223" s="57">
        <f>+'A) Base RI'!A225</f>
        <v>5756</v>
      </c>
      <c r="B223" s="350" t="str">
        <f>+'A) Base RI'!B225</f>
        <v>Montcherand</v>
      </c>
      <c r="C223" s="364">
        <f>+'D) Ecrêtage'!M223</f>
        <v>14643.939999999999</v>
      </c>
      <c r="D223" s="332">
        <v>110301</v>
      </c>
      <c r="E223" s="364">
        <v>19043</v>
      </c>
      <c r="F223" s="332">
        <v>53973</v>
      </c>
      <c r="G223" s="364">
        <f t="shared" si="34"/>
        <v>183317</v>
      </c>
      <c r="H223" s="332">
        <f t="shared" si="35"/>
        <v>117151.51999999999</v>
      </c>
      <c r="I223" s="14">
        <f t="shared" si="36"/>
        <v>66165.48000000001</v>
      </c>
      <c r="J223" s="361">
        <f t="shared" si="31"/>
        <v>-48558.003314044821</v>
      </c>
      <c r="K223" s="19">
        <v>12917</v>
      </c>
      <c r="L223" s="14">
        <f t="shared" si="32"/>
        <v>14643.939999999999</v>
      </c>
      <c r="M223" s="19">
        <f t="shared" si="42"/>
        <v>0</v>
      </c>
      <c r="N223" s="4">
        <f t="shared" si="33"/>
        <v>0</v>
      </c>
      <c r="O223" s="147">
        <f t="shared" si="43"/>
        <v>-48558.003314044821</v>
      </c>
      <c r="P223" s="41">
        <f>O223/'D) Ecrêtage'!C224</f>
        <v>-0.22126218668497027</v>
      </c>
      <c r="Q223" s="143"/>
    </row>
    <row r="224" spans="1:17" x14ac:dyDescent="0.25">
      <c r="A224" s="57">
        <f>+'A) Base RI'!A226</f>
        <v>5757</v>
      </c>
      <c r="B224" s="350" t="str">
        <f>+'A) Base RI'!B226</f>
        <v>Orbe</v>
      </c>
      <c r="C224" s="364">
        <f>+'D) Ecrêtage'!M224</f>
        <v>219459.11337837842</v>
      </c>
      <c r="D224" s="332">
        <v>2024103</v>
      </c>
      <c r="E224" s="364">
        <v>968803</v>
      </c>
      <c r="F224" s="332">
        <v>713341</v>
      </c>
      <c r="G224" s="364">
        <f t="shared" si="34"/>
        <v>3706247</v>
      </c>
      <c r="H224" s="332">
        <f t="shared" si="35"/>
        <v>1755672.9070270273</v>
      </c>
      <c r="I224" s="14">
        <f t="shared" si="36"/>
        <v>1950574.0929729727</v>
      </c>
      <c r="J224" s="361">
        <f t="shared" si="31"/>
        <v>-1431501.4909719019</v>
      </c>
      <c r="K224" s="19">
        <v>93973</v>
      </c>
      <c r="L224" s="14">
        <f t="shared" si="32"/>
        <v>219459.11337837842</v>
      </c>
      <c r="M224" s="19">
        <f t="shared" si="42"/>
        <v>0</v>
      </c>
      <c r="N224" s="4">
        <f t="shared" si="33"/>
        <v>0</v>
      </c>
      <c r="O224" s="147">
        <f t="shared" si="43"/>
        <v>-1431501.4909719019</v>
      </c>
      <c r="P224" s="41">
        <f>O224/'D) Ecrêtage'!C225</f>
        <v>-377.4378089019479</v>
      </c>
      <c r="Q224" s="143"/>
    </row>
    <row r="225" spans="1:17" x14ac:dyDescent="0.25">
      <c r="A225" s="57">
        <f>+'A) Base RI'!A227</f>
        <v>5758</v>
      </c>
      <c r="B225" s="350" t="str">
        <f>+'A) Base RI'!B227</f>
        <v>La Praz</v>
      </c>
      <c r="C225" s="364">
        <f>+'D) Ecrêtage'!M225</f>
        <v>3792.6817536813919</v>
      </c>
      <c r="D225" s="332">
        <v>37863</v>
      </c>
      <c r="E225" s="364">
        <v>6248</v>
      </c>
      <c r="F225" s="332">
        <v>14463</v>
      </c>
      <c r="G225" s="364">
        <f t="shared" si="34"/>
        <v>58574</v>
      </c>
      <c r="H225" s="332">
        <f t="shared" si="35"/>
        <v>30341.454029451135</v>
      </c>
      <c r="I225" s="14">
        <f t="shared" si="36"/>
        <v>28232.545970548865</v>
      </c>
      <c r="J225" s="361">
        <f t="shared" si="31"/>
        <v>-20719.506014342136</v>
      </c>
      <c r="K225" s="19">
        <v>-5144</v>
      </c>
      <c r="L225" s="14">
        <f t="shared" si="32"/>
        <v>3792.6817536813919</v>
      </c>
      <c r="M225" s="19">
        <f t="shared" si="42"/>
        <v>0</v>
      </c>
      <c r="N225" s="4">
        <f t="shared" si="33"/>
        <v>0</v>
      </c>
      <c r="O225" s="147">
        <f t="shared" si="43"/>
        <v>-20719.506014342136</v>
      </c>
      <c r="P225" s="41">
        <f>O225/'D) Ecrêtage'!C226</f>
        <v>-4.4182530050407678</v>
      </c>
      <c r="Q225" s="143"/>
    </row>
    <row r="226" spans="1:17" x14ac:dyDescent="0.25">
      <c r="A226" s="57">
        <f>+'A) Base RI'!A228</f>
        <v>5759</v>
      </c>
      <c r="B226" s="350" t="str">
        <f>+'A) Base RI'!B228</f>
        <v>Premier</v>
      </c>
      <c r="C226" s="364">
        <f>+'D) Ecrêtage'!M226</f>
        <v>4689.5245679012341</v>
      </c>
      <c r="D226" s="332">
        <v>74115</v>
      </c>
      <c r="E226" s="364">
        <v>7432</v>
      </c>
      <c r="F226" s="332">
        <v>17713</v>
      </c>
      <c r="G226" s="364">
        <f t="shared" si="34"/>
        <v>99260</v>
      </c>
      <c r="H226" s="332">
        <f t="shared" si="35"/>
        <v>37516.196543209873</v>
      </c>
      <c r="I226" s="14">
        <f t="shared" si="36"/>
        <v>61743.803456790127</v>
      </c>
      <c r="J226" s="361">
        <f t="shared" si="31"/>
        <v>-45312.991198379372</v>
      </c>
      <c r="K226" s="19">
        <v>49736</v>
      </c>
      <c r="L226" s="14">
        <f t="shared" si="32"/>
        <v>4689.5245679012341</v>
      </c>
      <c r="M226" s="19">
        <f t="shared" si="42"/>
        <v>45046.475432098763</v>
      </c>
      <c r="N226" s="4">
        <f t="shared" si="33"/>
        <v>-33059.034761296825</v>
      </c>
      <c r="O226" s="147">
        <f t="shared" si="43"/>
        <v>-78372.02595967619</v>
      </c>
      <c r="P226" s="41">
        <f>O226/'D) Ecrêtage'!C227</f>
        <v>-5.9248820075340181</v>
      </c>
      <c r="Q226" s="143"/>
    </row>
    <row r="227" spans="1:17" x14ac:dyDescent="0.25">
      <c r="A227" s="57">
        <f>+'A) Base RI'!A229</f>
        <v>5760</v>
      </c>
      <c r="B227" s="350" t="str">
        <f>+'A) Base RI'!B229</f>
        <v>Rances</v>
      </c>
      <c r="C227" s="364">
        <f>+'D) Ecrêtage'!M227</f>
        <v>13227.609572649571</v>
      </c>
      <c r="D227" s="332">
        <v>92786</v>
      </c>
      <c r="E227" s="364">
        <v>27720</v>
      </c>
      <c r="F227" s="332">
        <v>47680</v>
      </c>
      <c r="G227" s="364">
        <f t="shared" si="34"/>
        <v>168186</v>
      </c>
      <c r="H227" s="332">
        <f t="shared" si="35"/>
        <v>105820.87658119657</v>
      </c>
      <c r="I227" s="14">
        <f t="shared" si="36"/>
        <v>62365.123418803429</v>
      </c>
      <c r="J227" s="361">
        <f t="shared" si="31"/>
        <v>-45768.970007488351</v>
      </c>
      <c r="K227" s="19">
        <v>105804</v>
      </c>
      <c r="L227" s="14">
        <f t="shared" si="32"/>
        <v>13227.609572649571</v>
      </c>
      <c r="M227" s="19">
        <f t="shared" si="42"/>
        <v>92576.39042735043</v>
      </c>
      <c r="N227" s="4">
        <f t="shared" si="33"/>
        <v>-67940.634197372841</v>
      </c>
      <c r="O227" s="147">
        <f t="shared" si="43"/>
        <v>-113709.60420486119</v>
      </c>
      <c r="P227" s="41">
        <f>O227/'D) Ecrêtage'!C228</f>
        <v>-9.3465718501819897</v>
      </c>
      <c r="Q227" s="143"/>
    </row>
    <row r="228" spans="1:17" x14ac:dyDescent="0.25">
      <c r="A228" s="57">
        <f>+'A) Base RI'!A230</f>
        <v>5761</v>
      </c>
      <c r="B228" s="350" t="str">
        <f>+'A) Base RI'!B230</f>
        <v>Romainmôtier-Envy</v>
      </c>
      <c r="C228" s="364">
        <f>+'D) Ecrêtage'!M228</f>
        <v>12165.915592105261</v>
      </c>
      <c r="D228" s="332">
        <v>72324</v>
      </c>
      <c r="E228" s="364">
        <v>42182</v>
      </c>
      <c r="F228" s="332">
        <v>49624</v>
      </c>
      <c r="G228" s="364">
        <f t="shared" si="34"/>
        <v>164130</v>
      </c>
      <c r="H228" s="332">
        <f t="shared" si="35"/>
        <v>97327.324736842085</v>
      </c>
      <c r="I228" s="14">
        <f t="shared" si="36"/>
        <v>66802.675263157915</v>
      </c>
      <c r="J228" s="361">
        <f t="shared" si="31"/>
        <v>-49025.63280453012</v>
      </c>
      <c r="K228" s="19">
        <v>1913</v>
      </c>
      <c r="L228" s="14">
        <f t="shared" si="32"/>
        <v>12165.915592105261</v>
      </c>
      <c r="M228" s="19">
        <f t="shared" si="42"/>
        <v>0</v>
      </c>
      <c r="N228" s="4">
        <f t="shared" si="33"/>
        <v>0</v>
      </c>
      <c r="O228" s="147">
        <f t="shared" si="43"/>
        <v>-49025.63280453012</v>
      </c>
      <c r="P228" s="41">
        <f>O228/'D) Ecrêtage'!C229</f>
        <v>-13.669306738162739</v>
      </c>
      <c r="Q228" s="143"/>
    </row>
    <row r="229" spans="1:17" x14ac:dyDescent="0.25">
      <c r="A229" s="57">
        <f>+'A) Base RI'!A231</f>
        <v>5762</v>
      </c>
      <c r="B229" s="350" t="str">
        <f>+'A) Base RI'!B231</f>
        <v>Sergey</v>
      </c>
      <c r="C229" s="364">
        <f>+'D) Ecrêtage'!M229</f>
        <v>3586.5485897435897</v>
      </c>
      <c r="D229" s="332">
        <v>42459</v>
      </c>
      <c r="E229" s="364">
        <v>5785</v>
      </c>
      <c r="F229" s="332">
        <v>15533</v>
      </c>
      <c r="G229" s="364">
        <f t="shared" si="34"/>
        <v>63777</v>
      </c>
      <c r="H229" s="332">
        <f t="shared" si="35"/>
        <v>28692.388717948717</v>
      </c>
      <c r="I229" s="14">
        <f t="shared" si="36"/>
        <v>35084.611282051279</v>
      </c>
      <c r="J229" s="361">
        <f t="shared" si="31"/>
        <v>-25748.14950191278</v>
      </c>
      <c r="K229" s="19">
        <v>5978</v>
      </c>
      <c r="L229" s="14">
        <f t="shared" si="32"/>
        <v>3586.5485897435897</v>
      </c>
      <c r="M229" s="19">
        <f t="shared" si="42"/>
        <v>2391.4514102564103</v>
      </c>
      <c r="N229" s="4">
        <f t="shared" si="33"/>
        <v>-1755.055740615921</v>
      </c>
      <c r="O229" s="147">
        <f t="shared" si="43"/>
        <v>-27503.2052425287</v>
      </c>
      <c r="P229" s="41">
        <f>O229/'D) Ecrêtage'!C230</f>
        <v>-1.7097762273871893</v>
      </c>
      <c r="Q229" s="143"/>
    </row>
    <row r="230" spans="1:17" x14ac:dyDescent="0.25">
      <c r="A230" s="57">
        <f>+'A) Base RI'!A232</f>
        <v>5763</v>
      </c>
      <c r="B230" s="350" t="str">
        <f>+'A) Base RI'!B232</f>
        <v>Valeyres-sous-Rances</v>
      </c>
      <c r="C230" s="364">
        <f>+'D) Ecrêtage'!M230</f>
        <v>16085.850769230768</v>
      </c>
      <c r="D230" s="332">
        <v>178858</v>
      </c>
      <c r="E230" s="364">
        <v>36156</v>
      </c>
      <c r="F230" s="332">
        <v>67366</v>
      </c>
      <c r="G230" s="364">
        <f t="shared" si="34"/>
        <v>282380</v>
      </c>
      <c r="H230" s="332">
        <f t="shared" si="35"/>
        <v>128686.80615384615</v>
      </c>
      <c r="I230" s="14">
        <f t="shared" si="36"/>
        <v>153693.19384615385</v>
      </c>
      <c r="J230" s="361">
        <f t="shared" si="31"/>
        <v>-112793.47805120843</v>
      </c>
      <c r="K230" s="19">
        <v>49463</v>
      </c>
      <c r="L230" s="14">
        <f t="shared" si="32"/>
        <v>16085.850769230768</v>
      </c>
      <c r="M230" s="19">
        <f t="shared" si="42"/>
        <v>33377.149230769232</v>
      </c>
      <c r="N230" s="4">
        <f t="shared" si="33"/>
        <v>-24495.064842891799</v>
      </c>
      <c r="O230" s="147">
        <f t="shared" si="43"/>
        <v>-137288.54289410022</v>
      </c>
      <c r="P230" s="41">
        <f>O230/'D) Ecrêtage'!C231</f>
        <v>-1.6244548721602519</v>
      </c>
      <c r="Q230" s="143"/>
    </row>
    <row r="231" spans="1:17" x14ac:dyDescent="0.25">
      <c r="A231" s="57">
        <f>+'A) Base RI'!A233</f>
        <v>5764</v>
      </c>
      <c r="B231" s="350" t="str">
        <f>+'A) Base RI'!B233</f>
        <v>Vallorbe</v>
      </c>
      <c r="C231" s="364">
        <f>+'D) Ecrêtage'!M231</f>
        <v>84513.608378378369</v>
      </c>
      <c r="D231" s="332">
        <v>1624377</v>
      </c>
      <c r="E231" s="364">
        <v>366586</v>
      </c>
      <c r="F231" s="332">
        <v>386922</v>
      </c>
      <c r="G231" s="364">
        <f t="shared" si="34"/>
        <v>2377885</v>
      </c>
      <c r="H231" s="332">
        <f t="shared" si="35"/>
        <v>676108.86702702695</v>
      </c>
      <c r="I231" s="14">
        <f t="shared" si="36"/>
        <v>1701776.1329729729</v>
      </c>
      <c r="J231" s="361">
        <f t="shared" si="31"/>
        <v>-1248911.8359704181</v>
      </c>
      <c r="K231" s="19">
        <v>736484</v>
      </c>
      <c r="L231" s="14">
        <f t="shared" si="32"/>
        <v>84513.608378378369</v>
      </c>
      <c r="M231" s="19">
        <f t="shared" si="42"/>
        <v>651970.39162162167</v>
      </c>
      <c r="N231" s="4">
        <f t="shared" si="33"/>
        <v>-478472.76913916139</v>
      </c>
      <c r="O231" s="147">
        <f t="shared" si="43"/>
        <v>-1727384.6051095794</v>
      </c>
      <c r="P231" s="41">
        <f>O231/'D) Ecrêtage'!C232</f>
        <v>-169.36758554782995</v>
      </c>
      <c r="Q231" s="143"/>
    </row>
    <row r="232" spans="1:17" x14ac:dyDescent="0.25">
      <c r="A232" s="57">
        <f>+'A) Base RI'!A234</f>
        <v>5765</v>
      </c>
      <c r="B232" s="350" t="str">
        <f>+'A) Base RI'!B234</f>
        <v>Vaulion</v>
      </c>
      <c r="C232" s="364">
        <f>+'D) Ecrêtage'!M232</f>
        <v>10199.027160493826</v>
      </c>
      <c r="D232" s="332">
        <v>162572</v>
      </c>
      <c r="E232" s="364">
        <v>19725</v>
      </c>
      <c r="F232" s="332">
        <v>51420</v>
      </c>
      <c r="G232" s="364">
        <f t="shared" si="34"/>
        <v>233717</v>
      </c>
      <c r="H232" s="332">
        <f t="shared" si="35"/>
        <v>81592.217283950609</v>
      </c>
      <c r="I232" s="14">
        <f t="shared" si="36"/>
        <v>152124.78271604941</v>
      </c>
      <c r="J232" s="361">
        <f t="shared" si="31"/>
        <v>-111642.44109276126</v>
      </c>
      <c r="K232" s="19">
        <v>54849</v>
      </c>
      <c r="L232" s="14">
        <f t="shared" si="32"/>
        <v>10199.027160493826</v>
      </c>
      <c r="M232" s="19">
        <f t="shared" si="42"/>
        <v>44649.972839506176</v>
      </c>
      <c r="N232" s="4">
        <f t="shared" si="33"/>
        <v>-32768.046557098227</v>
      </c>
      <c r="O232" s="147">
        <f t="shared" si="43"/>
        <v>-144410.48764985948</v>
      </c>
      <c r="P232" s="41">
        <f>O232/'D) Ecrêtage'!C233</f>
        <v>-11.088062407492094</v>
      </c>
      <c r="Q232" s="143"/>
    </row>
    <row r="233" spans="1:17" x14ac:dyDescent="0.25">
      <c r="A233" s="57">
        <f>+'A) Base RI'!A235</f>
        <v>5766</v>
      </c>
      <c r="B233" s="350" t="str">
        <f>+'A) Base RI'!B235</f>
        <v>Vuiteboeuf</v>
      </c>
      <c r="C233" s="364">
        <f>+'D) Ecrêtage'!M233</f>
        <v>13023.960575139146</v>
      </c>
      <c r="D233" s="332">
        <v>110409</v>
      </c>
      <c r="E233" s="364">
        <v>54034</v>
      </c>
      <c r="F233" s="332">
        <v>53143</v>
      </c>
      <c r="G233" s="364">
        <f t="shared" si="34"/>
        <v>217586</v>
      </c>
      <c r="H233" s="332">
        <f t="shared" si="35"/>
        <v>104191.68460111317</v>
      </c>
      <c r="I233" s="14">
        <f t="shared" si="36"/>
        <v>113394.31539888683</v>
      </c>
      <c r="J233" s="361">
        <f t="shared" si="31"/>
        <v>-83218.644267871845</v>
      </c>
      <c r="K233" s="19">
        <v>45204</v>
      </c>
      <c r="L233" s="14">
        <f t="shared" si="32"/>
        <v>13023.960575139146</v>
      </c>
      <c r="M233" s="19">
        <f t="shared" si="42"/>
        <v>32180.039424860854</v>
      </c>
      <c r="N233" s="4">
        <f t="shared" si="33"/>
        <v>-23616.521198644459</v>
      </c>
      <c r="O233" s="147">
        <f t="shared" si="43"/>
        <v>-106835.16546651631</v>
      </c>
      <c r="P233" s="41">
        <f>O233/'D) Ecrêtage'!C234</f>
        <v>-8.7033139224619784</v>
      </c>
      <c r="Q233" s="143"/>
    </row>
    <row r="234" spans="1:17" x14ac:dyDescent="0.25">
      <c r="A234" s="57">
        <f>+'A) Base RI'!A236</f>
        <v>5785</v>
      </c>
      <c r="B234" s="350" t="str">
        <f>+'A) Base RI'!B236</f>
        <v>Corcelles-le-Jorat</v>
      </c>
      <c r="C234" s="364">
        <f>+'D) Ecrêtage'!M234</f>
        <v>12275.22831168831</v>
      </c>
      <c r="D234" s="332">
        <v>90957</v>
      </c>
      <c r="E234" s="364">
        <v>13402</v>
      </c>
      <c r="F234" s="332">
        <v>50126</v>
      </c>
      <c r="G234" s="364">
        <f t="shared" si="34"/>
        <v>154485</v>
      </c>
      <c r="H234" s="332">
        <f t="shared" si="35"/>
        <v>98201.82649350648</v>
      </c>
      <c r="I234" s="14">
        <f t="shared" si="36"/>
        <v>56283.17350649352</v>
      </c>
      <c r="J234" s="361">
        <f t="shared" si="31"/>
        <v>-41305.504405821157</v>
      </c>
      <c r="K234" s="19">
        <v>29053</v>
      </c>
      <c r="L234" s="14">
        <f t="shared" si="32"/>
        <v>12275.22831168831</v>
      </c>
      <c r="M234" s="19">
        <f t="shared" si="42"/>
        <v>16777.771688311688</v>
      </c>
      <c r="N234" s="4">
        <f t="shared" si="33"/>
        <v>-12312.993017557284</v>
      </c>
      <c r="O234" s="147">
        <f t="shared" si="43"/>
        <v>-53618.497423378445</v>
      </c>
      <c r="P234" s="41">
        <f>O234/'D) Ecrêtage'!C235</f>
        <v>-5.5487222298237935</v>
      </c>
      <c r="Q234" s="143"/>
    </row>
    <row r="235" spans="1:17" x14ac:dyDescent="0.25">
      <c r="A235" s="57">
        <f>+'A) Base RI'!A237</f>
        <v>5788</v>
      </c>
      <c r="B235" s="350" t="str">
        <f>+'A) Base RI'!B237</f>
        <v>Essertes</v>
      </c>
      <c r="C235" s="364">
        <f>+'D) Ecrêtage'!M235</f>
        <v>9663.2152777777756</v>
      </c>
      <c r="D235" s="332">
        <v>65492</v>
      </c>
      <c r="E235" s="364">
        <v>15757</v>
      </c>
      <c r="F235" s="332">
        <v>0</v>
      </c>
      <c r="G235" s="364">
        <f t="shared" si="34"/>
        <v>81249</v>
      </c>
      <c r="H235" s="332">
        <f t="shared" si="35"/>
        <v>77305.722222222204</v>
      </c>
      <c r="I235" s="14">
        <f t="shared" si="36"/>
        <v>3943.2777777777956</v>
      </c>
      <c r="J235" s="361">
        <f t="shared" si="31"/>
        <v>-2893.9213529703625</v>
      </c>
      <c r="K235" s="19">
        <v>4625</v>
      </c>
      <c r="L235" s="14">
        <f t="shared" si="32"/>
        <v>9663.2152777777756</v>
      </c>
      <c r="M235" s="19">
        <f t="shared" si="42"/>
        <v>0</v>
      </c>
      <c r="N235" s="4">
        <f t="shared" si="33"/>
        <v>0</v>
      </c>
      <c r="O235" s="147">
        <f t="shared" si="43"/>
        <v>-2893.9213529703625</v>
      </c>
      <c r="P235" s="41">
        <f>O235/'D) Ecrêtage'!C236</f>
        <v>-0.23960770702464948</v>
      </c>
      <c r="Q235" s="143"/>
    </row>
    <row r="236" spans="1:17" x14ac:dyDescent="0.25">
      <c r="A236" s="57">
        <f>+'A) Base RI'!A238</f>
        <v>5790</v>
      </c>
      <c r="B236" s="350" t="str">
        <f>+'A) Base RI'!B238</f>
        <v>Maracon</v>
      </c>
      <c r="C236" s="364">
        <f>+'D) Ecrêtage'!M236</f>
        <v>12077.747368421051</v>
      </c>
      <c r="D236" s="332">
        <v>134140</v>
      </c>
      <c r="E236" s="364">
        <v>14134</v>
      </c>
      <c r="F236" s="332">
        <v>52513</v>
      </c>
      <c r="G236" s="364">
        <f t="shared" si="34"/>
        <v>200787</v>
      </c>
      <c r="H236" s="332">
        <f t="shared" si="35"/>
        <v>96621.978947368407</v>
      </c>
      <c r="I236" s="14">
        <f t="shared" si="36"/>
        <v>104165.02105263159</v>
      </c>
      <c r="J236" s="361">
        <f t="shared" si="31"/>
        <v>-76445.382659979674</v>
      </c>
      <c r="K236" s="19">
        <v>20345</v>
      </c>
      <c r="L236" s="14">
        <f t="shared" si="32"/>
        <v>12077.747368421051</v>
      </c>
      <c r="M236" s="19">
        <f t="shared" si="42"/>
        <v>8267.2526315789491</v>
      </c>
      <c r="N236" s="4">
        <f t="shared" si="33"/>
        <v>-6067.2314427743331</v>
      </c>
      <c r="O236" s="147">
        <f t="shared" si="43"/>
        <v>-82512.614102754014</v>
      </c>
      <c r="P236" s="41">
        <f>O236/'D) Ecrêtage'!C237</f>
        <v>-5.2653499201227509</v>
      </c>
      <c r="Q236" s="143"/>
    </row>
    <row r="237" spans="1:17" x14ac:dyDescent="0.25">
      <c r="A237" s="57">
        <f>+'A) Base RI'!A239</f>
        <v>5792</v>
      </c>
      <c r="B237" s="350" t="str">
        <f>+'A) Base RI'!B239</f>
        <v>Montpreveyres</v>
      </c>
      <c r="C237" s="364">
        <f>+'D) Ecrêtage'!M237</f>
        <v>15670.869999999999</v>
      </c>
      <c r="D237" s="332">
        <v>201397</v>
      </c>
      <c r="E237" s="364">
        <v>29987</v>
      </c>
      <c r="F237" s="332">
        <v>81531</v>
      </c>
      <c r="G237" s="364">
        <f t="shared" si="34"/>
        <v>312915</v>
      </c>
      <c r="H237" s="332">
        <f t="shared" si="35"/>
        <v>125366.95999999999</v>
      </c>
      <c r="I237" s="14">
        <f t="shared" si="36"/>
        <v>187548.04</v>
      </c>
      <c r="J237" s="361">
        <f t="shared" si="31"/>
        <v>-137639.11858362713</v>
      </c>
      <c r="K237" s="19">
        <v>29840</v>
      </c>
      <c r="L237" s="14">
        <f t="shared" si="32"/>
        <v>15670.869999999999</v>
      </c>
      <c r="M237" s="19">
        <f t="shared" si="42"/>
        <v>14169.130000000001</v>
      </c>
      <c r="N237" s="4">
        <f t="shared" si="33"/>
        <v>-10398.544097271444</v>
      </c>
      <c r="O237" s="147">
        <f t="shared" si="43"/>
        <v>-148037.66268089859</v>
      </c>
      <c r="P237" s="41">
        <f>O237/'D) Ecrêtage'!C238</f>
        <v>-13.492325781501005</v>
      </c>
      <c r="Q237" s="143"/>
    </row>
    <row r="238" spans="1:17" x14ac:dyDescent="0.25">
      <c r="A238" s="57">
        <f>+'A) Base RI'!A240</f>
        <v>5798</v>
      </c>
      <c r="B238" s="350" t="str">
        <f>+'A) Base RI'!B240</f>
        <v>Ropraz</v>
      </c>
      <c r="C238" s="364">
        <f>+'D) Ecrêtage'!M238</f>
        <v>10971.989935483871</v>
      </c>
      <c r="D238" s="332">
        <v>121114</v>
      </c>
      <c r="E238" s="364">
        <v>12893</v>
      </c>
      <c r="F238" s="332">
        <v>48954</v>
      </c>
      <c r="G238" s="364">
        <f t="shared" si="34"/>
        <v>182961</v>
      </c>
      <c r="H238" s="332">
        <f t="shared" si="35"/>
        <v>87775.919483870966</v>
      </c>
      <c r="I238" s="14">
        <f t="shared" si="36"/>
        <v>95185.080516129034</v>
      </c>
      <c r="J238" s="361">
        <f t="shared" si="31"/>
        <v>-69855.118638145083</v>
      </c>
      <c r="K238" s="19">
        <v>18443</v>
      </c>
      <c r="L238" s="14">
        <f t="shared" si="32"/>
        <v>10971.989935483871</v>
      </c>
      <c r="M238" s="19">
        <f t="shared" si="42"/>
        <v>7471.0100645161292</v>
      </c>
      <c r="N238" s="4">
        <f t="shared" si="33"/>
        <v>-5482.8791610373919</v>
      </c>
      <c r="O238" s="147">
        <f t="shared" si="43"/>
        <v>-75337.997799182471</v>
      </c>
      <c r="P238" s="41">
        <f>O238/'D) Ecrêtage'!C239</f>
        <v>-1.2432288159783684</v>
      </c>
      <c r="Q238" s="143"/>
    </row>
    <row r="239" spans="1:17" x14ac:dyDescent="0.25">
      <c r="A239" s="57">
        <f>+'A) Base RI'!A241</f>
        <v>5799</v>
      </c>
      <c r="B239" s="350" t="str">
        <f>+'A) Base RI'!B241</f>
        <v>Servion</v>
      </c>
      <c r="C239" s="364">
        <f>+'D) Ecrêtage'!M239</f>
        <v>60598.657971014502</v>
      </c>
      <c r="D239" s="332">
        <v>481204</v>
      </c>
      <c r="E239" s="364">
        <v>91107</v>
      </c>
      <c r="F239" s="332">
        <v>235683</v>
      </c>
      <c r="G239" s="364">
        <f t="shared" si="34"/>
        <v>807994</v>
      </c>
      <c r="H239" s="332">
        <f t="shared" si="35"/>
        <v>484789.26376811601</v>
      </c>
      <c r="I239" s="14">
        <f t="shared" si="36"/>
        <v>323204.73623188399</v>
      </c>
      <c r="J239" s="361">
        <f t="shared" si="31"/>
        <v>-237195.84068705919</v>
      </c>
      <c r="K239" s="19">
        <v>85013</v>
      </c>
      <c r="L239" s="14">
        <f t="shared" si="32"/>
        <v>60598.657971014502</v>
      </c>
      <c r="M239" s="19">
        <f t="shared" si="42"/>
        <v>24414.342028985498</v>
      </c>
      <c r="N239" s="4">
        <f t="shared" si="33"/>
        <v>-17917.374757255617</v>
      </c>
      <c r="O239" s="147">
        <f t="shared" si="43"/>
        <v>-255113.21544431482</v>
      </c>
      <c r="P239" s="41">
        <f>O239/'D) Ecrêtage'!C240</f>
        <v>-17.946653427682623</v>
      </c>
      <c r="Q239" s="143"/>
    </row>
    <row r="240" spans="1:17" x14ac:dyDescent="0.25">
      <c r="A240" s="57">
        <f>+'A) Base RI'!A242</f>
        <v>5803</v>
      </c>
      <c r="B240" s="350" t="str">
        <f>+'A) Base RI'!B242</f>
        <v>Vulliens</v>
      </c>
      <c r="C240" s="364">
        <f>+'D) Ecrêtage'!M240</f>
        <v>14215.08564102564</v>
      </c>
      <c r="D240" s="332">
        <v>125828</v>
      </c>
      <c r="E240" s="364">
        <v>14707</v>
      </c>
      <c r="F240" s="332">
        <v>54847</v>
      </c>
      <c r="G240" s="364">
        <f t="shared" si="34"/>
        <v>195382</v>
      </c>
      <c r="H240" s="332">
        <f t="shared" si="35"/>
        <v>113720.68512820512</v>
      </c>
      <c r="I240" s="14">
        <f t="shared" si="36"/>
        <v>81661.314871794879</v>
      </c>
      <c r="J240" s="361">
        <f t="shared" si="31"/>
        <v>-59930.199224336808</v>
      </c>
      <c r="K240" s="19">
        <v>34384</v>
      </c>
      <c r="L240" s="14">
        <f t="shared" si="32"/>
        <v>14215.08564102564</v>
      </c>
      <c r="M240" s="19">
        <f t="shared" si="42"/>
        <v>20168.914358974362</v>
      </c>
      <c r="N240" s="4">
        <f t="shared" si="33"/>
        <v>-14801.709445526021</v>
      </c>
      <c r="O240" s="147">
        <f t="shared" si="43"/>
        <v>-74731.908669862823</v>
      </c>
      <c r="P240" s="41">
        <f>O240/'D) Ecrêtage'!C241</f>
        <v>-1.5391342011218669</v>
      </c>
      <c r="Q240" s="143"/>
    </row>
    <row r="241" spans="1:17" x14ac:dyDescent="0.25">
      <c r="A241" s="57">
        <f>+'A) Base RI'!A243</f>
        <v>5804</v>
      </c>
      <c r="B241" s="350" t="str">
        <f>+'A) Base RI'!B243</f>
        <v>Jorat-Menthue</v>
      </c>
      <c r="C241" s="364">
        <f>+'D) Ecrêtage'!M241</f>
        <v>48554.511111111118</v>
      </c>
      <c r="D241" s="332">
        <v>1446353</v>
      </c>
      <c r="E241" s="364">
        <v>48323</v>
      </c>
      <c r="F241" s="332">
        <v>149317</v>
      </c>
      <c r="G241" s="364">
        <f t="shared" si="34"/>
        <v>1643993</v>
      </c>
      <c r="H241" s="332">
        <f t="shared" si="35"/>
        <v>388436.08888888895</v>
      </c>
      <c r="I241" s="14">
        <f t="shared" si="36"/>
        <v>1255556.9111111111</v>
      </c>
      <c r="J241" s="361">
        <f t="shared" si="31"/>
        <v>-921437.23057257652</v>
      </c>
      <c r="K241" s="19">
        <v>142172</v>
      </c>
      <c r="L241" s="14">
        <f t="shared" si="32"/>
        <v>48554.511111111118</v>
      </c>
      <c r="M241" s="19">
        <f>IF(K241&gt;L241,K241-L241,0)</f>
        <v>93617.488888888882</v>
      </c>
      <c r="N241" s="4">
        <f t="shared" si="33"/>
        <v>-68704.683102415627</v>
      </c>
      <c r="O241" s="147">
        <f>N241+J241</f>
        <v>-990141.91367499216</v>
      </c>
      <c r="P241" s="41">
        <f>O241/'D) Ecrêtage'!C242</f>
        <v>-6.7308852678425835</v>
      </c>
      <c r="Q241" s="143"/>
    </row>
    <row r="242" spans="1:17" x14ac:dyDescent="0.25">
      <c r="A242" s="57">
        <f>+'A) Base RI'!A244</f>
        <v>5805</v>
      </c>
      <c r="B242" s="350" t="str">
        <f>+'A) Base RI'!B244</f>
        <v>Oron</v>
      </c>
      <c r="C242" s="364">
        <f>+'D) Ecrêtage'!M242</f>
        <v>147104.2625559947</v>
      </c>
      <c r="D242" s="332">
        <v>1372019</v>
      </c>
      <c r="E242" s="364">
        <v>421555</v>
      </c>
      <c r="F242" s="332">
        <v>613913</v>
      </c>
      <c r="G242" s="364">
        <f t="shared" si="34"/>
        <v>2407487</v>
      </c>
      <c r="H242" s="332">
        <f t="shared" si="35"/>
        <v>1176834.1004479576</v>
      </c>
      <c r="I242" s="14">
        <f t="shared" si="36"/>
        <v>1230652.8995520424</v>
      </c>
      <c r="J242" s="361">
        <f t="shared" si="31"/>
        <v>-903160.49358195439</v>
      </c>
      <c r="K242" s="19">
        <v>67204</v>
      </c>
      <c r="L242" s="14">
        <f t="shared" si="32"/>
        <v>147104.2625559947</v>
      </c>
      <c r="M242" s="19">
        <f>IF(K242&gt;L242,K242-L242,0)</f>
        <v>0</v>
      </c>
      <c r="N242" s="4">
        <f t="shared" si="33"/>
        <v>0</v>
      </c>
      <c r="O242" s="147">
        <f>N242+J242</f>
        <v>-903160.49358195439</v>
      </c>
      <c r="P242" s="41"/>
      <c r="Q242" s="143"/>
    </row>
    <row r="243" spans="1:17" x14ac:dyDescent="0.25">
      <c r="A243" s="57">
        <f>+'A) Base RI'!A245</f>
        <v>5806</v>
      </c>
      <c r="B243" s="350" t="str">
        <f>+'A) Base RI'!B245</f>
        <v>Jorat-Mézières</v>
      </c>
      <c r="C243" s="364">
        <f>+'D) Ecrêtage'!M243</f>
        <v>90980.17</v>
      </c>
      <c r="D243" s="332">
        <v>592435</v>
      </c>
      <c r="E243" s="364">
        <v>131551</v>
      </c>
      <c r="F243" s="332">
        <v>366109</v>
      </c>
      <c r="G243" s="364">
        <f t="shared" si="34"/>
        <v>1090095</v>
      </c>
      <c r="H243" s="332">
        <f t="shared" si="35"/>
        <v>727841.36</v>
      </c>
      <c r="I243" s="14">
        <f t="shared" si="36"/>
        <v>362253.64</v>
      </c>
      <c r="J243" s="361">
        <f t="shared" ref="J243" si="44">-I243*J$4</f>
        <v>-265853.33396878245</v>
      </c>
      <c r="K243" s="19">
        <v>40139</v>
      </c>
      <c r="L243" s="14">
        <f t="shared" ref="L243" si="45">C243*M$4</f>
        <v>90980.17</v>
      </c>
      <c r="M243" s="19">
        <f>IF(K243&gt;L243,K243-L243,0)</f>
        <v>0</v>
      </c>
      <c r="N243" s="4">
        <f t="shared" ref="N243" si="46">-M243*N$4</f>
        <v>0</v>
      </c>
      <c r="O243" s="147">
        <f>N243+J243</f>
        <v>-265853.33396878245</v>
      </c>
      <c r="P243" s="41">
        <f>O243/'D) Ecrêtage'!C243</f>
        <v>-2.9221019697894879</v>
      </c>
      <c r="Q243" s="143"/>
    </row>
    <row r="244" spans="1:17" x14ac:dyDescent="0.25">
      <c r="A244" s="57">
        <f>+'A) Base RI'!A246</f>
        <v>5812</v>
      </c>
      <c r="B244" s="350" t="str">
        <f>+'A) Base RI'!B246</f>
        <v>Champtauroz</v>
      </c>
      <c r="C244" s="364">
        <f>+'D) Ecrêtage'!M244</f>
        <v>2326.5760389610391</v>
      </c>
      <c r="D244" s="332">
        <v>45553</v>
      </c>
      <c r="E244" s="364">
        <v>4069</v>
      </c>
      <c r="F244" s="332">
        <v>22678</v>
      </c>
      <c r="G244" s="364">
        <f t="shared" si="34"/>
        <v>72300</v>
      </c>
      <c r="H244" s="332">
        <f t="shared" si="35"/>
        <v>18612.608311688313</v>
      </c>
      <c r="I244" s="14">
        <f t="shared" si="36"/>
        <v>53687.391688311691</v>
      </c>
      <c r="J244" s="361">
        <f t="shared" si="31"/>
        <v>-39400.493180484154</v>
      </c>
      <c r="K244" s="19">
        <v>7341</v>
      </c>
      <c r="L244" s="14">
        <f t="shared" si="32"/>
        <v>2326.5760389610391</v>
      </c>
      <c r="M244" s="19">
        <f>IF(K244&gt;L244,K244-L244,0)</f>
        <v>5014.4239610389614</v>
      </c>
      <c r="N244" s="4">
        <f t="shared" si="33"/>
        <v>-3680.0218984001262</v>
      </c>
      <c r="O244" s="147">
        <f>N244+J244</f>
        <v>-43080.51507888428</v>
      </c>
      <c r="P244" s="41">
        <f>O244/'D) Ecrêtage'!C244</f>
        <v>-18.516701950615122</v>
      </c>
      <c r="Q244" s="143"/>
    </row>
    <row r="245" spans="1:17" x14ac:dyDescent="0.25">
      <c r="A245" s="57">
        <f>+'A) Base RI'!A247</f>
        <v>5813</v>
      </c>
      <c r="B245" s="350" t="str">
        <f>+'A) Base RI'!B247</f>
        <v>Chevroux</v>
      </c>
      <c r="C245" s="364">
        <f>+'D) Ecrêtage'!M245</f>
        <v>11503.329976190478</v>
      </c>
      <c r="D245" s="332">
        <v>95264</v>
      </c>
      <c r="E245" s="364">
        <v>19735</v>
      </c>
      <c r="F245" s="332">
        <v>27821</v>
      </c>
      <c r="G245" s="364">
        <f t="shared" si="34"/>
        <v>142820</v>
      </c>
      <c r="H245" s="332">
        <f t="shared" si="35"/>
        <v>92026.639809523826</v>
      </c>
      <c r="I245" s="14">
        <f t="shared" si="36"/>
        <v>50793.360190476174</v>
      </c>
      <c r="J245" s="361">
        <f t="shared" si="31"/>
        <v>-37276.600312740324</v>
      </c>
      <c r="K245" s="19">
        <v>6777</v>
      </c>
      <c r="L245" s="14">
        <f t="shared" si="32"/>
        <v>11503.329976190478</v>
      </c>
      <c r="M245" s="19">
        <f t="shared" si="42"/>
        <v>0</v>
      </c>
      <c r="N245" s="4">
        <f t="shared" si="33"/>
        <v>0</v>
      </c>
      <c r="O245" s="147">
        <f t="shared" si="43"/>
        <v>-37276.600312740324</v>
      </c>
      <c r="P245" s="41">
        <f>O245/'D) Ecrêtage'!C245</f>
        <v>-3.2405051745794653</v>
      </c>
      <c r="Q245" s="143"/>
    </row>
    <row r="246" spans="1:17" x14ac:dyDescent="0.25">
      <c r="A246" s="57">
        <f>+'A) Base RI'!A248</f>
        <v>5816</v>
      </c>
      <c r="B246" s="350" t="str">
        <f>+'A) Base RI'!B248</f>
        <v>Corcelles-près-Payerne</v>
      </c>
      <c r="C246" s="364">
        <f>+'D) Ecrêtage'!M246</f>
        <v>56641.066845238092</v>
      </c>
      <c r="D246" s="332">
        <v>547247</v>
      </c>
      <c r="E246" s="364">
        <v>170502</v>
      </c>
      <c r="F246" s="332">
        <v>177289</v>
      </c>
      <c r="G246" s="364">
        <f t="shared" si="34"/>
        <v>895038</v>
      </c>
      <c r="H246" s="332">
        <f t="shared" si="35"/>
        <v>453128.53476190474</v>
      </c>
      <c r="I246" s="14">
        <f t="shared" si="36"/>
        <v>441909.46523809526</v>
      </c>
      <c r="J246" s="361">
        <f t="shared" si="31"/>
        <v>-324311.72988602513</v>
      </c>
      <c r="K246" s="19">
        <v>37381</v>
      </c>
      <c r="L246" s="14">
        <f t="shared" si="32"/>
        <v>56641.066845238092</v>
      </c>
      <c r="M246" s="19">
        <f t="shared" si="42"/>
        <v>0</v>
      </c>
      <c r="N246" s="4">
        <f t="shared" si="33"/>
        <v>0</v>
      </c>
      <c r="O246" s="147">
        <f t="shared" si="43"/>
        <v>-324311.72988602513</v>
      </c>
      <c r="P246" s="41">
        <f>O246/'D) Ecrêtage'!C246</f>
        <v>-5.7257348413325406</v>
      </c>
      <c r="Q246" s="143"/>
    </row>
    <row r="247" spans="1:17" x14ac:dyDescent="0.25">
      <c r="A247" s="57">
        <f>+'A) Base RI'!A249</f>
        <v>5817</v>
      </c>
      <c r="B247" s="350" t="str">
        <f>+'A) Base RI'!B249</f>
        <v>Grandcour</v>
      </c>
      <c r="C247" s="364">
        <f>+'D) Ecrêtage'!M247</f>
        <v>20990.550314465407</v>
      </c>
      <c r="D247" s="332">
        <v>175574</v>
      </c>
      <c r="E247" s="364">
        <v>26191</v>
      </c>
      <c r="F247" s="332">
        <v>67231</v>
      </c>
      <c r="G247" s="364">
        <f t="shared" si="34"/>
        <v>268996</v>
      </c>
      <c r="H247" s="332">
        <f t="shared" si="35"/>
        <v>167924.40251572325</v>
      </c>
      <c r="I247" s="14">
        <f t="shared" si="36"/>
        <v>101071.59748427675</v>
      </c>
      <c r="J247" s="361">
        <f t="shared" si="31"/>
        <v>-74175.158490459275</v>
      </c>
      <c r="K247" s="19">
        <v>63185</v>
      </c>
      <c r="L247" s="14">
        <f t="shared" si="32"/>
        <v>20990.550314465407</v>
      </c>
      <c r="M247" s="19">
        <f t="shared" si="42"/>
        <v>42194.449685534593</v>
      </c>
      <c r="N247" s="4">
        <f t="shared" si="33"/>
        <v>-30965.969379569011</v>
      </c>
      <c r="O247" s="147">
        <f t="shared" si="43"/>
        <v>-105141.12787002829</v>
      </c>
      <c r="P247" s="41">
        <f>O247/'D) Ecrêtage'!C247</f>
        <v>-5.0089743382083434</v>
      </c>
      <c r="Q247" s="143"/>
    </row>
    <row r="248" spans="1:17" x14ac:dyDescent="0.25">
      <c r="A248" s="57">
        <f>+'A) Base RI'!A250</f>
        <v>5819</v>
      </c>
      <c r="B248" s="350" t="str">
        <f>+'A) Base RI'!B250</f>
        <v>Henniez</v>
      </c>
      <c r="C248" s="364">
        <f>+'D) Ecrêtage'!M248</f>
        <v>14949.743880597016</v>
      </c>
      <c r="D248" s="332">
        <v>90504</v>
      </c>
      <c r="E248" s="364">
        <v>20745</v>
      </c>
      <c r="F248" s="332">
        <v>50080</v>
      </c>
      <c r="G248" s="364">
        <f t="shared" si="34"/>
        <v>161329</v>
      </c>
      <c r="H248" s="332">
        <f t="shared" si="35"/>
        <v>119597.95104477613</v>
      </c>
      <c r="I248" s="14">
        <f t="shared" si="36"/>
        <v>41731.048955223872</v>
      </c>
      <c r="J248" s="361">
        <f t="shared" si="31"/>
        <v>-30625.885483885661</v>
      </c>
      <c r="K248" s="19">
        <v>1323</v>
      </c>
      <c r="L248" s="14">
        <f t="shared" si="32"/>
        <v>14949.743880597016</v>
      </c>
      <c r="M248" s="19">
        <f t="shared" si="42"/>
        <v>0</v>
      </c>
      <c r="N248" s="4">
        <f t="shared" si="33"/>
        <v>0</v>
      </c>
      <c r="O248" s="147">
        <f t="shared" si="43"/>
        <v>-30625.885483885661</v>
      </c>
      <c r="P248" s="41">
        <f>O248/'D) Ecrêtage'!C248</f>
        <v>-2.0485893088532712</v>
      </c>
      <c r="Q248" s="143"/>
    </row>
    <row r="249" spans="1:17" x14ac:dyDescent="0.25">
      <c r="A249" s="57">
        <f>+'A) Base RI'!A251</f>
        <v>5821</v>
      </c>
      <c r="B249" s="350" t="str">
        <f>+'A) Base RI'!B251</f>
        <v>Missy</v>
      </c>
      <c r="C249" s="364">
        <f>+'D) Ecrêtage'!M249</f>
        <v>7776.2584722222218</v>
      </c>
      <c r="D249" s="332">
        <v>110816</v>
      </c>
      <c r="E249" s="364">
        <v>10709</v>
      </c>
      <c r="F249" s="332">
        <v>16191</v>
      </c>
      <c r="G249" s="364">
        <f t="shared" si="34"/>
        <v>137716</v>
      </c>
      <c r="H249" s="332">
        <f t="shared" si="35"/>
        <v>62210.067777777775</v>
      </c>
      <c r="I249" s="14">
        <f t="shared" si="36"/>
        <v>75505.932222222225</v>
      </c>
      <c r="J249" s="361">
        <f t="shared" si="31"/>
        <v>-55412.842271781446</v>
      </c>
      <c r="K249" s="19">
        <v>411</v>
      </c>
      <c r="L249" s="14">
        <f t="shared" si="32"/>
        <v>7776.2584722222218</v>
      </c>
      <c r="M249" s="19">
        <f t="shared" si="42"/>
        <v>0</v>
      </c>
      <c r="N249" s="4">
        <f t="shared" si="33"/>
        <v>0</v>
      </c>
      <c r="O249" s="147">
        <f t="shared" si="43"/>
        <v>-55412.842271781446</v>
      </c>
      <c r="P249" s="41">
        <f>O249/'D) Ecrêtage'!C249</f>
        <v>-7.1259002603531147</v>
      </c>
      <c r="Q249" s="143"/>
    </row>
    <row r="250" spans="1:17" x14ac:dyDescent="0.25">
      <c r="A250" s="57">
        <f>+'A) Base RI'!A252</f>
        <v>5822</v>
      </c>
      <c r="B250" s="350" t="str">
        <f>+'A) Base RI'!B252</f>
        <v>Payerne</v>
      </c>
      <c r="C250" s="364">
        <f>+'D) Ecrêtage'!M250</f>
        <v>231493.6713333333</v>
      </c>
      <c r="D250" s="332">
        <v>2259772</v>
      </c>
      <c r="E250" s="364">
        <v>711532</v>
      </c>
      <c r="F250" s="332">
        <v>652870</v>
      </c>
      <c r="G250" s="364">
        <f t="shared" si="34"/>
        <v>3624174</v>
      </c>
      <c r="H250" s="332">
        <f t="shared" si="35"/>
        <v>1851949.3706666664</v>
      </c>
      <c r="I250" s="14">
        <f t="shared" si="36"/>
        <v>1772224.6293333336</v>
      </c>
      <c r="J250" s="361">
        <f t="shared" si="31"/>
        <v>-1300613.0904574387</v>
      </c>
      <c r="K250" s="19">
        <v>150321</v>
      </c>
      <c r="L250" s="14">
        <f t="shared" si="32"/>
        <v>231493.6713333333</v>
      </c>
      <c r="M250" s="19">
        <f t="shared" si="42"/>
        <v>0</v>
      </c>
      <c r="N250" s="4">
        <f t="shared" si="33"/>
        <v>0</v>
      </c>
      <c r="O250" s="147">
        <f t="shared" si="43"/>
        <v>-1300613.0904574387</v>
      </c>
      <c r="P250" s="41">
        <f>O250/'D) Ecrêtage'!C250</f>
        <v>-5.6183526874246796</v>
      </c>
      <c r="Q250" s="143"/>
    </row>
    <row r="251" spans="1:17" x14ac:dyDescent="0.25">
      <c r="A251" s="57">
        <f>+'A) Base RI'!A253</f>
        <v>5827</v>
      </c>
      <c r="B251" s="350" t="str">
        <f>+'A) Base RI'!B253</f>
        <v>Trey</v>
      </c>
      <c r="C251" s="364">
        <f>+'D) Ecrêtage'!M251</f>
        <v>6204.9173749999991</v>
      </c>
      <c r="D251" s="332">
        <v>81850</v>
      </c>
      <c r="E251" s="364">
        <v>7802</v>
      </c>
      <c r="F251" s="332">
        <v>18651</v>
      </c>
      <c r="G251" s="364">
        <f t="shared" si="34"/>
        <v>108303</v>
      </c>
      <c r="H251" s="332">
        <f t="shared" si="35"/>
        <v>49639.338999999993</v>
      </c>
      <c r="I251" s="14">
        <f t="shared" si="36"/>
        <v>58663.661000000007</v>
      </c>
      <c r="J251" s="361">
        <f t="shared" si="31"/>
        <v>-43052.513867533366</v>
      </c>
      <c r="K251" s="19">
        <v>13781</v>
      </c>
      <c r="L251" s="14">
        <f t="shared" si="32"/>
        <v>6204.9173749999991</v>
      </c>
      <c r="M251" s="19">
        <f t="shared" si="42"/>
        <v>7576.0826250000009</v>
      </c>
      <c r="N251" s="4">
        <f t="shared" si="33"/>
        <v>-5559.9905753306311</v>
      </c>
      <c r="O251" s="147">
        <f t="shared" si="43"/>
        <v>-48612.504442863996</v>
      </c>
      <c r="P251" s="41">
        <f>O251/'D) Ecrêtage'!C251</f>
        <v>-7.8345127750978314</v>
      </c>
      <c r="Q251" s="143"/>
    </row>
    <row r="252" spans="1:17" x14ac:dyDescent="0.25">
      <c r="A252" s="57">
        <f>+'A) Base RI'!A254</f>
        <v>5828</v>
      </c>
      <c r="B252" s="350" t="str">
        <f>+'A) Base RI'!B254</f>
        <v>Treytorrens (Payerne)</v>
      </c>
      <c r="C252" s="364">
        <f>+'D) Ecrêtage'!M252</f>
        <v>2352.5354761904764</v>
      </c>
      <c r="D252" s="332">
        <v>54866</v>
      </c>
      <c r="E252" s="364">
        <v>3794</v>
      </c>
      <c r="F252" s="332">
        <v>20320</v>
      </c>
      <c r="G252" s="364">
        <f t="shared" si="34"/>
        <v>78980</v>
      </c>
      <c r="H252" s="332">
        <f t="shared" si="35"/>
        <v>18820.283809523811</v>
      </c>
      <c r="I252" s="14">
        <f t="shared" si="36"/>
        <v>60159.716190476189</v>
      </c>
      <c r="J252" s="361">
        <f t="shared" si="31"/>
        <v>-44150.44972316589</v>
      </c>
      <c r="K252" s="19">
        <v>5866</v>
      </c>
      <c r="L252" s="14">
        <f t="shared" si="32"/>
        <v>2352.5354761904764</v>
      </c>
      <c r="M252" s="19">
        <f t="shared" si="42"/>
        <v>3513.4645238095236</v>
      </c>
      <c r="N252" s="4">
        <f t="shared" si="33"/>
        <v>-2578.486878519157</v>
      </c>
      <c r="O252" s="147">
        <f t="shared" si="43"/>
        <v>-46728.936601685047</v>
      </c>
      <c r="P252" s="41">
        <f>O252/'D) Ecrêtage'!C252</f>
        <v>-19.863222924635537</v>
      </c>
      <c r="Q252" s="143"/>
    </row>
    <row r="253" spans="1:17" x14ac:dyDescent="0.25">
      <c r="A253" s="57">
        <f>+'A) Base RI'!A255</f>
        <v>5830</v>
      </c>
      <c r="B253" s="350" t="str">
        <f>+'A) Base RI'!B255</f>
        <v>Villarzel</v>
      </c>
      <c r="C253" s="364">
        <f>+'D) Ecrêtage'!M253</f>
        <v>9737.3892405063307</v>
      </c>
      <c r="D253" s="332">
        <v>134514</v>
      </c>
      <c r="E253" s="364">
        <v>12697</v>
      </c>
      <c r="F253" s="332">
        <v>67580</v>
      </c>
      <c r="G253" s="364">
        <f t="shared" si="34"/>
        <v>214791</v>
      </c>
      <c r="H253" s="332">
        <f t="shared" si="35"/>
        <v>77899.113924050645</v>
      </c>
      <c r="I253" s="14">
        <f t="shared" si="36"/>
        <v>136891.88607594935</v>
      </c>
      <c r="J253" s="361">
        <f t="shared" si="31"/>
        <v>-100463.21220282531</v>
      </c>
      <c r="K253" s="19">
        <v>4681</v>
      </c>
      <c r="L253" s="14">
        <f t="shared" si="32"/>
        <v>9737.3892405063307</v>
      </c>
      <c r="M253" s="19">
        <f t="shared" si="42"/>
        <v>0</v>
      </c>
      <c r="N253" s="4">
        <f t="shared" si="33"/>
        <v>0</v>
      </c>
      <c r="O253" s="147">
        <f t="shared" si="43"/>
        <v>-100463.21220282531</v>
      </c>
      <c r="P253" s="41">
        <f>O253/'D) Ecrêtage'!C253</f>
        <v>-10.317263664978165</v>
      </c>
      <c r="Q253" s="143"/>
    </row>
    <row r="254" spans="1:17" x14ac:dyDescent="0.25">
      <c r="A254" s="57">
        <f>+'A) Base RI'!A256</f>
        <v>5831</v>
      </c>
      <c r="B254" s="350" t="str">
        <f>+'A) Base RI'!B256</f>
        <v>Valbroye</v>
      </c>
      <c r="C254" s="364">
        <f>+'D) Ecrêtage'!M254</f>
        <v>75142.69210045661</v>
      </c>
      <c r="D254" s="332">
        <v>1003966</v>
      </c>
      <c r="E254" s="364">
        <v>181134</v>
      </c>
      <c r="F254" s="332">
        <v>452154</v>
      </c>
      <c r="G254" s="364">
        <f t="shared" si="34"/>
        <v>1637254</v>
      </c>
      <c r="H254" s="332">
        <f t="shared" si="35"/>
        <v>601141.53680365288</v>
      </c>
      <c r="I254" s="14">
        <f t="shared" si="36"/>
        <v>1036112.4631963471</v>
      </c>
      <c r="J254" s="361">
        <f t="shared" ref="J254:J313" si="47">-I254*J$4</f>
        <v>-760389.74434420117</v>
      </c>
      <c r="K254" s="19">
        <v>105468</v>
      </c>
      <c r="L254" s="14">
        <f t="shared" ref="L254:L313" si="48">C254*M$4</f>
        <v>75142.69210045661</v>
      </c>
      <c r="M254" s="19">
        <f>IF(K254&gt;L254,K254-L254,0)</f>
        <v>30325.30789954339</v>
      </c>
      <c r="N254" s="4">
        <f t="shared" ref="N254:N313" si="49">-M254*N$4</f>
        <v>-22255.357347750778</v>
      </c>
      <c r="O254" s="147">
        <f>N254+J254</f>
        <v>-782645.10169195198</v>
      </c>
      <c r="P254" s="41">
        <f>O254/'D) Ecrêtage'!C254</f>
        <v>-10.415451986277667</v>
      </c>
      <c r="Q254" s="143"/>
    </row>
    <row r="255" spans="1:17" x14ac:dyDescent="0.25">
      <c r="A255" s="57">
        <f>+'A) Base RI'!A257</f>
        <v>5841</v>
      </c>
      <c r="B255" s="350" t="str">
        <f>+'A) Base RI'!B257</f>
        <v>Château-d'Oex</v>
      </c>
      <c r="C255" s="364">
        <f>+'D) Ecrêtage'!M255</f>
        <v>106457.35927710844</v>
      </c>
      <c r="D255" s="332">
        <v>2865731</v>
      </c>
      <c r="E255" s="364">
        <v>255807</v>
      </c>
      <c r="F255" s="332">
        <v>378794</v>
      </c>
      <c r="G255" s="364">
        <f t="shared" si="34"/>
        <v>3500332</v>
      </c>
      <c r="H255" s="332">
        <f t="shared" si="35"/>
        <v>851658.87421686749</v>
      </c>
      <c r="I255" s="14">
        <f t="shared" si="36"/>
        <v>2648673.1257831324</v>
      </c>
      <c r="J255" s="361">
        <f t="shared" si="47"/>
        <v>-1943827.4825422375</v>
      </c>
      <c r="K255" s="19">
        <v>23738</v>
      </c>
      <c r="L255" s="14">
        <f t="shared" si="48"/>
        <v>106457.35927710844</v>
      </c>
      <c r="M255" s="19">
        <f>IF(K255&gt;L255,K255-L255,0)</f>
        <v>0</v>
      </c>
      <c r="N255" s="4">
        <f t="shared" si="49"/>
        <v>0</v>
      </c>
      <c r="O255" s="147">
        <f>N255+J255</f>
        <v>-1943827.4825422375</v>
      </c>
      <c r="P255" s="41">
        <f>O255/'D) Ecrêtage'!C255</f>
        <v>-18.259211911150789</v>
      </c>
      <c r="Q255" s="143"/>
    </row>
    <row r="256" spans="1:17" x14ac:dyDescent="0.25">
      <c r="A256" s="57">
        <f>+'A) Base RI'!A258</f>
        <v>5842</v>
      </c>
      <c r="B256" s="350" t="str">
        <f>+'A) Base RI'!B258</f>
        <v>Rossinière</v>
      </c>
      <c r="C256" s="364">
        <f>+'D) Ecrêtage'!M256</f>
        <v>13519.399629629628</v>
      </c>
      <c r="D256" s="332">
        <v>270555</v>
      </c>
      <c r="E256" s="364">
        <v>42409</v>
      </c>
      <c r="F256" s="332">
        <v>70000</v>
      </c>
      <c r="G256" s="364">
        <f t="shared" si="34"/>
        <v>382964</v>
      </c>
      <c r="H256" s="332">
        <f t="shared" si="35"/>
        <v>108155.19703703703</v>
      </c>
      <c r="I256" s="14">
        <f t="shared" si="36"/>
        <v>274808.802962963</v>
      </c>
      <c r="J256" s="361">
        <f t="shared" si="47"/>
        <v>-201678.68146659323</v>
      </c>
      <c r="K256" s="19">
        <v>2745</v>
      </c>
      <c r="L256" s="14">
        <f t="shared" si="48"/>
        <v>13519.399629629628</v>
      </c>
      <c r="M256" s="19">
        <f t="shared" si="42"/>
        <v>0</v>
      </c>
      <c r="N256" s="4">
        <f t="shared" si="49"/>
        <v>0</v>
      </c>
      <c r="O256" s="147">
        <f t="shared" si="43"/>
        <v>-201678.68146659323</v>
      </c>
      <c r="P256" s="41">
        <f>O256/'D) Ecrêtage'!C256</f>
        <v>-14.917724676514968</v>
      </c>
      <c r="Q256" s="143"/>
    </row>
    <row r="257" spans="1:17" x14ac:dyDescent="0.25">
      <c r="A257" s="57">
        <f>+'A) Base RI'!A259</f>
        <v>5843</v>
      </c>
      <c r="B257" s="350" t="str">
        <f>+'A) Base RI'!B259</f>
        <v>Rougemont</v>
      </c>
      <c r="C257" s="364">
        <f>+'D) Ecrêtage'!M257</f>
        <v>79766.061543453106</v>
      </c>
      <c r="D257" s="332">
        <v>1823994</v>
      </c>
      <c r="E257" s="364">
        <v>66128</v>
      </c>
      <c r="F257" s="332">
        <v>88979</v>
      </c>
      <c r="G257" s="364">
        <f t="shared" si="34"/>
        <v>1979101</v>
      </c>
      <c r="H257" s="332">
        <f t="shared" si="35"/>
        <v>638128.49234762485</v>
      </c>
      <c r="I257" s="14">
        <f t="shared" si="36"/>
        <v>1340972.5076523751</v>
      </c>
      <c r="J257" s="361">
        <f t="shared" si="47"/>
        <v>-984122.64931240596</v>
      </c>
      <c r="K257" s="19">
        <v>0</v>
      </c>
      <c r="L257" s="14">
        <f t="shared" si="48"/>
        <v>79766.061543453106</v>
      </c>
      <c r="M257" s="19">
        <f t="shared" si="42"/>
        <v>0</v>
      </c>
      <c r="N257" s="4">
        <f t="shared" si="49"/>
        <v>0</v>
      </c>
      <c r="O257" s="147">
        <f t="shared" si="43"/>
        <v>-984122.64931240596</v>
      </c>
      <c r="P257" s="41">
        <f>O257/'D) Ecrêtage'!C257</f>
        <v>-11.156154366813825</v>
      </c>
      <c r="Q257" s="143"/>
    </row>
    <row r="258" spans="1:17" x14ac:dyDescent="0.25">
      <c r="A258" s="57">
        <f>+'A) Base RI'!A260</f>
        <v>5851</v>
      </c>
      <c r="B258" s="350" t="str">
        <f>+'A) Base RI'!B260</f>
        <v>Allaman</v>
      </c>
      <c r="C258" s="364">
        <f>+'D) Ecrêtage'!M258</f>
        <v>26406.752515655604</v>
      </c>
      <c r="D258" s="332">
        <v>136210</v>
      </c>
      <c r="E258" s="364">
        <v>23992</v>
      </c>
      <c r="F258" s="332">
        <v>43773</v>
      </c>
      <c r="G258" s="364">
        <f t="shared" si="34"/>
        <v>203975</v>
      </c>
      <c r="H258" s="332">
        <f t="shared" si="35"/>
        <v>211254.02012524483</v>
      </c>
      <c r="I258" s="14">
        <f t="shared" si="36"/>
        <v>0</v>
      </c>
      <c r="J258" s="361">
        <f t="shared" si="47"/>
        <v>0</v>
      </c>
      <c r="K258" s="19">
        <v>2351</v>
      </c>
      <c r="L258" s="14">
        <f t="shared" si="48"/>
        <v>26406.752515655604</v>
      </c>
      <c r="M258" s="19">
        <f t="shared" si="42"/>
        <v>0</v>
      </c>
      <c r="N258" s="4">
        <f t="shared" si="49"/>
        <v>0</v>
      </c>
      <c r="O258" s="147">
        <f t="shared" si="43"/>
        <v>0</v>
      </c>
      <c r="P258" s="41">
        <f>O258/'D) Ecrêtage'!C258</f>
        <v>0</v>
      </c>
      <c r="Q258" s="143"/>
    </row>
    <row r="259" spans="1:17" x14ac:dyDescent="0.25">
      <c r="A259" s="57">
        <f>+'A) Base RI'!A261</f>
        <v>5852</v>
      </c>
      <c r="B259" s="350" t="str">
        <f>+'A) Base RI'!B261</f>
        <v>Bursinel</v>
      </c>
      <c r="C259" s="364">
        <f>+'D) Ecrêtage'!M259</f>
        <v>29417.979610243983</v>
      </c>
      <c r="D259" s="332">
        <v>234658</v>
      </c>
      <c r="E259" s="364">
        <v>11648</v>
      </c>
      <c r="F259" s="332">
        <v>35988</v>
      </c>
      <c r="G259" s="364">
        <f t="shared" si="34"/>
        <v>282294</v>
      </c>
      <c r="H259" s="332">
        <f t="shared" si="35"/>
        <v>235343.83688195187</v>
      </c>
      <c r="I259" s="14">
        <f t="shared" si="36"/>
        <v>46950.163118048134</v>
      </c>
      <c r="J259" s="361">
        <f t="shared" si="47"/>
        <v>-34456.126915139524</v>
      </c>
      <c r="K259" s="19">
        <v>1422</v>
      </c>
      <c r="L259" s="14">
        <f t="shared" si="48"/>
        <v>29417.979610243983</v>
      </c>
      <c r="M259" s="19">
        <f t="shared" si="42"/>
        <v>0</v>
      </c>
      <c r="N259" s="4">
        <f t="shared" si="49"/>
        <v>0</v>
      </c>
      <c r="O259" s="147">
        <f t="shared" si="43"/>
        <v>-34456.126915139524</v>
      </c>
      <c r="P259" s="41">
        <f>O259/'D) Ecrêtage'!C259</f>
        <v>-1.1515203355358217</v>
      </c>
      <c r="Q259" s="143"/>
    </row>
    <row r="260" spans="1:17" x14ac:dyDescent="0.25">
      <c r="A260" s="57">
        <f>+'A) Base RI'!A262</f>
        <v>5853</v>
      </c>
      <c r="B260" s="350" t="str">
        <f>+'A) Base RI'!B262</f>
        <v>Bursins</v>
      </c>
      <c r="C260" s="364">
        <f>+'D) Ecrêtage'!M260</f>
        <v>40543.223380281692</v>
      </c>
      <c r="D260" s="332">
        <v>168602</v>
      </c>
      <c r="E260" s="364">
        <v>32636</v>
      </c>
      <c r="F260" s="332">
        <v>60599</v>
      </c>
      <c r="G260" s="364">
        <f t="shared" si="34"/>
        <v>261837</v>
      </c>
      <c r="H260" s="332">
        <f t="shared" si="35"/>
        <v>324345.78704225353</v>
      </c>
      <c r="I260" s="14">
        <f t="shared" si="36"/>
        <v>0</v>
      </c>
      <c r="J260" s="361">
        <f t="shared" si="47"/>
        <v>0</v>
      </c>
      <c r="K260" s="19">
        <v>86108</v>
      </c>
      <c r="L260" s="14">
        <f t="shared" si="48"/>
        <v>40543.223380281692</v>
      </c>
      <c r="M260" s="19">
        <f t="shared" si="42"/>
        <v>45564.776619718308</v>
      </c>
      <c r="N260" s="4">
        <f t="shared" si="49"/>
        <v>-33439.409403574085</v>
      </c>
      <c r="O260" s="147">
        <f t="shared" si="43"/>
        <v>-33439.409403574085</v>
      </c>
      <c r="P260" s="41">
        <f>O260/'D) Ecrêtage'!C260</f>
        <v>-0.82478418378143648</v>
      </c>
      <c r="Q260" s="143"/>
    </row>
    <row r="261" spans="1:17" x14ac:dyDescent="0.25">
      <c r="A261" s="57">
        <f>+'A) Base RI'!A263</f>
        <v>5854</v>
      </c>
      <c r="B261" s="350" t="str">
        <f>+'A) Base RI'!B263</f>
        <v>Burtigny</v>
      </c>
      <c r="C261" s="364">
        <f>+'D) Ecrêtage'!M261</f>
        <v>10577.787833333332</v>
      </c>
      <c r="D261" s="332">
        <v>58641</v>
      </c>
      <c r="E261" s="364">
        <v>9384</v>
      </c>
      <c r="F261" s="332">
        <v>41128</v>
      </c>
      <c r="G261" s="364">
        <f t="shared" si="34"/>
        <v>109153</v>
      </c>
      <c r="H261" s="332">
        <f t="shared" si="35"/>
        <v>84622.302666666656</v>
      </c>
      <c r="I261" s="14">
        <f t="shared" si="36"/>
        <v>24530.697333333344</v>
      </c>
      <c r="J261" s="361">
        <f t="shared" si="47"/>
        <v>-18002.766433612069</v>
      </c>
      <c r="K261" s="19">
        <v>25534</v>
      </c>
      <c r="L261" s="14">
        <f t="shared" si="48"/>
        <v>10577.787833333332</v>
      </c>
      <c r="M261" s="19">
        <f t="shared" si="42"/>
        <v>14956.212166666668</v>
      </c>
      <c r="N261" s="4">
        <f t="shared" si="49"/>
        <v>-10976.173677793275</v>
      </c>
      <c r="O261" s="147">
        <f t="shared" si="43"/>
        <v>-28978.940111405343</v>
      </c>
      <c r="P261" s="41">
        <f>O261/'D) Ecrêtage'!C261</f>
        <v>-2.7396030784513608</v>
      </c>
      <c r="Q261" s="143"/>
    </row>
    <row r="262" spans="1:17" x14ac:dyDescent="0.25">
      <c r="A262" s="57">
        <f>+'A) Base RI'!A264</f>
        <v>5855</v>
      </c>
      <c r="B262" s="350" t="str">
        <f>+'A) Base RI'!B264</f>
        <v>Dully</v>
      </c>
      <c r="C262" s="364">
        <f>+'D) Ecrêtage'!M262</f>
        <v>68692.563814665671</v>
      </c>
      <c r="D262" s="332">
        <v>169613</v>
      </c>
      <c r="E262" s="364">
        <v>27777</v>
      </c>
      <c r="F262" s="332">
        <v>45328</v>
      </c>
      <c r="G262" s="364">
        <f t="shared" ref="G262:G313" si="50">SUM(D262:F262)</f>
        <v>242718</v>
      </c>
      <c r="H262" s="332">
        <f t="shared" ref="H262:H313" si="51">+C262*$I$4</f>
        <v>549540.51051732537</v>
      </c>
      <c r="I262" s="14">
        <f t="shared" ref="I262:I313" si="52">IF(G262&gt;H262,G262-H262,0)</f>
        <v>0</v>
      </c>
      <c r="J262" s="361">
        <f t="shared" si="47"/>
        <v>0</v>
      </c>
      <c r="K262" s="19">
        <v>2850</v>
      </c>
      <c r="L262" s="14">
        <f t="shared" si="48"/>
        <v>68692.563814665671</v>
      </c>
      <c r="M262" s="19">
        <f t="shared" si="42"/>
        <v>0</v>
      </c>
      <c r="N262" s="4">
        <f t="shared" si="49"/>
        <v>0</v>
      </c>
      <c r="O262" s="147">
        <f t="shared" si="43"/>
        <v>0</v>
      </c>
      <c r="P262" s="41">
        <f>O262/'D) Ecrêtage'!C262</f>
        <v>0</v>
      </c>
      <c r="Q262" s="143"/>
    </row>
    <row r="263" spans="1:17" x14ac:dyDescent="0.25">
      <c r="A263" s="57">
        <f>+'A) Base RI'!A265</f>
        <v>5856</v>
      </c>
      <c r="B263" s="350" t="str">
        <f>+'A) Base RI'!B265</f>
        <v>Essertines-sur-Rolle</v>
      </c>
      <c r="C263" s="364">
        <f>+'D) Ecrêtage'!M263</f>
        <v>31862.802285067875</v>
      </c>
      <c r="D263" s="332">
        <v>158691</v>
      </c>
      <c r="E263" s="364">
        <v>17093</v>
      </c>
      <c r="F263" s="332">
        <v>52957</v>
      </c>
      <c r="G263" s="364">
        <f t="shared" si="50"/>
        <v>228741</v>
      </c>
      <c r="H263" s="332">
        <f t="shared" si="51"/>
        <v>254902.418280543</v>
      </c>
      <c r="I263" s="14">
        <f t="shared" si="52"/>
        <v>0</v>
      </c>
      <c r="J263" s="361">
        <f t="shared" si="47"/>
        <v>0</v>
      </c>
      <c r="K263" s="19">
        <v>15845</v>
      </c>
      <c r="L263" s="14">
        <f t="shared" si="48"/>
        <v>31862.802285067875</v>
      </c>
      <c r="M263" s="19">
        <f t="shared" si="42"/>
        <v>0</v>
      </c>
      <c r="N263" s="4">
        <f t="shared" si="49"/>
        <v>0</v>
      </c>
      <c r="O263" s="147">
        <f t="shared" si="43"/>
        <v>0</v>
      </c>
      <c r="P263" s="41">
        <f>O263/'D) Ecrêtage'!C263</f>
        <v>0</v>
      </c>
      <c r="Q263" s="143"/>
    </row>
    <row r="264" spans="1:17" x14ac:dyDescent="0.25">
      <c r="A264" s="57">
        <f>+'A) Base RI'!A266</f>
        <v>5857</v>
      </c>
      <c r="B264" s="350" t="str">
        <f>+'A) Base RI'!B266</f>
        <v>Gilly</v>
      </c>
      <c r="C264" s="364">
        <f>+'D) Ecrêtage'!M264</f>
        <v>62540.44560606061</v>
      </c>
      <c r="D264" s="332">
        <v>156652</v>
      </c>
      <c r="E264" s="364">
        <v>39498</v>
      </c>
      <c r="F264" s="332">
        <v>85953</v>
      </c>
      <c r="G264" s="364">
        <f t="shared" si="50"/>
        <v>282103</v>
      </c>
      <c r="H264" s="332">
        <f t="shared" si="51"/>
        <v>500323.56484848488</v>
      </c>
      <c r="I264" s="14">
        <f t="shared" si="52"/>
        <v>0</v>
      </c>
      <c r="J264" s="361">
        <f t="shared" si="47"/>
        <v>0</v>
      </c>
      <c r="K264" s="19">
        <v>50945</v>
      </c>
      <c r="L264" s="14">
        <f t="shared" si="48"/>
        <v>62540.44560606061</v>
      </c>
      <c r="M264" s="19">
        <f t="shared" si="42"/>
        <v>0</v>
      </c>
      <c r="N264" s="4">
        <f t="shared" si="49"/>
        <v>0</v>
      </c>
      <c r="O264" s="147">
        <f t="shared" si="43"/>
        <v>0</v>
      </c>
      <c r="P264" s="41">
        <f>O264/'D) Ecrêtage'!C264</f>
        <v>0</v>
      </c>
      <c r="Q264" s="143"/>
    </row>
    <row r="265" spans="1:17" x14ac:dyDescent="0.25">
      <c r="A265" s="57">
        <f>+'A) Base RI'!A267</f>
        <v>5858</v>
      </c>
      <c r="B265" s="350" t="str">
        <f>+'A) Base RI'!B267</f>
        <v>Luins</v>
      </c>
      <c r="C265" s="364">
        <f>+'D) Ecrêtage'!M265</f>
        <v>35027.999071405589</v>
      </c>
      <c r="D265" s="332">
        <v>44945</v>
      </c>
      <c r="E265" s="364">
        <v>22284</v>
      </c>
      <c r="F265" s="332">
        <v>49531</v>
      </c>
      <c r="G265" s="364">
        <f t="shared" si="50"/>
        <v>116760</v>
      </c>
      <c r="H265" s="332">
        <f t="shared" si="51"/>
        <v>280223.99257124471</v>
      </c>
      <c r="I265" s="14">
        <f t="shared" si="52"/>
        <v>0</v>
      </c>
      <c r="J265" s="361">
        <f t="shared" si="47"/>
        <v>0</v>
      </c>
      <c r="K265" s="19">
        <v>5130</v>
      </c>
      <c r="L265" s="14">
        <f t="shared" si="48"/>
        <v>35027.999071405589</v>
      </c>
      <c r="M265" s="19">
        <f t="shared" ref="M265:M313" si="53">IF(K265&gt;L265,K265-L265,0)</f>
        <v>0</v>
      </c>
      <c r="N265" s="4">
        <f t="shared" si="49"/>
        <v>0</v>
      </c>
      <c r="O265" s="147">
        <f t="shared" ref="O265:O313" si="54">N265+J265</f>
        <v>0</v>
      </c>
      <c r="P265" s="41">
        <f>O265/'D) Ecrêtage'!C265</f>
        <v>0</v>
      </c>
      <c r="Q265" s="143"/>
    </row>
    <row r="266" spans="1:17" x14ac:dyDescent="0.25">
      <c r="A266" s="57">
        <f>+'A) Base RI'!A268</f>
        <v>5859</v>
      </c>
      <c r="B266" s="350" t="str">
        <f>+'A) Base RI'!B268</f>
        <v>Mont-sur-Rolle</v>
      </c>
      <c r="C266" s="364">
        <f>+'D) Ecrêtage'!M266</f>
        <v>130430.38093750003</v>
      </c>
      <c r="D266" s="332">
        <v>412916</v>
      </c>
      <c r="E266" s="364">
        <v>126686</v>
      </c>
      <c r="F266" s="332">
        <v>209483</v>
      </c>
      <c r="G266" s="364">
        <f t="shared" si="50"/>
        <v>749085</v>
      </c>
      <c r="H266" s="332">
        <f t="shared" si="51"/>
        <v>1043443.0475000002</v>
      </c>
      <c r="I266" s="14">
        <f t="shared" si="52"/>
        <v>0</v>
      </c>
      <c r="J266" s="361">
        <f t="shared" si="47"/>
        <v>0</v>
      </c>
      <c r="K266" s="19">
        <v>2268</v>
      </c>
      <c r="L266" s="14">
        <f t="shared" si="48"/>
        <v>130430.38093750003</v>
      </c>
      <c r="M266" s="19">
        <f t="shared" si="53"/>
        <v>0</v>
      </c>
      <c r="N266" s="4">
        <f t="shared" si="49"/>
        <v>0</v>
      </c>
      <c r="O266" s="147">
        <f t="shared" si="54"/>
        <v>0</v>
      </c>
      <c r="P266" s="41">
        <f>O266/'D) Ecrêtage'!C266</f>
        <v>0</v>
      </c>
      <c r="Q266" s="143"/>
    </row>
    <row r="267" spans="1:17" x14ac:dyDescent="0.25">
      <c r="A267" s="57">
        <f>+'A) Base RI'!A269</f>
        <v>5860</v>
      </c>
      <c r="B267" s="350" t="str">
        <f>+'A) Base RI'!B269</f>
        <v>Perroy</v>
      </c>
      <c r="C267" s="364">
        <f>+'D) Ecrêtage'!M267</f>
        <v>90679.789505177716</v>
      </c>
      <c r="D267" s="332">
        <v>84115</v>
      </c>
      <c r="E267" s="364">
        <v>53624</v>
      </c>
      <c r="F267" s="332">
        <v>108905</v>
      </c>
      <c r="G267" s="364">
        <f t="shared" si="50"/>
        <v>246644</v>
      </c>
      <c r="H267" s="332">
        <f t="shared" si="51"/>
        <v>725438.31604142173</v>
      </c>
      <c r="I267" s="14">
        <f t="shared" si="52"/>
        <v>0</v>
      </c>
      <c r="J267" s="361">
        <f t="shared" si="47"/>
        <v>0</v>
      </c>
      <c r="K267" s="19">
        <v>3900</v>
      </c>
      <c r="L267" s="14">
        <f t="shared" si="48"/>
        <v>90679.789505177716</v>
      </c>
      <c r="M267" s="19">
        <f t="shared" si="53"/>
        <v>0</v>
      </c>
      <c r="N267" s="4">
        <f t="shared" si="49"/>
        <v>0</v>
      </c>
      <c r="O267" s="147">
        <f t="shared" si="54"/>
        <v>0</v>
      </c>
      <c r="P267" s="41">
        <f>O267/'D) Ecrêtage'!C267</f>
        <v>0</v>
      </c>
      <c r="Q267" s="143"/>
    </row>
    <row r="268" spans="1:17" x14ac:dyDescent="0.25">
      <c r="A268" s="57">
        <f>+'A) Base RI'!A270</f>
        <v>5861</v>
      </c>
      <c r="B268" s="350" t="str">
        <f>+'A) Base RI'!B270</f>
        <v>Rolle</v>
      </c>
      <c r="C268" s="364">
        <f>+'D) Ecrêtage'!M268</f>
        <v>712955.93825545628</v>
      </c>
      <c r="D268" s="332">
        <v>2567356</v>
      </c>
      <c r="E268" s="364">
        <v>830763</v>
      </c>
      <c r="F268" s="332">
        <v>451443</v>
      </c>
      <c r="G268" s="364">
        <f t="shared" si="50"/>
        <v>3849562</v>
      </c>
      <c r="H268" s="332">
        <f t="shared" si="51"/>
        <v>5703647.5060436502</v>
      </c>
      <c r="I268" s="14">
        <f t="shared" si="52"/>
        <v>0</v>
      </c>
      <c r="J268" s="361">
        <f t="shared" si="47"/>
        <v>0</v>
      </c>
      <c r="K268" s="19">
        <v>60311</v>
      </c>
      <c r="L268" s="14">
        <f t="shared" si="48"/>
        <v>712955.93825545628</v>
      </c>
      <c r="M268" s="19">
        <f t="shared" si="53"/>
        <v>0</v>
      </c>
      <c r="N268" s="4">
        <f t="shared" si="49"/>
        <v>0</v>
      </c>
      <c r="O268" s="147">
        <f t="shared" si="54"/>
        <v>0</v>
      </c>
      <c r="P268" s="41">
        <f>O268/'D) Ecrêtage'!C268</f>
        <v>0</v>
      </c>
      <c r="Q268" s="143"/>
    </row>
    <row r="269" spans="1:17" x14ac:dyDescent="0.25">
      <c r="A269" s="57">
        <f>+'A) Base RI'!A271</f>
        <v>5862</v>
      </c>
      <c r="B269" s="350" t="str">
        <f>+'A) Base RI'!B271</f>
        <v>Tartegnin</v>
      </c>
      <c r="C269" s="364">
        <f>+'D) Ecrêtage'!M269</f>
        <v>8301.4215873015874</v>
      </c>
      <c r="D269" s="332">
        <v>21616</v>
      </c>
      <c r="E269" s="364">
        <v>8127</v>
      </c>
      <c r="F269" s="332">
        <v>18420</v>
      </c>
      <c r="G269" s="364">
        <f t="shared" si="50"/>
        <v>48163</v>
      </c>
      <c r="H269" s="332">
        <f t="shared" si="51"/>
        <v>66411.372698412699</v>
      </c>
      <c r="I269" s="14">
        <f t="shared" si="52"/>
        <v>0</v>
      </c>
      <c r="J269" s="361">
        <f t="shared" si="47"/>
        <v>0</v>
      </c>
      <c r="K269" s="19">
        <v>4747</v>
      </c>
      <c r="L269" s="14">
        <f t="shared" si="48"/>
        <v>8301.4215873015874</v>
      </c>
      <c r="M269" s="19">
        <f t="shared" si="53"/>
        <v>0</v>
      </c>
      <c r="N269" s="4">
        <f t="shared" si="49"/>
        <v>0</v>
      </c>
      <c r="O269" s="147">
        <f t="shared" si="54"/>
        <v>0</v>
      </c>
      <c r="P269" s="41">
        <f>O269/'D) Ecrêtage'!C269</f>
        <v>0</v>
      </c>
      <c r="Q269" s="143"/>
    </row>
    <row r="270" spans="1:17" x14ac:dyDescent="0.25">
      <c r="A270" s="57">
        <f>+'A) Base RI'!A272</f>
        <v>5863</v>
      </c>
      <c r="B270" s="350" t="str">
        <f>+'A) Base RI'!B272</f>
        <v>Vinzel</v>
      </c>
      <c r="C270" s="364">
        <f>+'D) Ecrêtage'!M270</f>
        <v>23656.271771824515</v>
      </c>
      <c r="D270" s="332">
        <v>38129</v>
      </c>
      <c r="E270" s="364">
        <v>13676</v>
      </c>
      <c r="F270" s="332">
        <v>28472</v>
      </c>
      <c r="G270" s="364">
        <f t="shared" si="50"/>
        <v>80277</v>
      </c>
      <c r="H270" s="332">
        <f t="shared" si="51"/>
        <v>189250.17417459612</v>
      </c>
      <c r="I270" s="14">
        <f t="shared" si="52"/>
        <v>0</v>
      </c>
      <c r="J270" s="361">
        <f t="shared" si="47"/>
        <v>0</v>
      </c>
      <c r="K270" s="19">
        <v>4695</v>
      </c>
      <c r="L270" s="14">
        <f t="shared" si="48"/>
        <v>23656.271771824515</v>
      </c>
      <c r="M270" s="19">
        <f t="shared" si="53"/>
        <v>0</v>
      </c>
      <c r="N270" s="4">
        <f t="shared" si="49"/>
        <v>0</v>
      </c>
      <c r="O270" s="147">
        <f t="shared" si="54"/>
        <v>0</v>
      </c>
      <c r="P270" s="41">
        <f>O270/'D) Ecrêtage'!C270</f>
        <v>0</v>
      </c>
      <c r="Q270" s="143"/>
    </row>
    <row r="271" spans="1:17" x14ac:dyDescent="0.25">
      <c r="A271" s="57">
        <f>+'A) Base RI'!A273</f>
        <v>5871</v>
      </c>
      <c r="B271" s="350" t="str">
        <f>+'A) Base RI'!B273</f>
        <v>L'Abbaye</v>
      </c>
      <c r="C271" s="364">
        <f>+'D) Ecrêtage'!M271</f>
        <v>48996.378091415252</v>
      </c>
      <c r="D271" s="332">
        <v>398742</v>
      </c>
      <c r="E271" s="364">
        <v>114335</v>
      </c>
      <c r="F271" s="332">
        <v>203131</v>
      </c>
      <c r="G271" s="364">
        <f t="shared" si="50"/>
        <v>716208</v>
      </c>
      <c r="H271" s="332">
        <f t="shared" si="51"/>
        <v>391971.02473132202</v>
      </c>
      <c r="I271" s="14">
        <f t="shared" si="52"/>
        <v>324236.97526867798</v>
      </c>
      <c r="J271" s="361">
        <f t="shared" si="47"/>
        <v>-237953.38777308547</v>
      </c>
      <c r="K271" s="19">
        <v>53116</v>
      </c>
      <c r="L271" s="14">
        <f t="shared" si="48"/>
        <v>48996.378091415252</v>
      </c>
      <c r="M271" s="19">
        <f t="shared" si="53"/>
        <v>4119.6219085847479</v>
      </c>
      <c r="N271" s="4">
        <f t="shared" si="49"/>
        <v>-3023.3380652519986</v>
      </c>
      <c r="O271" s="147">
        <f t="shared" si="54"/>
        <v>-240976.72583833747</v>
      </c>
      <c r="P271" s="41">
        <f>O271/'D) Ecrêtage'!C271</f>
        <v>-4.9182559043187615</v>
      </c>
      <c r="Q271" s="143"/>
    </row>
    <row r="272" spans="1:17" x14ac:dyDescent="0.25">
      <c r="A272" s="57">
        <f>+'A) Base RI'!A274</f>
        <v>5872</v>
      </c>
      <c r="B272" s="350" t="str">
        <f>+'A) Base RI'!B274</f>
        <v>Le Chenit</v>
      </c>
      <c r="C272" s="364">
        <f>+'D) Ecrêtage'!M272</f>
        <v>305110.86205505329</v>
      </c>
      <c r="D272" s="332">
        <v>2909324</v>
      </c>
      <c r="E272" s="364">
        <v>370724</v>
      </c>
      <c r="F272" s="332">
        <v>714124</v>
      </c>
      <c r="G272" s="364">
        <f t="shared" si="50"/>
        <v>3994172</v>
      </c>
      <c r="H272" s="332">
        <f t="shared" si="51"/>
        <v>2440886.8964404264</v>
      </c>
      <c r="I272" s="14">
        <f t="shared" si="52"/>
        <v>1553285.1035595736</v>
      </c>
      <c r="J272" s="361">
        <f t="shared" si="47"/>
        <v>-1139936.1601593795</v>
      </c>
      <c r="K272" s="19">
        <v>521541</v>
      </c>
      <c r="L272" s="14">
        <f t="shared" si="48"/>
        <v>305110.86205505329</v>
      </c>
      <c r="M272" s="19">
        <f t="shared" si="53"/>
        <v>216430.13794494671</v>
      </c>
      <c r="N272" s="4">
        <f t="shared" si="49"/>
        <v>-158835.32252150061</v>
      </c>
      <c r="O272" s="147">
        <f t="shared" si="54"/>
        <v>-1298771.48268088</v>
      </c>
      <c r="P272" s="41">
        <f>O272/'D) Ecrêtage'!C272</f>
        <v>-4.1162368675760321</v>
      </c>
      <c r="Q272" s="143"/>
    </row>
    <row r="273" spans="1:17" x14ac:dyDescent="0.25">
      <c r="A273" s="57">
        <f>+'A) Base RI'!A275</f>
        <v>5873</v>
      </c>
      <c r="B273" s="350" t="str">
        <f>+'A) Base RI'!B275</f>
        <v>Le Lieu</v>
      </c>
      <c r="C273" s="364">
        <f>+'D) Ecrêtage'!M273</f>
        <v>30587.067025641027</v>
      </c>
      <c r="D273" s="332">
        <v>1202035</v>
      </c>
      <c r="E273" s="364">
        <v>69019</v>
      </c>
      <c r="F273" s="332">
        <v>133006</v>
      </c>
      <c r="G273" s="364">
        <f t="shared" si="50"/>
        <v>1404060</v>
      </c>
      <c r="H273" s="332">
        <f t="shared" si="51"/>
        <v>244696.53620512821</v>
      </c>
      <c r="I273" s="14">
        <f t="shared" si="52"/>
        <v>1159363.4637948717</v>
      </c>
      <c r="J273" s="361">
        <f t="shared" si="47"/>
        <v>-850842.08437895181</v>
      </c>
      <c r="K273" s="19">
        <v>153446</v>
      </c>
      <c r="L273" s="14">
        <f t="shared" si="48"/>
        <v>30587.067025641027</v>
      </c>
      <c r="M273" s="19">
        <f t="shared" si="53"/>
        <v>122858.93297435898</v>
      </c>
      <c r="N273" s="4">
        <f t="shared" si="49"/>
        <v>-90164.606597412014</v>
      </c>
      <c r="O273" s="147">
        <f t="shared" si="54"/>
        <v>-941006.69097636384</v>
      </c>
      <c r="P273" s="41">
        <f>O273/'D) Ecrêtage'!C273</f>
        <v>-30.764855296113268</v>
      </c>
      <c r="Q273" s="143"/>
    </row>
    <row r="274" spans="1:17" x14ac:dyDescent="0.25">
      <c r="A274" s="57">
        <f>+'A) Base RI'!A276</f>
        <v>5881</v>
      </c>
      <c r="B274" s="350" t="str">
        <f>+'A) Base RI'!B276</f>
        <v>Blonay</v>
      </c>
      <c r="C274" s="364">
        <f>+'D) Ecrêtage'!M274</f>
        <v>332407.86157142854</v>
      </c>
      <c r="D274" s="332">
        <v>2439620</v>
      </c>
      <c r="E274" s="364">
        <v>809730</v>
      </c>
      <c r="F274" s="332">
        <v>458498</v>
      </c>
      <c r="G274" s="364">
        <f t="shared" si="50"/>
        <v>3707848</v>
      </c>
      <c r="H274" s="332">
        <f t="shared" si="51"/>
        <v>2659262.8925714283</v>
      </c>
      <c r="I274" s="14">
        <f t="shared" si="52"/>
        <v>1048585.1074285717</v>
      </c>
      <c r="J274" s="361">
        <f t="shared" si="47"/>
        <v>-769543.25913716061</v>
      </c>
      <c r="K274" s="19">
        <v>519520</v>
      </c>
      <c r="L274" s="14">
        <f t="shared" si="48"/>
        <v>332407.86157142854</v>
      </c>
      <c r="M274" s="19">
        <f t="shared" si="53"/>
        <v>187112.13842857146</v>
      </c>
      <c r="N274" s="4">
        <f t="shared" si="49"/>
        <v>-137319.21597051187</v>
      </c>
      <c r="O274" s="147">
        <f t="shared" si="54"/>
        <v>-906862.47510767251</v>
      </c>
      <c r="P274" s="41">
        <f>O274/'D) Ecrêtage'!C274</f>
        <v>-2.7281619358235423</v>
      </c>
      <c r="Q274" s="143"/>
    </row>
    <row r="275" spans="1:17" x14ac:dyDescent="0.25">
      <c r="A275" s="57">
        <f>+'A) Base RI'!A277</f>
        <v>5882</v>
      </c>
      <c r="B275" s="350" t="str">
        <f>+'A) Base RI'!B277</f>
        <v>Chardonne</v>
      </c>
      <c r="C275" s="364">
        <f>+'D) Ecrêtage'!M275</f>
        <v>151089.46617647054</v>
      </c>
      <c r="D275" s="332">
        <v>1219536</v>
      </c>
      <c r="E275" s="364">
        <v>271063</v>
      </c>
      <c r="F275" s="332">
        <v>166388</v>
      </c>
      <c r="G275" s="364">
        <f t="shared" si="50"/>
        <v>1656987</v>
      </c>
      <c r="H275" s="332">
        <f t="shared" si="51"/>
        <v>1208715.7294117643</v>
      </c>
      <c r="I275" s="14">
        <f t="shared" si="52"/>
        <v>448271.2705882357</v>
      </c>
      <c r="J275" s="361">
        <f t="shared" si="47"/>
        <v>-328980.57783023152</v>
      </c>
      <c r="K275" s="19">
        <v>-9055</v>
      </c>
      <c r="L275" s="14">
        <f t="shared" si="48"/>
        <v>151089.46617647054</v>
      </c>
      <c r="M275" s="19">
        <f t="shared" si="53"/>
        <v>0</v>
      </c>
      <c r="N275" s="4">
        <f t="shared" si="49"/>
        <v>0</v>
      </c>
      <c r="O275" s="147">
        <f t="shared" si="54"/>
        <v>-328980.57783023152</v>
      </c>
      <c r="P275" s="41">
        <f>O275/'D) Ecrêtage'!C275</f>
        <v>-2.1773892393397332</v>
      </c>
      <c r="Q275" s="143"/>
    </row>
    <row r="276" spans="1:17" x14ac:dyDescent="0.25">
      <c r="A276" s="57">
        <f>+'A) Base RI'!A278</f>
        <v>5883</v>
      </c>
      <c r="B276" s="350" t="str">
        <f>+'A) Base RI'!B278</f>
        <v>Corseaux</v>
      </c>
      <c r="C276" s="364">
        <f>+'D) Ecrêtage'!M276</f>
        <v>146181.03827538589</v>
      </c>
      <c r="D276" s="332">
        <v>318804</v>
      </c>
      <c r="E276" s="364">
        <v>491104</v>
      </c>
      <c r="F276" s="332">
        <v>123671</v>
      </c>
      <c r="G276" s="364">
        <f t="shared" si="50"/>
        <v>933579</v>
      </c>
      <c r="H276" s="332">
        <f t="shared" si="51"/>
        <v>1169448.3062030871</v>
      </c>
      <c r="I276" s="14">
        <f t="shared" si="52"/>
        <v>0</v>
      </c>
      <c r="J276" s="361">
        <f t="shared" si="47"/>
        <v>0</v>
      </c>
      <c r="K276" s="19">
        <v>1300</v>
      </c>
      <c r="L276" s="14">
        <f t="shared" si="48"/>
        <v>146181.03827538589</v>
      </c>
      <c r="M276" s="19">
        <f t="shared" si="53"/>
        <v>0</v>
      </c>
      <c r="N276" s="4">
        <f t="shared" si="49"/>
        <v>0</v>
      </c>
      <c r="O276" s="147">
        <f t="shared" si="54"/>
        <v>0</v>
      </c>
      <c r="P276" s="41">
        <f>O276/'D) Ecrêtage'!C276</f>
        <v>0</v>
      </c>
      <c r="Q276" s="143"/>
    </row>
    <row r="277" spans="1:17" x14ac:dyDescent="0.25">
      <c r="A277" s="57">
        <f>+'A) Base RI'!A279</f>
        <v>5884</v>
      </c>
      <c r="B277" s="350" t="str">
        <f>+'A) Base RI'!B279</f>
        <v>Corsier-sur-Vevey</v>
      </c>
      <c r="C277" s="364">
        <f>+'D) Ecrêtage'!M277</f>
        <v>116440.6211111111</v>
      </c>
      <c r="D277" s="332">
        <v>1160146</v>
      </c>
      <c r="E277" s="364">
        <v>829701</v>
      </c>
      <c r="F277" s="332">
        <v>219339</v>
      </c>
      <c r="G277" s="364">
        <f t="shared" si="50"/>
        <v>2209186</v>
      </c>
      <c r="H277" s="332">
        <f t="shared" si="51"/>
        <v>931524.96888888883</v>
      </c>
      <c r="I277" s="14">
        <f t="shared" si="52"/>
        <v>1277661.0311111112</v>
      </c>
      <c r="J277" s="361">
        <f t="shared" si="47"/>
        <v>-937659.16279787046</v>
      </c>
      <c r="K277" s="19">
        <v>8394</v>
      </c>
      <c r="L277" s="14">
        <f t="shared" si="48"/>
        <v>116440.6211111111</v>
      </c>
      <c r="M277" s="19">
        <f t="shared" si="53"/>
        <v>0</v>
      </c>
      <c r="N277" s="4">
        <f t="shared" si="49"/>
        <v>0</v>
      </c>
      <c r="O277" s="147">
        <f t="shared" si="54"/>
        <v>-937659.16279787046</v>
      </c>
      <c r="P277" s="41">
        <f>O277/'D) Ecrêtage'!C277</f>
        <v>-8.0526808758871891</v>
      </c>
      <c r="Q277" s="143"/>
    </row>
    <row r="278" spans="1:17" x14ac:dyDescent="0.25">
      <c r="A278" s="57">
        <f>+'A) Base RI'!A280</f>
        <v>5885</v>
      </c>
      <c r="B278" s="350" t="str">
        <f>+'A) Base RI'!B280</f>
        <v>Jongny</v>
      </c>
      <c r="C278" s="364">
        <f>+'D) Ecrêtage'!M278</f>
        <v>81843.123028169022</v>
      </c>
      <c r="D278" s="332">
        <v>531841</v>
      </c>
      <c r="E278" s="364">
        <v>116845</v>
      </c>
      <c r="F278" s="332">
        <v>100205</v>
      </c>
      <c r="G278" s="364">
        <f t="shared" si="50"/>
        <v>748891</v>
      </c>
      <c r="H278" s="332">
        <f t="shared" si="51"/>
        <v>654744.98422535218</v>
      </c>
      <c r="I278" s="14">
        <f t="shared" si="52"/>
        <v>94146.015774647822</v>
      </c>
      <c r="J278" s="361">
        <f t="shared" si="47"/>
        <v>-69092.562254357777</v>
      </c>
      <c r="K278" s="19">
        <v>14461</v>
      </c>
      <c r="L278" s="14">
        <f t="shared" si="48"/>
        <v>81843.123028169022</v>
      </c>
      <c r="M278" s="19">
        <f t="shared" si="53"/>
        <v>0</v>
      </c>
      <c r="N278" s="4">
        <f t="shared" si="49"/>
        <v>0</v>
      </c>
      <c r="O278" s="147">
        <f t="shared" si="54"/>
        <v>-69092.562254357777</v>
      </c>
      <c r="P278" s="41">
        <f>O278/'D) Ecrêtage'!C278</f>
        <v>-0.84420730414426248</v>
      </c>
      <c r="Q278" s="143"/>
    </row>
    <row r="279" spans="1:17" x14ac:dyDescent="0.25">
      <c r="A279" s="57">
        <f>+'A) Base RI'!A281</f>
        <v>5886</v>
      </c>
      <c r="B279" s="350" t="str">
        <f>+'A) Base RI'!B281</f>
        <v>Montreux</v>
      </c>
      <c r="C279" s="364">
        <f>+'D) Ecrêtage'!M279</f>
        <v>1175239.0178974359</v>
      </c>
      <c r="D279" s="332">
        <v>10599532</v>
      </c>
      <c r="E279" s="364">
        <v>5206856</v>
      </c>
      <c r="F279" s="332">
        <v>253265</v>
      </c>
      <c r="G279" s="364">
        <f t="shared" si="50"/>
        <v>16059653</v>
      </c>
      <c r="H279" s="332">
        <f t="shared" si="51"/>
        <v>9401912.1431794874</v>
      </c>
      <c r="I279" s="14">
        <f t="shared" si="52"/>
        <v>6657740.8568205126</v>
      </c>
      <c r="J279" s="361">
        <f t="shared" si="47"/>
        <v>-4886031.2445332818</v>
      </c>
      <c r="K279" s="19">
        <v>1695695</v>
      </c>
      <c r="L279" s="14">
        <f t="shared" si="48"/>
        <v>1175239.0178974359</v>
      </c>
      <c r="M279" s="19">
        <f t="shared" si="53"/>
        <v>520455.98210256407</v>
      </c>
      <c r="N279" s="4">
        <f t="shared" si="49"/>
        <v>-381956.01851223258</v>
      </c>
      <c r="O279" s="147">
        <f t="shared" si="54"/>
        <v>-5267987.263045514</v>
      </c>
      <c r="P279" s="41">
        <f>O279/'D) Ecrêtage'!C279</f>
        <v>-4.4824815912513003</v>
      </c>
      <c r="Q279" s="143"/>
    </row>
    <row r="280" spans="1:17" x14ac:dyDescent="0.25">
      <c r="A280" s="57">
        <f>+'A) Base RI'!A282</f>
        <v>5888</v>
      </c>
      <c r="B280" s="350" t="str">
        <f>+'A) Base RI'!B282</f>
        <v>Saint-Légier-La Chiésaz</v>
      </c>
      <c r="C280" s="364">
        <f>+'D) Ecrêtage'!M280</f>
        <v>303486.51738409116</v>
      </c>
      <c r="D280" s="332">
        <v>1540561</v>
      </c>
      <c r="E280" s="364">
        <v>475790</v>
      </c>
      <c r="F280" s="332">
        <v>350711</v>
      </c>
      <c r="G280" s="364">
        <f t="shared" si="50"/>
        <v>2367062</v>
      </c>
      <c r="H280" s="332">
        <f t="shared" si="51"/>
        <v>2427892.1390727293</v>
      </c>
      <c r="I280" s="14">
        <f t="shared" si="52"/>
        <v>0</v>
      </c>
      <c r="J280" s="361">
        <f t="shared" si="47"/>
        <v>0</v>
      </c>
      <c r="K280" s="19">
        <v>668414</v>
      </c>
      <c r="L280" s="14">
        <f t="shared" si="48"/>
        <v>303486.51738409116</v>
      </c>
      <c r="M280" s="19">
        <f t="shared" si="53"/>
        <v>364927.48261590884</v>
      </c>
      <c r="N280" s="4">
        <f t="shared" si="49"/>
        <v>-267815.63301965513</v>
      </c>
      <c r="O280" s="147">
        <f t="shared" si="54"/>
        <v>-267815.63301965513</v>
      </c>
      <c r="P280" s="41">
        <f>O280/'D) Ecrêtage'!C280</f>
        <v>-0.87197842098087497</v>
      </c>
      <c r="Q280" s="143"/>
    </row>
    <row r="281" spans="1:17" x14ac:dyDescent="0.25">
      <c r="A281" s="57">
        <f>+'A) Base RI'!A283</f>
        <v>5889</v>
      </c>
      <c r="B281" s="350" t="str">
        <f>+'A) Base RI'!B283</f>
        <v>La Tour-de-Peilz</v>
      </c>
      <c r="C281" s="364">
        <f>+'D) Ecrêtage'!M281</f>
        <v>618611.02559895837</v>
      </c>
      <c r="D281" s="332">
        <v>2154806</v>
      </c>
      <c r="E281" s="364">
        <v>1614512</v>
      </c>
      <c r="F281" s="332">
        <v>3062</v>
      </c>
      <c r="G281" s="364">
        <f t="shared" si="50"/>
        <v>3772380</v>
      </c>
      <c r="H281" s="332">
        <f t="shared" si="51"/>
        <v>4948888.2047916669</v>
      </c>
      <c r="I281" s="14">
        <f t="shared" si="52"/>
        <v>0</v>
      </c>
      <c r="J281" s="361">
        <f t="shared" si="47"/>
        <v>0</v>
      </c>
      <c r="K281" s="19">
        <v>33989</v>
      </c>
      <c r="L281" s="14">
        <f t="shared" si="48"/>
        <v>618611.02559895837</v>
      </c>
      <c r="M281" s="19">
        <f t="shared" si="53"/>
        <v>0</v>
      </c>
      <c r="N281" s="4">
        <f t="shared" si="49"/>
        <v>0</v>
      </c>
      <c r="O281" s="147">
        <f t="shared" si="54"/>
        <v>0</v>
      </c>
      <c r="P281" s="41">
        <f>O281/'D) Ecrêtage'!C281</f>
        <v>0</v>
      </c>
      <c r="Q281" s="143"/>
    </row>
    <row r="282" spans="1:17" x14ac:dyDescent="0.25">
      <c r="A282" s="57">
        <f>+'A) Base RI'!A284</f>
        <v>5890</v>
      </c>
      <c r="B282" s="350" t="str">
        <f>+'A) Base RI'!B284</f>
        <v>Vevey</v>
      </c>
      <c r="C282" s="364">
        <f>+'D) Ecrêtage'!M282</f>
        <v>909212.90865296812</v>
      </c>
      <c r="D282" s="332">
        <v>6162822</v>
      </c>
      <c r="E282" s="364">
        <v>3495450</v>
      </c>
      <c r="F282" s="332">
        <v>145245</v>
      </c>
      <c r="G282" s="364">
        <f t="shared" si="50"/>
        <v>9803517</v>
      </c>
      <c r="H282" s="332">
        <f t="shared" si="51"/>
        <v>7273703.269223745</v>
      </c>
      <c r="I282" s="14">
        <f t="shared" si="52"/>
        <v>2529813.730776255</v>
      </c>
      <c r="J282" s="361">
        <f t="shared" si="47"/>
        <v>-1856598.0859346816</v>
      </c>
      <c r="K282" s="19">
        <v>100000</v>
      </c>
      <c r="L282" s="14">
        <f t="shared" si="48"/>
        <v>909212.90865296812</v>
      </c>
      <c r="M282" s="19">
        <f t="shared" si="53"/>
        <v>0</v>
      </c>
      <c r="N282" s="4">
        <f t="shared" si="49"/>
        <v>0</v>
      </c>
      <c r="O282" s="147">
        <f t="shared" si="54"/>
        <v>-1856598.0859346816</v>
      </c>
      <c r="P282" s="41">
        <f>O282/'D) Ecrêtage'!C282</f>
        <v>-2.0419838612776613</v>
      </c>
      <c r="Q282" s="143"/>
    </row>
    <row r="283" spans="1:17" x14ac:dyDescent="0.25">
      <c r="A283" s="57">
        <f>+'A) Base RI'!A285</f>
        <v>5891</v>
      </c>
      <c r="B283" s="350" t="str">
        <f>+'A) Base RI'!B285</f>
        <v>Veytaux</v>
      </c>
      <c r="C283" s="364">
        <f>+'D) Ecrêtage'!M283</f>
        <v>39510.481835748789</v>
      </c>
      <c r="D283" s="332">
        <v>213666</v>
      </c>
      <c r="E283" s="364">
        <v>106436</v>
      </c>
      <c r="F283" s="332">
        <v>30000</v>
      </c>
      <c r="G283" s="364">
        <f t="shared" si="50"/>
        <v>350102</v>
      </c>
      <c r="H283" s="332">
        <f t="shared" si="51"/>
        <v>316083.85468599031</v>
      </c>
      <c r="I283" s="14">
        <f t="shared" si="52"/>
        <v>34018.145314009686</v>
      </c>
      <c r="J283" s="361">
        <f t="shared" si="47"/>
        <v>-24965.483706841394</v>
      </c>
      <c r="K283" s="19">
        <v>408978</v>
      </c>
      <c r="L283" s="14">
        <f t="shared" si="48"/>
        <v>39510.481835748789</v>
      </c>
      <c r="M283" s="19">
        <f t="shared" si="53"/>
        <v>369467.51816425123</v>
      </c>
      <c r="N283" s="4">
        <f t="shared" si="49"/>
        <v>-271147.50730217062</v>
      </c>
      <c r="O283" s="147">
        <f t="shared" si="54"/>
        <v>-296112.99100901204</v>
      </c>
      <c r="P283" s="41">
        <f>O283/'D) Ecrêtage'!C283</f>
        <v>-7.4945426441519931</v>
      </c>
      <c r="Q283" s="143"/>
    </row>
    <row r="284" spans="1:17" x14ac:dyDescent="0.25">
      <c r="A284" s="57">
        <f>+'A) Base RI'!A286</f>
        <v>5902</v>
      </c>
      <c r="B284" s="350" t="str">
        <f>+'A) Base RI'!B286</f>
        <v>Belmont-sur-Yverdon</v>
      </c>
      <c r="C284" s="364">
        <f>+'D) Ecrêtage'!M284</f>
        <v>9227.1448684210518</v>
      </c>
      <c r="D284" s="332">
        <v>11477</v>
      </c>
      <c r="E284" s="364">
        <v>14824</v>
      </c>
      <c r="F284" s="332">
        <v>49877</v>
      </c>
      <c r="G284" s="364">
        <f t="shared" si="50"/>
        <v>76178</v>
      </c>
      <c r="H284" s="332">
        <f t="shared" si="51"/>
        <v>73817.158947368414</v>
      </c>
      <c r="I284" s="14">
        <f t="shared" si="52"/>
        <v>2360.8410526315856</v>
      </c>
      <c r="J284" s="361">
        <f t="shared" si="47"/>
        <v>-1732.5911889042077</v>
      </c>
      <c r="K284" s="19">
        <v>17472</v>
      </c>
      <c r="L284" s="14">
        <f t="shared" si="48"/>
        <v>9227.1448684210518</v>
      </c>
      <c r="M284" s="19">
        <f t="shared" si="53"/>
        <v>8244.8551315789482</v>
      </c>
      <c r="N284" s="4">
        <f t="shared" si="49"/>
        <v>-6050.7942027025256</v>
      </c>
      <c r="O284" s="147">
        <f t="shared" si="54"/>
        <v>-7783.3853916067328</v>
      </c>
      <c r="P284" s="41">
        <f>O284/'D) Ecrêtage'!C284</f>
        <v>-0.84353128758653872</v>
      </c>
      <c r="Q284" s="143"/>
    </row>
    <row r="285" spans="1:17" x14ac:dyDescent="0.25">
      <c r="A285" s="57">
        <f>+'A) Base RI'!A287</f>
        <v>5903</v>
      </c>
      <c r="B285" s="350" t="str">
        <f>+'A) Base RI'!B287</f>
        <v>Bioley-Magnoux</v>
      </c>
      <c r="C285" s="364">
        <f>+'D) Ecrêtage'!M285</f>
        <v>5953.911158301159</v>
      </c>
      <c r="D285" s="332">
        <v>313232</v>
      </c>
      <c r="E285" s="364">
        <v>8075</v>
      </c>
      <c r="F285" s="332">
        <v>22624</v>
      </c>
      <c r="G285" s="364">
        <f t="shared" si="50"/>
        <v>343931</v>
      </c>
      <c r="H285" s="332">
        <f t="shared" si="51"/>
        <v>47631.289266409272</v>
      </c>
      <c r="I285" s="14">
        <f t="shared" si="52"/>
        <v>296299.71073359071</v>
      </c>
      <c r="J285" s="361">
        <f t="shared" si="47"/>
        <v>-217450.58504453101</v>
      </c>
      <c r="K285" s="19">
        <v>19758</v>
      </c>
      <c r="L285" s="14">
        <f t="shared" si="48"/>
        <v>5953.911158301159</v>
      </c>
      <c r="M285" s="19">
        <f t="shared" si="53"/>
        <v>13804.088841698842</v>
      </c>
      <c r="N285" s="4">
        <f t="shared" si="49"/>
        <v>-10130.64503911377</v>
      </c>
      <c r="O285" s="147">
        <f t="shared" si="54"/>
        <v>-227581.23008364477</v>
      </c>
      <c r="P285" s="41">
        <f>O285/'D) Ecrêtage'!C285</f>
        <v>-38.223820280949738</v>
      </c>
      <c r="Q285" s="143"/>
    </row>
    <row r="286" spans="1:17" x14ac:dyDescent="0.25">
      <c r="A286" s="57">
        <f>+'A) Base RI'!A288</f>
        <v>5904</v>
      </c>
      <c r="B286" s="350" t="str">
        <f>+'A) Base RI'!B288</f>
        <v>Chamblon</v>
      </c>
      <c r="C286" s="364">
        <f>+'D) Ecrêtage'!M286</f>
        <v>22914.009848484849</v>
      </c>
      <c r="D286" s="332">
        <v>65817</v>
      </c>
      <c r="E286" s="364">
        <v>22819</v>
      </c>
      <c r="F286" s="332">
        <v>23695</v>
      </c>
      <c r="G286" s="364">
        <f t="shared" si="50"/>
        <v>112331</v>
      </c>
      <c r="H286" s="332">
        <f t="shared" si="51"/>
        <v>183312.0787878788</v>
      </c>
      <c r="I286" s="14">
        <f t="shared" si="52"/>
        <v>0</v>
      </c>
      <c r="J286" s="361">
        <f t="shared" si="47"/>
        <v>0</v>
      </c>
      <c r="K286" s="19">
        <v>1716</v>
      </c>
      <c r="L286" s="14">
        <f t="shared" si="48"/>
        <v>22914.009848484849</v>
      </c>
      <c r="M286" s="19">
        <f t="shared" si="53"/>
        <v>0</v>
      </c>
      <c r="N286" s="4">
        <f t="shared" si="49"/>
        <v>0</v>
      </c>
      <c r="O286" s="147">
        <f t="shared" si="54"/>
        <v>0</v>
      </c>
      <c r="P286" s="41">
        <f>O286/'D) Ecrêtage'!C286</f>
        <v>0</v>
      </c>
      <c r="Q286" s="143"/>
    </row>
    <row r="287" spans="1:17" x14ac:dyDescent="0.25">
      <c r="A287" s="57">
        <f>+'A) Base RI'!A289</f>
        <v>5905</v>
      </c>
      <c r="B287" s="350" t="str">
        <f>+'A) Base RI'!B289</f>
        <v>Champvent</v>
      </c>
      <c r="C287" s="364">
        <f>+'D) Ecrêtage'!M287</f>
        <v>21038.740140845071</v>
      </c>
      <c r="D287" s="332">
        <v>57795</v>
      </c>
      <c r="E287" s="364">
        <v>61968</v>
      </c>
      <c r="F287" s="332">
        <v>66317</v>
      </c>
      <c r="G287" s="364">
        <f t="shared" si="50"/>
        <v>186080</v>
      </c>
      <c r="H287" s="332">
        <f t="shared" si="51"/>
        <v>168309.92112676057</v>
      </c>
      <c r="I287" s="14">
        <f t="shared" si="52"/>
        <v>17770.078873239429</v>
      </c>
      <c r="J287" s="361">
        <f t="shared" si="47"/>
        <v>-13041.23462593482</v>
      </c>
      <c r="K287" s="19">
        <v>66358</v>
      </c>
      <c r="L287" s="14">
        <f t="shared" si="48"/>
        <v>21038.740140845071</v>
      </c>
      <c r="M287" s="19">
        <f t="shared" si="53"/>
        <v>45319.259859154932</v>
      </c>
      <c r="N287" s="4">
        <f t="shared" si="49"/>
        <v>-33259.227779060973</v>
      </c>
      <c r="O287" s="147">
        <f t="shared" si="54"/>
        <v>-46300.462404995793</v>
      </c>
      <c r="P287" s="41">
        <f>O287/'D) Ecrêtage'!C287</f>
        <v>-2.2007240973097559</v>
      </c>
      <c r="Q287" s="143"/>
    </row>
    <row r="288" spans="1:17" x14ac:dyDescent="0.25">
      <c r="A288" s="57">
        <f>+'A) Base RI'!A290</f>
        <v>5907</v>
      </c>
      <c r="B288" s="350" t="str">
        <f>+'A) Base RI'!B290</f>
        <v>Chavannes-le-Chêne</v>
      </c>
      <c r="C288" s="364">
        <f>+'D) Ecrêtage'!M288</f>
        <v>8819.3566666666684</v>
      </c>
      <c r="D288" s="332">
        <v>135923</v>
      </c>
      <c r="E288" s="364">
        <v>11168</v>
      </c>
      <c r="F288" s="332">
        <v>25317</v>
      </c>
      <c r="G288" s="364">
        <f t="shared" si="50"/>
        <v>172408</v>
      </c>
      <c r="H288" s="332">
        <f t="shared" si="51"/>
        <v>70554.853333333347</v>
      </c>
      <c r="I288" s="14">
        <f t="shared" si="52"/>
        <v>101853.14666666665</v>
      </c>
      <c r="J288" s="361">
        <f t="shared" si="47"/>
        <v>-74748.727484269621</v>
      </c>
      <c r="K288" s="19">
        <v>7248</v>
      </c>
      <c r="L288" s="14">
        <f t="shared" si="48"/>
        <v>8819.3566666666684</v>
      </c>
      <c r="M288" s="19">
        <f t="shared" si="53"/>
        <v>0</v>
      </c>
      <c r="N288" s="4">
        <f t="shared" si="49"/>
        <v>0</v>
      </c>
      <c r="O288" s="147">
        <f t="shared" si="54"/>
        <v>-74748.727484269621</v>
      </c>
      <c r="P288" s="41">
        <f>O288/'D) Ecrêtage'!C288</f>
        <v>-8.4755306208203702</v>
      </c>
      <c r="Q288" s="143"/>
    </row>
    <row r="289" spans="1:17" x14ac:dyDescent="0.25">
      <c r="A289" s="57">
        <f>+'A) Base RI'!A291</f>
        <v>5908</v>
      </c>
      <c r="B289" s="350" t="str">
        <f>+'A) Base RI'!B291</f>
        <v>Chêne-Pâquier</v>
      </c>
      <c r="C289" s="364">
        <f>+'D) Ecrêtage'!M289</f>
        <v>2915.1287341772154</v>
      </c>
      <c r="D289" s="332">
        <v>13408</v>
      </c>
      <c r="E289" s="364">
        <v>5022</v>
      </c>
      <c r="F289" s="332">
        <v>11421</v>
      </c>
      <c r="G289" s="364">
        <f t="shared" si="50"/>
        <v>29851</v>
      </c>
      <c r="H289" s="332">
        <f t="shared" si="51"/>
        <v>23321.029873417723</v>
      </c>
      <c r="I289" s="14">
        <f t="shared" si="52"/>
        <v>6529.9701265822769</v>
      </c>
      <c r="J289" s="361">
        <f t="shared" si="47"/>
        <v>-4792.2619324638135</v>
      </c>
      <c r="K289" s="19">
        <v>13980</v>
      </c>
      <c r="L289" s="14">
        <f t="shared" si="48"/>
        <v>2915.1287341772154</v>
      </c>
      <c r="M289" s="19">
        <f t="shared" si="53"/>
        <v>11064.871265822785</v>
      </c>
      <c r="N289" s="4">
        <f t="shared" si="49"/>
        <v>-8120.3681375137303</v>
      </c>
      <c r="O289" s="147">
        <f t="shared" si="54"/>
        <v>-12912.630069977544</v>
      </c>
      <c r="P289" s="41">
        <f>O289/'D) Ecrêtage'!C289</f>
        <v>-4.4295231008458664</v>
      </c>
      <c r="Q289" s="143"/>
    </row>
    <row r="290" spans="1:17" x14ac:dyDescent="0.25">
      <c r="A290" s="57">
        <f>+'A) Base RI'!A292</f>
        <v>5909</v>
      </c>
      <c r="B290" s="350" t="str">
        <f>+'A) Base RI'!B292</f>
        <v>Cheseaux-Noréaz</v>
      </c>
      <c r="C290" s="364">
        <f>+'D) Ecrêtage'!M290</f>
        <v>24771.110857142852</v>
      </c>
      <c r="D290" s="332">
        <v>212131</v>
      </c>
      <c r="E290" s="364">
        <v>117935</v>
      </c>
      <c r="F290" s="332">
        <v>37712</v>
      </c>
      <c r="G290" s="364">
        <f t="shared" si="50"/>
        <v>367778</v>
      </c>
      <c r="H290" s="332">
        <f t="shared" si="51"/>
        <v>198168.88685714282</v>
      </c>
      <c r="I290" s="14">
        <f t="shared" si="52"/>
        <v>169609.11314285718</v>
      </c>
      <c r="J290" s="361">
        <f t="shared" si="47"/>
        <v>-124473.96857217782</v>
      </c>
      <c r="K290" s="19">
        <v>8639</v>
      </c>
      <c r="L290" s="14">
        <f t="shared" si="48"/>
        <v>24771.110857142852</v>
      </c>
      <c r="M290" s="19">
        <f t="shared" si="53"/>
        <v>0</v>
      </c>
      <c r="N290" s="4">
        <f t="shared" si="49"/>
        <v>0</v>
      </c>
      <c r="O290" s="147">
        <f t="shared" si="54"/>
        <v>-124473.96857217782</v>
      </c>
      <c r="P290" s="41">
        <f>O290/'D) Ecrêtage'!C290</f>
        <v>-5.0249651414516698</v>
      </c>
      <c r="Q290" s="143"/>
    </row>
    <row r="291" spans="1:17" x14ac:dyDescent="0.25">
      <c r="A291" s="57">
        <f>+'A) Base RI'!A293</f>
        <v>5910</v>
      </c>
      <c r="B291" s="350" t="str">
        <f>+'A) Base RI'!B293</f>
        <v>Cronay</v>
      </c>
      <c r="C291" s="364">
        <f>+'D) Ecrêtage'!M291</f>
        <v>10097.267848101266</v>
      </c>
      <c r="D291" s="332">
        <v>194070</v>
      </c>
      <c r="E291" s="364">
        <v>21935</v>
      </c>
      <c r="F291" s="332">
        <v>29465</v>
      </c>
      <c r="G291" s="364">
        <f t="shared" si="50"/>
        <v>245470</v>
      </c>
      <c r="H291" s="332">
        <f t="shared" si="51"/>
        <v>80778.14278481013</v>
      </c>
      <c r="I291" s="14">
        <f t="shared" si="52"/>
        <v>164691.85721518987</v>
      </c>
      <c r="J291" s="361">
        <f t="shared" si="47"/>
        <v>-120865.25705626838</v>
      </c>
      <c r="K291" s="19">
        <v>-5766</v>
      </c>
      <c r="L291" s="14">
        <f t="shared" si="48"/>
        <v>10097.267848101266</v>
      </c>
      <c r="M291" s="19">
        <f t="shared" si="53"/>
        <v>0</v>
      </c>
      <c r="N291" s="4">
        <f t="shared" si="49"/>
        <v>0</v>
      </c>
      <c r="O291" s="147">
        <f t="shared" si="54"/>
        <v>-120865.25705626838</v>
      </c>
      <c r="P291" s="41">
        <f>O291/'D) Ecrêtage'!C291</f>
        <v>-11.970095165792438</v>
      </c>
      <c r="Q291" s="143"/>
    </row>
    <row r="292" spans="1:17" x14ac:dyDescent="0.25">
      <c r="A292" s="57">
        <f>+'A) Base RI'!A294</f>
        <v>5911</v>
      </c>
      <c r="B292" s="350" t="str">
        <f>+'A) Base RI'!B294</f>
        <v>Cuarny</v>
      </c>
      <c r="C292" s="364">
        <f>+'D) Ecrêtage'!M292</f>
        <v>7741.5774683544305</v>
      </c>
      <c r="D292" s="332">
        <v>175025</v>
      </c>
      <c r="E292" s="364">
        <v>8677</v>
      </c>
      <c r="F292" s="332">
        <v>16198</v>
      </c>
      <c r="G292" s="364">
        <f t="shared" si="50"/>
        <v>199900</v>
      </c>
      <c r="H292" s="332">
        <f t="shared" si="51"/>
        <v>61932.619746835444</v>
      </c>
      <c r="I292" s="14">
        <f t="shared" si="52"/>
        <v>137967.38025316456</v>
      </c>
      <c r="J292" s="361">
        <f t="shared" si="47"/>
        <v>-101252.50368565672</v>
      </c>
      <c r="K292" s="19">
        <v>15159</v>
      </c>
      <c r="L292" s="14">
        <f t="shared" si="48"/>
        <v>7741.5774683544305</v>
      </c>
      <c r="M292" s="19">
        <f t="shared" si="53"/>
        <v>7417.4225316455695</v>
      </c>
      <c r="N292" s="4">
        <f t="shared" si="49"/>
        <v>-5443.5519529717949</v>
      </c>
      <c r="O292" s="147">
        <f t="shared" si="54"/>
        <v>-106696.05563862852</v>
      </c>
      <c r="P292" s="41">
        <f>O292/'D) Ecrêtage'!C292</f>
        <v>-13.782211193361357</v>
      </c>
      <c r="Q292" s="143"/>
    </row>
    <row r="293" spans="1:17" x14ac:dyDescent="0.25">
      <c r="A293" s="57">
        <f>+'A) Base RI'!A295</f>
        <v>5912</v>
      </c>
      <c r="B293" s="350" t="str">
        <f>+'A) Base RI'!B295</f>
        <v>Démoret</v>
      </c>
      <c r="C293" s="364">
        <f>+'D) Ecrêtage'!M293</f>
        <v>2761.8208641975311</v>
      </c>
      <c r="D293" s="332">
        <v>7442</v>
      </c>
      <c r="E293" s="364">
        <v>4941</v>
      </c>
      <c r="F293" s="332">
        <v>3595</v>
      </c>
      <c r="G293" s="364">
        <f t="shared" si="50"/>
        <v>15978</v>
      </c>
      <c r="H293" s="332">
        <f t="shared" si="51"/>
        <v>22094.566913580249</v>
      </c>
      <c r="I293" s="14">
        <f t="shared" si="52"/>
        <v>0</v>
      </c>
      <c r="J293" s="361">
        <f t="shared" si="47"/>
        <v>0</v>
      </c>
      <c r="K293" s="19">
        <v>26443</v>
      </c>
      <c r="L293" s="14">
        <f t="shared" si="48"/>
        <v>2761.8208641975311</v>
      </c>
      <c r="M293" s="19">
        <f t="shared" si="53"/>
        <v>23681.179135802467</v>
      </c>
      <c r="N293" s="4">
        <f t="shared" si="49"/>
        <v>-17379.315845011402</v>
      </c>
      <c r="O293" s="147">
        <f t="shared" si="54"/>
        <v>-17379.315845011402</v>
      </c>
      <c r="P293" s="41">
        <f>O293/'D) Ecrêtage'!C293</f>
        <v>-6.2927020612761932</v>
      </c>
      <c r="Q293" s="143"/>
    </row>
    <row r="294" spans="1:17" x14ac:dyDescent="0.25">
      <c r="A294" s="57">
        <f>+'A) Base RI'!A296</f>
        <v>5913</v>
      </c>
      <c r="B294" s="350" t="str">
        <f>+'A) Base RI'!B296</f>
        <v>Donneloye</v>
      </c>
      <c r="C294" s="364">
        <f>+'D) Ecrêtage'!M294</f>
        <v>21023.999589041094</v>
      </c>
      <c r="D294" s="332">
        <v>134421</v>
      </c>
      <c r="E294" s="364">
        <v>46099</v>
      </c>
      <c r="F294" s="332">
        <v>75248</v>
      </c>
      <c r="G294" s="364">
        <f t="shared" si="50"/>
        <v>255768</v>
      </c>
      <c r="H294" s="332">
        <f t="shared" si="51"/>
        <v>168191.99671232875</v>
      </c>
      <c r="I294" s="14">
        <f t="shared" si="52"/>
        <v>87576.00328767125</v>
      </c>
      <c r="J294" s="361">
        <f t="shared" si="47"/>
        <v>-64270.913743443554</v>
      </c>
      <c r="K294" s="19">
        <v>37864</v>
      </c>
      <c r="L294" s="14">
        <f t="shared" si="48"/>
        <v>21023.999589041094</v>
      </c>
      <c r="M294" s="19">
        <f t="shared" si="53"/>
        <v>16840.000410958906</v>
      </c>
      <c r="N294" s="4">
        <f t="shared" si="49"/>
        <v>-12358.661884775242</v>
      </c>
      <c r="O294" s="147">
        <f t="shared" si="54"/>
        <v>-76629.575628218794</v>
      </c>
      <c r="P294" s="41">
        <f>O294/'D) Ecrêtage'!C294</f>
        <v>-3.6448619257090593</v>
      </c>
      <c r="Q294" s="143"/>
    </row>
    <row r="295" spans="1:17" x14ac:dyDescent="0.25">
      <c r="A295" s="57">
        <f>+'A) Base RI'!A297</f>
        <v>5914</v>
      </c>
      <c r="B295" s="350" t="str">
        <f>+'A) Base RI'!B297</f>
        <v>Ependes</v>
      </c>
      <c r="C295" s="364">
        <f>+'D) Ecrêtage'!M295</f>
        <v>8838.0616000000009</v>
      </c>
      <c r="D295" s="332">
        <v>31676</v>
      </c>
      <c r="E295" s="364">
        <v>34650</v>
      </c>
      <c r="F295" s="332">
        <v>47880</v>
      </c>
      <c r="G295" s="364">
        <f t="shared" si="50"/>
        <v>114206</v>
      </c>
      <c r="H295" s="332">
        <f t="shared" si="51"/>
        <v>70704.492800000007</v>
      </c>
      <c r="I295" s="14">
        <f t="shared" si="52"/>
        <v>43501.507199999993</v>
      </c>
      <c r="J295" s="361">
        <f t="shared" si="47"/>
        <v>-31925.202247207213</v>
      </c>
      <c r="K295" s="19">
        <v>16410</v>
      </c>
      <c r="L295" s="14">
        <f t="shared" si="48"/>
        <v>8838.0616000000009</v>
      </c>
      <c r="M295" s="19">
        <f t="shared" si="53"/>
        <v>7571.9383999999991</v>
      </c>
      <c r="N295" s="4">
        <f t="shared" si="49"/>
        <v>-5556.9491813698487</v>
      </c>
      <c r="O295" s="147">
        <f t="shared" si="54"/>
        <v>-37482.151428577061</v>
      </c>
      <c r="P295" s="41">
        <f>O295/'D) Ecrêtage'!C295</f>
        <v>-4.2409923267085006</v>
      </c>
      <c r="Q295" s="143"/>
    </row>
    <row r="296" spans="1:17" x14ac:dyDescent="0.25">
      <c r="A296" s="57">
        <f>+'A) Base RI'!A298</f>
        <v>5919</v>
      </c>
      <c r="B296" s="350" t="str">
        <f>+'A) Base RI'!B298</f>
        <v>Mathod</v>
      </c>
      <c r="C296" s="364">
        <f>+'D) Ecrêtage'!M296</f>
        <v>16883.878828828827</v>
      </c>
      <c r="D296" s="332">
        <v>208472</v>
      </c>
      <c r="E296" s="364">
        <v>35011</v>
      </c>
      <c r="F296" s="332">
        <v>31091</v>
      </c>
      <c r="G296" s="364">
        <f t="shared" si="50"/>
        <v>274574</v>
      </c>
      <c r="H296" s="332">
        <f t="shared" si="51"/>
        <v>135071.03063063062</v>
      </c>
      <c r="I296" s="14">
        <f t="shared" si="52"/>
        <v>139502.96936936938</v>
      </c>
      <c r="J296" s="361">
        <f t="shared" si="47"/>
        <v>-102379.4529860122</v>
      </c>
      <c r="K296" s="19">
        <v>7621</v>
      </c>
      <c r="L296" s="14">
        <f t="shared" si="48"/>
        <v>16883.878828828827</v>
      </c>
      <c r="M296" s="19">
        <f t="shared" si="53"/>
        <v>0</v>
      </c>
      <c r="N296" s="4">
        <f t="shared" si="49"/>
        <v>0</v>
      </c>
      <c r="O296" s="147">
        <f t="shared" si="54"/>
        <v>-102379.4529860122</v>
      </c>
      <c r="P296" s="41">
        <f>O296/'D) Ecrêtage'!C296</f>
        <v>-6.0637400933724832</v>
      </c>
      <c r="Q296" s="143"/>
    </row>
    <row r="297" spans="1:17" x14ac:dyDescent="0.25">
      <c r="A297" s="57">
        <f>+'A) Base RI'!A299</f>
        <v>5921</v>
      </c>
      <c r="B297" s="350" t="str">
        <f>+'A) Base RI'!B299</f>
        <v>Molondin</v>
      </c>
      <c r="C297" s="364">
        <f>+'D) Ecrêtage'!M297</f>
        <v>5518.0840740740732</v>
      </c>
      <c r="D297" s="332">
        <v>61694</v>
      </c>
      <c r="E297" s="364">
        <v>8999</v>
      </c>
      <c r="F297" s="332">
        <v>14856</v>
      </c>
      <c r="G297" s="364">
        <f t="shared" si="50"/>
        <v>85549</v>
      </c>
      <c r="H297" s="332">
        <f t="shared" si="51"/>
        <v>44144.672592592586</v>
      </c>
      <c r="I297" s="14">
        <f t="shared" si="52"/>
        <v>41404.327407407414</v>
      </c>
      <c r="J297" s="361">
        <f t="shared" si="47"/>
        <v>-30386.108699954806</v>
      </c>
      <c r="K297" s="19">
        <v>53564</v>
      </c>
      <c r="L297" s="14">
        <f t="shared" si="48"/>
        <v>5518.0840740740732</v>
      </c>
      <c r="M297" s="19">
        <f t="shared" si="53"/>
        <v>48045.915925925925</v>
      </c>
      <c r="N297" s="4">
        <f t="shared" si="49"/>
        <v>-35260.285949069352</v>
      </c>
      <c r="O297" s="147">
        <f t="shared" si="54"/>
        <v>-65646.394649024151</v>
      </c>
      <c r="P297" s="41">
        <f>O297/'D) Ecrêtage'!C297</f>
        <v>-11.896591963405255</v>
      </c>
      <c r="Q297" s="143"/>
    </row>
    <row r="298" spans="1:17" x14ac:dyDescent="0.25">
      <c r="A298" s="57">
        <f>+'A) Base RI'!A300</f>
        <v>5922</v>
      </c>
      <c r="B298" s="350" t="str">
        <f>+'A) Base RI'!B300</f>
        <v>Montagny-près-Yverdon</v>
      </c>
      <c r="C298" s="364">
        <f>+'D) Ecrêtage'!M298</f>
        <v>44301.234100704613</v>
      </c>
      <c r="D298" s="332">
        <v>89643</v>
      </c>
      <c r="E298" s="364">
        <v>301076</v>
      </c>
      <c r="F298" s="332">
        <v>117021</v>
      </c>
      <c r="G298" s="364">
        <f t="shared" si="50"/>
        <v>507740</v>
      </c>
      <c r="H298" s="332">
        <f t="shared" si="51"/>
        <v>354409.8728056369</v>
      </c>
      <c r="I298" s="14">
        <f t="shared" si="52"/>
        <v>153330.1271943631</v>
      </c>
      <c r="J298" s="361">
        <f t="shared" si="47"/>
        <v>-112527.02805823815</v>
      </c>
      <c r="K298" s="19">
        <v>4699</v>
      </c>
      <c r="L298" s="14">
        <f t="shared" si="48"/>
        <v>44301.234100704613</v>
      </c>
      <c r="M298" s="19">
        <f t="shared" si="53"/>
        <v>0</v>
      </c>
      <c r="N298" s="4">
        <f t="shared" si="49"/>
        <v>0</v>
      </c>
      <c r="O298" s="147">
        <f t="shared" si="54"/>
        <v>-112527.02805823815</v>
      </c>
      <c r="P298" s="41">
        <f>O298/'D) Ecrêtage'!C298</f>
        <v>-2.4990210601283658</v>
      </c>
      <c r="Q298" s="143"/>
    </row>
    <row r="299" spans="1:17" x14ac:dyDescent="0.25">
      <c r="A299" s="57">
        <f>+'A) Base RI'!A301</f>
        <v>5923</v>
      </c>
      <c r="B299" s="350" t="str">
        <f>+'A) Base RI'!B301</f>
        <v>Oppens</v>
      </c>
      <c r="C299" s="364">
        <f>+'D) Ecrêtage'!M299</f>
        <v>4881.0219753086412</v>
      </c>
      <c r="D299" s="332">
        <v>44271</v>
      </c>
      <c r="E299" s="364">
        <v>10967</v>
      </c>
      <c r="F299" s="332">
        <v>17902</v>
      </c>
      <c r="G299" s="364">
        <f t="shared" si="50"/>
        <v>73140</v>
      </c>
      <c r="H299" s="332">
        <f t="shared" si="51"/>
        <v>39048.17580246913</v>
      </c>
      <c r="I299" s="14">
        <f t="shared" si="52"/>
        <v>34091.82419753087</v>
      </c>
      <c r="J299" s="361">
        <f t="shared" si="47"/>
        <v>-25019.55570133455</v>
      </c>
      <c r="K299" s="19">
        <v>22675</v>
      </c>
      <c r="L299" s="14">
        <f t="shared" si="48"/>
        <v>4881.0219753086412</v>
      </c>
      <c r="M299" s="19">
        <f t="shared" si="53"/>
        <v>17793.978024691358</v>
      </c>
      <c r="N299" s="4">
        <f t="shared" si="49"/>
        <v>-13058.773908887286</v>
      </c>
      <c r="O299" s="147">
        <f t="shared" si="54"/>
        <v>-38078.329610221837</v>
      </c>
      <c r="P299" s="41">
        <f>O299/'D) Ecrêtage'!C299</f>
        <v>-7.8013026376129018</v>
      </c>
      <c r="Q299" s="143"/>
    </row>
    <row r="300" spans="1:17" x14ac:dyDescent="0.25">
      <c r="A300" s="57">
        <f>+'A) Base RI'!A302</f>
        <v>5924</v>
      </c>
      <c r="B300" s="350" t="str">
        <f>+'A) Base RI'!B302</f>
        <v>Orges</v>
      </c>
      <c r="C300" s="364">
        <f>+'D) Ecrêtage'!M300</f>
        <v>9476.448378378378</v>
      </c>
      <c r="D300" s="332">
        <v>33551</v>
      </c>
      <c r="E300" s="364">
        <v>11047</v>
      </c>
      <c r="F300" s="332">
        <v>27449</v>
      </c>
      <c r="G300" s="364">
        <f t="shared" si="50"/>
        <v>72047</v>
      </c>
      <c r="H300" s="332">
        <f t="shared" si="51"/>
        <v>75811.587027027024</v>
      </c>
      <c r="I300" s="14">
        <f t="shared" si="52"/>
        <v>0</v>
      </c>
      <c r="J300" s="361">
        <f t="shared" si="47"/>
        <v>0</v>
      </c>
      <c r="K300" s="19">
        <v>4807</v>
      </c>
      <c r="L300" s="14">
        <f t="shared" si="48"/>
        <v>9476.448378378378</v>
      </c>
      <c r="M300" s="19">
        <f t="shared" si="53"/>
        <v>0</v>
      </c>
      <c r="N300" s="4">
        <f t="shared" si="49"/>
        <v>0</v>
      </c>
      <c r="O300" s="147">
        <f t="shared" si="54"/>
        <v>0</v>
      </c>
      <c r="P300" s="41">
        <f>O300/'D) Ecrêtage'!C300</f>
        <v>0</v>
      </c>
      <c r="Q300" s="143"/>
    </row>
    <row r="301" spans="1:17" x14ac:dyDescent="0.25">
      <c r="A301" s="57">
        <f>+'A) Base RI'!A303</f>
        <v>5925</v>
      </c>
      <c r="B301" s="350" t="str">
        <f>+'A) Base RI'!B303</f>
        <v>Orzens</v>
      </c>
      <c r="C301" s="364">
        <f>+'D) Ecrêtage'!M301</f>
        <v>4875.4426582278484</v>
      </c>
      <c r="D301" s="332">
        <v>12304</v>
      </c>
      <c r="E301" s="364">
        <v>12715</v>
      </c>
      <c r="F301" s="332">
        <v>20755</v>
      </c>
      <c r="G301" s="364">
        <f t="shared" si="50"/>
        <v>45774</v>
      </c>
      <c r="H301" s="332">
        <f t="shared" si="51"/>
        <v>39003.541265822787</v>
      </c>
      <c r="I301" s="14">
        <f t="shared" si="52"/>
        <v>6770.458734177213</v>
      </c>
      <c r="J301" s="361">
        <f t="shared" si="47"/>
        <v>-4968.7534595348016</v>
      </c>
      <c r="K301" s="19">
        <v>14085</v>
      </c>
      <c r="L301" s="14">
        <f t="shared" si="48"/>
        <v>4875.4426582278484</v>
      </c>
      <c r="M301" s="19">
        <f t="shared" si="53"/>
        <v>9209.5573417721516</v>
      </c>
      <c r="N301" s="4">
        <f t="shared" si="49"/>
        <v>-6758.7768716052215</v>
      </c>
      <c r="O301" s="147">
        <f t="shared" si="54"/>
        <v>-11727.530331140024</v>
      </c>
      <c r="P301" s="41">
        <f>O301/'D) Ecrêtage'!C301</f>
        <v>-2.4054288304157407</v>
      </c>
      <c r="Q301" s="143"/>
    </row>
    <row r="302" spans="1:17" x14ac:dyDescent="0.25">
      <c r="A302" s="57">
        <f>+'A) Base RI'!A304</f>
        <v>5926</v>
      </c>
      <c r="B302" s="350" t="str">
        <f>+'A) Base RI'!B304</f>
        <v>Pomy</v>
      </c>
      <c r="C302" s="364">
        <f>+'D) Ecrêtage'!M302</f>
        <v>22774.42661971831</v>
      </c>
      <c r="D302" s="332">
        <v>74146</v>
      </c>
      <c r="E302" s="364">
        <v>43990</v>
      </c>
      <c r="F302" s="332">
        <v>71053</v>
      </c>
      <c r="G302" s="364">
        <f t="shared" si="50"/>
        <v>189189</v>
      </c>
      <c r="H302" s="332">
        <f t="shared" si="51"/>
        <v>182195.41295774648</v>
      </c>
      <c r="I302" s="14">
        <f t="shared" si="52"/>
        <v>6993.5870422535227</v>
      </c>
      <c r="J302" s="361">
        <f t="shared" si="47"/>
        <v>-5132.504483830653</v>
      </c>
      <c r="K302" s="19">
        <v>44599</v>
      </c>
      <c r="L302" s="14">
        <f t="shared" si="48"/>
        <v>22774.42661971831</v>
      </c>
      <c r="M302" s="19">
        <f t="shared" si="53"/>
        <v>21824.57338028169</v>
      </c>
      <c r="N302" s="4">
        <f t="shared" si="49"/>
        <v>-16016.776520435316</v>
      </c>
      <c r="O302" s="147">
        <f t="shared" si="54"/>
        <v>-21149.281004265969</v>
      </c>
      <c r="P302" s="41">
        <f>O302/'D) Ecrêtage'!C302</f>
        <v>-0.92864164518437209</v>
      </c>
      <c r="Q302" s="143"/>
    </row>
    <row r="303" spans="1:17" x14ac:dyDescent="0.25">
      <c r="A303" s="57">
        <f>+'A) Base RI'!A305</f>
        <v>5928</v>
      </c>
      <c r="B303" s="350" t="str">
        <f>+'A) Base RI'!B305</f>
        <v>Rovray</v>
      </c>
      <c r="C303" s="364">
        <f>+'D) Ecrêtage'!M303</f>
        <v>4451.7282191780823</v>
      </c>
      <c r="D303" s="332">
        <v>27553</v>
      </c>
      <c r="E303" s="364">
        <v>7071</v>
      </c>
      <c r="F303" s="332">
        <v>14379</v>
      </c>
      <c r="G303" s="364">
        <f t="shared" si="50"/>
        <v>49003</v>
      </c>
      <c r="H303" s="332">
        <f t="shared" si="51"/>
        <v>35613.825753424659</v>
      </c>
      <c r="I303" s="14">
        <f t="shared" si="52"/>
        <v>13389.174246575341</v>
      </c>
      <c r="J303" s="361">
        <f t="shared" si="47"/>
        <v>-9826.1445006902213</v>
      </c>
      <c r="K303" s="19">
        <v>5180</v>
      </c>
      <c r="L303" s="14">
        <f t="shared" si="48"/>
        <v>4451.7282191780823</v>
      </c>
      <c r="M303" s="19">
        <f t="shared" si="53"/>
        <v>728.27178082191767</v>
      </c>
      <c r="N303" s="4">
        <f t="shared" si="49"/>
        <v>-534.46938715892327</v>
      </c>
      <c r="O303" s="147">
        <f t="shared" si="54"/>
        <v>-10360.613887849144</v>
      </c>
      <c r="P303" s="41">
        <f>O303/'D) Ecrêtage'!C303</f>
        <v>-2.3273239914367485</v>
      </c>
      <c r="Q303" s="143"/>
    </row>
    <row r="304" spans="1:17" x14ac:dyDescent="0.25">
      <c r="A304" s="57">
        <f>+'A) Base RI'!A306</f>
        <v>5929</v>
      </c>
      <c r="B304" s="350" t="str">
        <f>+'A) Base RI'!B306</f>
        <v>Suchy</v>
      </c>
      <c r="C304" s="364">
        <f>+'D) Ecrêtage'!M304</f>
        <v>16583.788428571432</v>
      </c>
      <c r="D304" s="332">
        <v>54352</v>
      </c>
      <c r="E304" s="364">
        <v>21774</v>
      </c>
      <c r="F304" s="332">
        <v>49298</v>
      </c>
      <c r="G304" s="364">
        <f t="shared" si="50"/>
        <v>125424</v>
      </c>
      <c r="H304" s="332">
        <f t="shared" si="51"/>
        <v>132670.30742857145</v>
      </c>
      <c r="I304" s="14">
        <f t="shared" si="52"/>
        <v>0</v>
      </c>
      <c r="J304" s="361">
        <f t="shared" si="47"/>
        <v>0</v>
      </c>
      <c r="K304" s="19">
        <v>37800</v>
      </c>
      <c r="L304" s="14">
        <f t="shared" si="48"/>
        <v>16583.788428571432</v>
      </c>
      <c r="M304" s="19">
        <f t="shared" si="53"/>
        <v>21216.211571428568</v>
      </c>
      <c r="N304" s="4">
        <f t="shared" si="49"/>
        <v>-15570.307534939735</v>
      </c>
      <c r="O304" s="147">
        <f t="shared" si="54"/>
        <v>-15570.307534939735</v>
      </c>
      <c r="P304" s="41">
        <f>O304/'D) Ecrêtage'!C304</f>
        <v>-0.93888725136618256</v>
      </c>
      <c r="Q304" s="143"/>
    </row>
    <row r="305" spans="1:17" x14ac:dyDescent="0.25">
      <c r="A305" s="57">
        <f>+'A) Base RI'!A307</f>
        <v>5930</v>
      </c>
      <c r="B305" s="350" t="str">
        <f>+'A) Base RI'!B307</f>
        <v>Suscévaz</v>
      </c>
      <c r="C305" s="364">
        <f>+'D) Ecrêtage'!M305</f>
        <v>4886.5228787878787</v>
      </c>
      <c r="D305" s="332">
        <v>17604</v>
      </c>
      <c r="E305" s="364">
        <v>11992</v>
      </c>
      <c r="F305" s="332">
        <v>10012</v>
      </c>
      <c r="G305" s="364">
        <f t="shared" si="50"/>
        <v>39608</v>
      </c>
      <c r="H305" s="332">
        <f t="shared" si="51"/>
        <v>39092.183030303029</v>
      </c>
      <c r="I305" s="14">
        <f t="shared" si="52"/>
        <v>515.81696969697077</v>
      </c>
      <c r="J305" s="361">
        <f t="shared" si="47"/>
        <v>-378.55150637441244</v>
      </c>
      <c r="K305" s="19">
        <v>1102</v>
      </c>
      <c r="L305" s="14">
        <f t="shared" si="48"/>
        <v>4886.5228787878787</v>
      </c>
      <c r="M305" s="19">
        <f t="shared" si="53"/>
        <v>0</v>
      </c>
      <c r="N305" s="4">
        <f t="shared" si="49"/>
        <v>0</v>
      </c>
      <c r="O305" s="147">
        <f t="shared" si="54"/>
        <v>-378.55150637441244</v>
      </c>
      <c r="P305" s="41">
        <f>O305/'D) Ecrêtage'!C305</f>
        <v>-7.7468481323945765E-2</v>
      </c>
      <c r="Q305" s="143"/>
    </row>
    <row r="306" spans="1:17" x14ac:dyDescent="0.25">
      <c r="A306" s="57">
        <f>+'A) Base RI'!A308</f>
        <v>5931</v>
      </c>
      <c r="B306" s="350" t="str">
        <f>+'A) Base RI'!B308</f>
        <v>Treycovagnes</v>
      </c>
      <c r="C306" s="364">
        <f>+'D) Ecrêtage'!M306</f>
        <v>16368.774155844154</v>
      </c>
      <c r="D306" s="332">
        <v>81950</v>
      </c>
      <c r="E306" s="364">
        <v>27840</v>
      </c>
      <c r="F306" s="332">
        <v>20713</v>
      </c>
      <c r="G306" s="364">
        <f t="shared" si="50"/>
        <v>130503</v>
      </c>
      <c r="H306" s="332">
        <f t="shared" si="51"/>
        <v>130950.19324675323</v>
      </c>
      <c r="I306" s="14">
        <f t="shared" si="52"/>
        <v>0</v>
      </c>
      <c r="J306" s="361">
        <f t="shared" si="47"/>
        <v>0</v>
      </c>
      <c r="K306" s="19">
        <v>1399</v>
      </c>
      <c r="L306" s="14">
        <f t="shared" si="48"/>
        <v>16368.774155844154</v>
      </c>
      <c r="M306" s="19">
        <f t="shared" si="53"/>
        <v>0</v>
      </c>
      <c r="N306" s="4">
        <f t="shared" si="49"/>
        <v>0</v>
      </c>
      <c r="O306" s="147">
        <f t="shared" si="54"/>
        <v>0</v>
      </c>
      <c r="P306" s="41">
        <f>O306/'D) Ecrêtage'!C306</f>
        <v>0</v>
      </c>
      <c r="Q306" s="143"/>
    </row>
    <row r="307" spans="1:17" x14ac:dyDescent="0.25">
      <c r="A307" s="57">
        <f>+'A) Base RI'!A309</f>
        <v>5932</v>
      </c>
      <c r="B307" s="350" t="str">
        <f>+'A) Base RI'!B309</f>
        <v>Ursins</v>
      </c>
      <c r="C307" s="364">
        <f>+'D) Ecrêtage'!M307</f>
        <v>6366.2738461538456</v>
      </c>
      <c r="D307" s="332">
        <v>220536</v>
      </c>
      <c r="E307" s="364">
        <v>8316</v>
      </c>
      <c r="F307" s="332">
        <v>8921</v>
      </c>
      <c r="G307" s="364">
        <f t="shared" si="50"/>
        <v>237773</v>
      </c>
      <c r="H307" s="332">
        <f t="shared" si="51"/>
        <v>50930.190769230765</v>
      </c>
      <c r="I307" s="14">
        <f t="shared" si="52"/>
        <v>186842.80923076923</v>
      </c>
      <c r="J307" s="361">
        <f t="shared" si="47"/>
        <v>-137121.55870150318</v>
      </c>
      <c r="K307" s="19">
        <v>19972</v>
      </c>
      <c r="L307" s="14">
        <f t="shared" si="48"/>
        <v>6366.2738461538456</v>
      </c>
      <c r="M307" s="19">
        <f t="shared" si="53"/>
        <v>13605.726153846153</v>
      </c>
      <c r="N307" s="4">
        <f t="shared" si="49"/>
        <v>-9985.0691881695366</v>
      </c>
      <c r="O307" s="147">
        <f t="shared" si="54"/>
        <v>-147106.6278896727</v>
      </c>
      <c r="P307" s="41">
        <f>O307/'D) Ecrêtage'!C307</f>
        <v>-23.107178774369952</v>
      </c>
      <c r="Q307" s="143"/>
    </row>
    <row r="308" spans="1:17" x14ac:dyDescent="0.25">
      <c r="A308" s="57">
        <f>+'A) Base RI'!A310</f>
        <v>5933</v>
      </c>
      <c r="B308" s="350" t="str">
        <f>+'A) Base RI'!B310</f>
        <v>Valeyres-sous-Montagny</v>
      </c>
      <c r="C308" s="364">
        <f>+'D) Ecrêtage'!M308</f>
        <v>19578.46263888889</v>
      </c>
      <c r="D308" s="332">
        <v>396321</v>
      </c>
      <c r="E308" s="364">
        <v>66387</v>
      </c>
      <c r="F308" s="332">
        <v>76982</v>
      </c>
      <c r="G308" s="364">
        <f t="shared" si="50"/>
        <v>539690</v>
      </c>
      <c r="H308" s="332">
        <f t="shared" si="51"/>
        <v>156627.70111111112</v>
      </c>
      <c r="I308" s="14">
        <f t="shared" si="52"/>
        <v>383062.29888888891</v>
      </c>
      <c r="J308" s="361">
        <f t="shared" si="47"/>
        <v>-281124.54377920768</v>
      </c>
      <c r="K308" s="19">
        <v>11579</v>
      </c>
      <c r="L308" s="14">
        <f t="shared" si="48"/>
        <v>19578.46263888889</v>
      </c>
      <c r="M308" s="19">
        <f t="shared" si="53"/>
        <v>0</v>
      </c>
      <c r="N308" s="4">
        <f t="shared" si="49"/>
        <v>0</v>
      </c>
      <c r="O308" s="147">
        <f t="shared" si="54"/>
        <v>-281124.54377920768</v>
      </c>
      <c r="P308" s="41">
        <f>O308/'D) Ecrêtage'!C308</f>
        <v>-14.35886713703492</v>
      </c>
      <c r="Q308" s="143"/>
    </row>
    <row r="309" spans="1:17" x14ac:dyDescent="0.25">
      <c r="A309" s="57">
        <f>+'A) Base RI'!A311</f>
        <v>5934</v>
      </c>
      <c r="B309" s="350" t="str">
        <f>+'A) Base RI'!B311</f>
        <v>Valeyres-sous-Ursins</v>
      </c>
      <c r="C309" s="364">
        <f>+'D) Ecrêtage'!M309</f>
        <v>6856.0722784810141</v>
      </c>
      <c r="D309" s="332">
        <v>32078</v>
      </c>
      <c r="E309" s="364">
        <v>9843</v>
      </c>
      <c r="F309" s="332">
        <v>11805</v>
      </c>
      <c r="G309" s="364">
        <f t="shared" si="50"/>
        <v>53726</v>
      </c>
      <c r="H309" s="332">
        <f t="shared" si="51"/>
        <v>54848.578227848113</v>
      </c>
      <c r="I309" s="14">
        <f t="shared" si="52"/>
        <v>0</v>
      </c>
      <c r="J309" s="361">
        <f t="shared" si="47"/>
        <v>0</v>
      </c>
      <c r="K309" s="19">
        <v>19871</v>
      </c>
      <c r="L309" s="14">
        <f t="shared" si="48"/>
        <v>6856.0722784810141</v>
      </c>
      <c r="M309" s="19">
        <f t="shared" si="53"/>
        <v>13014.927721518987</v>
      </c>
      <c r="N309" s="4">
        <f t="shared" si="49"/>
        <v>-9551.4897410790745</v>
      </c>
      <c r="O309" s="147">
        <f t="shared" si="54"/>
        <v>-9551.4897410790745</v>
      </c>
      <c r="P309" s="41">
        <f>O309/'D) Ecrêtage'!C309</f>
        <v>-1.3931430931756803</v>
      </c>
      <c r="Q309" s="143"/>
    </row>
    <row r="310" spans="1:17" x14ac:dyDescent="0.25">
      <c r="A310" s="57">
        <f>+'A) Base RI'!A312</f>
        <v>5935</v>
      </c>
      <c r="B310" s="350" t="str">
        <f>+'A) Base RI'!B312</f>
        <v>Villars-Epeney</v>
      </c>
      <c r="C310" s="364">
        <f>+'D) Ecrêtage'!M310</f>
        <v>4252.6353333333336</v>
      </c>
      <c r="D310" s="332">
        <v>31899</v>
      </c>
      <c r="E310" s="364">
        <v>3616</v>
      </c>
      <c r="F310" s="332">
        <v>7939</v>
      </c>
      <c r="G310" s="364">
        <f t="shared" si="50"/>
        <v>43454</v>
      </c>
      <c r="H310" s="332">
        <f t="shared" si="51"/>
        <v>34021.082666666669</v>
      </c>
      <c r="I310" s="14">
        <f t="shared" si="52"/>
        <v>9432.917333333331</v>
      </c>
      <c r="J310" s="361">
        <f t="shared" si="47"/>
        <v>-6922.6979254606877</v>
      </c>
      <c r="K310" s="19">
        <v>12367</v>
      </c>
      <c r="L310" s="14">
        <f t="shared" si="48"/>
        <v>4252.6353333333336</v>
      </c>
      <c r="M310" s="19">
        <f t="shared" si="53"/>
        <v>8114.3646666666664</v>
      </c>
      <c r="N310" s="4">
        <f t="shared" si="49"/>
        <v>-5955.0289119850431</v>
      </c>
      <c r="O310" s="147">
        <f t="shared" si="54"/>
        <v>-12877.726837445731</v>
      </c>
      <c r="P310" s="41">
        <f>O310/'D) Ecrêtage'!C310</f>
        <v>-3.0281756670990672</v>
      </c>
      <c r="Q310" s="143"/>
    </row>
    <row r="311" spans="1:17" x14ac:dyDescent="0.25">
      <c r="A311" s="57">
        <f>+'A) Base RI'!A313</f>
        <v>5937</v>
      </c>
      <c r="B311" s="350" t="str">
        <f>+'A) Base RI'!B313</f>
        <v>Vugelles-La Mothe</v>
      </c>
      <c r="C311" s="364">
        <f>+'D) Ecrêtage'!M311</f>
        <v>2272.9823469387752</v>
      </c>
      <c r="D311" s="332">
        <v>32067</v>
      </c>
      <c r="E311" s="364">
        <v>5423</v>
      </c>
      <c r="F311" s="332">
        <v>21670</v>
      </c>
      <c r="G311" s="364">
        <f t="shared" si="50"/>
        <v>59160</v>
      </c>
      <c r="H311" s="332">
        <f t="shared" si="51"/>
        <v>18183.858775510202</v>
      </c>
      <c r="I311" s="14">
        <f t="shared" si="52"/>
        <v>40976.141224489795</v>
      </c>
      <c r="J311" s="361">
        <f t="shared" si="47"/>
        <v>-30071.868312230843</v>
      </c>
      <c r="K311" s="19">
        <v>-7492</v>
      </c>
      <c r="L311" s="14">
        <f t="shared" si="48"/>
        <v>2272.9823469387752</v>
      </c>
      <c r="M311" s="19">
        <f t="shared" si="53"/>
        <v>0</v>
      </c>
      <c r="N311" s="4">
        <f t="shared" si="49"/>
        <v>0</v>
      </c>
      <c r="O311" s="147">
        <f t="shared" si="54"/>
        <v>-30071.868312230843</v>
      </c>
      <c r="P311" s="41">
        <f>O311/'D) Ecrêtage'!C311</f>
        <v>-13.230137203982805</v>
      </c>
      <c r="Q311" s="143"/>
    </row>
    <row r="312" spans="1:17" x14ac:dyDescent="0.25">
      <c r="A312" s="57">
        <f>+'A) Base RI'!A314</f>
        <v>5938</v>
      </c>
      <c r="B312" s="350" t="str">
        <f>+'A) Base RI'!B314</f>
        <v>Yverdon-les-Bains</v>
      </c>
      <c r="C312" s="364">
        <f>+'D) Ecrêtage'!M312</f>
        <v>809245.0162091502</v>
      </c>
      <c r="D312" s="332">
        <v>9077879</v>
      </c>
      <c r="E312" s="364">
        <v>7057002</v>
      </c>
      <c r="F312" s="332">
        <v>814377</v>
      </c>
      <c r="G312" s="364">
        <f t="shared" si="50"/>
        <v>16949258</v>
      </c>
      <c r="H312" s="332">
        <f t="shared" si="51"/>
        <v>6473960.1296732016</v>
      </c>
      <c r="I312" s="14">
        <f t="shared" si="52"/>
        <v>10475297.870326798</v>
      </c>
      <c r="J312" s="361">
        <f t="shared" si="47"/>
        <v>-7687687.7293557795</v>
      </c>
      <c r="K312" s="19">
        <v>226970</v>
      </c>
      <c r="L312" s="14">
        <f t="shared" si="48"/>
        <v>809245.0162091502</v>
      </c>
      <c r="M312" s="19">
        <f t="shared" si="53"/>
        <v>0</v>
      </c>
      <c r="N312" s="4">
        <f t="shared" si="49"/>
        <v>0</v>
      </c>
      <c r="O312" s="147">
        <f t="shared" si="54"/>
        <v>-7687687.7293557795</v>
      </c>
      <c r="P312" s="41">
        <f>O312/'D) Ecrêtage'!C312</f>
        <v>-9.4998270923782719</v>
      </c>
      <c r="Q312" s="143"/>
    </row>
    <row r="313" spans="1:17" x14ac:dyDescent="0.25">
      <c r="A313" s="57">
        <f>+'A) Base RI'!A315</f>
        <v>5939</v>
      </c>
      <c r="B313" s="350" t="str">
        <f>+'A) Base RI'!B315</f>
        <v>Yvonand</v>
      </c>
      <c r="C313" s="364">
        <f>+'D) Ecrêtage'!M313</f>
        <v>88261.067808219188</v>
      </c>
      <c r="D313" s="332">
        <v>488378</v>
      </c>
      <c r="E313" s="364">
        <v>316569</v>
      </c>
      <c r="F313" s="332">
        <v>274078</v>
      </c>
      <c r="G313" s="364">
        <f t="shared" si="50"/>
        <v>1079025</v>
      </c>
      <c r="H313" s="332">
        <f t="shared" si="51"/>
        <v>706088.5424657535</v>
      </c>
      <c r="I313" s="14">
        <f t="shared" si="52"/>
        <v>372936.4575342465</v>
      </c>
      <c r="J313" s="361">
        <f t="shared" si="47"/>
        <v>-273693.31773722603</v>
      </c>
      <c r="K313" s="84">
        <v>86593</v>
      </c>
      <c r="L313" s="24">
        <f t="shared" si="48"/>
        <v>88261.067808219188</v>
      </c>
      <c r="M313" s="84">
        <f t="shared" si="53"/>
        <v>0</v>
      </c>
      <c r="N313" s="148">
        <f t="shared" si="49"/>
        <v>0</v>
      </c>
      <c r="O313" s="149">
        <f t="shared" si="54"/>
        <v>-273693.31773722603</v>
      </c>
      <c r="P313" s="41">
        <f>O313/'D) Ecrêtage'!C313</f>
        <v>-3.1009518073351332</v>
      </c>
      <c r="Q313" s="143"/>
    </row>
    <row r="314" spans="1:17" x14ac:dyDescent="0.25">
      <c r="A314" s="92"/>
      <c r="B314" s="357">
        <f>COUNTA(B5:B313)</f>
        <v>309</v>
      </c>
      <c r="C314" s="15">
        <f t="shared" ref="C314:O314" si="55">SUM(C5:C313)</f>
        <v>35263307.270035163</v>
      </c>
      <c r="D314" s="358">
        <f t="shared" si="55"/>
        <v>247487098</v>
      </c>
      <c r="E314" s="15">
        <f t="shared" si="55"/>
        <v>149388605</v>
      </c>
      <c r="F314" s="358">
        <f t="shared" si="55"/>
        <v>41847223.710000001</v>
      </c>
      <c r="G314" s="15">
        <f t="shared" si="55"/>
        <v>438722926.71000004</v>
      </c>
      <c r="H314" s="358">
        <f t="shared" si="55"/>
        <v>282106458.1602813</v>
      </c>
      <c r="I314" s="15">
        <f t="shared" si="55"/>
        <v>184784775.42292681</v>
      </c>
      <c r="J314" s="362">
        <f t="shared" si="55"/>
        <v>-135611193.89402896</v>
      </c>
      <c r="K314" s="136">
        <f t="shared" si="55"/>
        <v>21384760</v>
      </c>
      <c r="L314" s="24">
        <f t="shared" si="55"/>
        <v>35263307.270035163</v>
      </c>
      <c r="M314" s="15">
        <f t="shared" si="55"/>
        <v>7415355.7743551545</v>
      </c>
      <c r="N314" s="148">
        <f t="shared" si="55"/>
        <v>-5442035.1861115303</v>
      </c>
      <c r="O314" s="150">
        <f t="shared" si="55"/>
        <v>-141053229.08014044</v>
      </c>
      <c r="P314" s="102">
        <f>O314/C314</f>
        <v>-3.9999999999999942</v>
      </c>
    </row>
  </sheetData>
  <sheetProtection password="E95E" sheet="1" objects="1" scenarios="1"/>
  <mergeCells count="10">
    <mergeCell ref="D3:D4"/>
    <mergeCell ref="C3:C4"/>
    <mergeCell ref="B3:B4"/>
    <mergeCell ref="A3:A4"/>
    <mergeCell ref="L3:L4"/>
    <mergeCell ref="K3:K4"/>
    <mergeCell ref="H3:H4"/>
    <mergeCell ref="G3:G4"/>
    <mergeCell ref="F3:F4"/>
    <mergeCell ref="E3:E4"/>
  </mergeCells>
  <phoneticPr fontId="0" type="noConversion"/>
  <printOptions horizontalCentered="1"/>
  <pageMargins left="0" right="0" top="0" bottom="0" header="0.51181102362204722" footer="0.51181102362204722"/>
  <pageSetup paperSize="9" scale="64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00B050"/>
  </sheetPr>
  <dimension ref="A1:Y314"/>
  <sheetViews>
    <sheetView workbookViewId="0">
      <selection activeCell="B32" sqref="B32"/>
    </sheetView>
  </sheetViews>
  <sheetFormatPr baseColWidth="10" defaultColWidth="10.75" defaultRowHeight="15" x14ac:dyDescent="0.25"/>
  <cols>
    <col min="1" max="1" width="7.25" style="18" customWidth="1"/>
    <col min="2" max="2" width="19.875" style="18" customWidth="1"/>
    <col min="3" max="4" width="10" style="18" customWidth="1"/>
    <col min="5" max="5" width="11.125" style="18" customWidth="1"/>
    <col min="6" max="7" width="10" style="18" customWidth="1"/>
    <col min="8" max="8" width="10" style="157" customWidth="1"/>
    <col min="9" max="9" width="10" style="18" customWidth="1"/>
    <col min="10" max="10" width="10" style="20" customWidth="1"/>
    <col min="11" max="11" width="12.125" style="20" customWidth="1"/>
    <col min="12" max="14" width="12.125" style="18" customWidth="1"/>
    <col min="15" max="17" width="8.125" style="18" customWidth="1"/>
    <col min="18" max="16384" width="10.75" style="18"/>
  </cols>
  <sheetData>
    <row r="1" spans="1:25" s="51" customFormat="1" ht="21" x14ac:dyDescent="0.25">
      <c r="A1" s="59" t="s">
        <v>216</v>
      </c>
      <c r="B1" s="50"/>
      <c r="C1" s="82"/>
      <c r="D1" s="82"/>
      <c r="E1" s="82"/>
      <c r="F1" s="82"/>
      <c r="G1" s="82"/>
      <c r="H1" s="156"/>
      <c r="I1" s="82"/>
      <c r="J1" s="151"/>
      <c r="K1" s="152"/>
      <c r="L1" s="68"/>
      <c r="N1" s="18"/>
      <c r="O1" s="18"/>
      <c r="P1" s="18"/>
      <c r="Q1" s="18"/>
      <c r="R1" s="18"/>
      <c r="Y1" s="18"/>
    </row>
    <row r="3" spans="1:25" ht="30" x14ac:dyDescent="0.25">
      <c r="A3" s="436" t="s">
        <v>50</v>
      </c>
      <c r="B3" s="436" t="s">
        <v>101</v>
      </c>
      <c r="C3" s="436" t="s">
        <v>377</v>
      </c>
      <c r="D3" s="436" t="s">
        <v>98</v>
      </c>
      <c r="E3" s="436" t="s">
        <v>334</v>
      </c>
      <c r="F3" s="436" t="s">
        <v>375</v>
      </c>
      <c r="G3" s="451" t="s">
        <v>364</v>
      </c>
      <c r="H3" s="158" t="s">
        <v>151</v>
      </c>
      <c r="I3" s="449" t="s">
        <v>378</v>
      </c>
      <c r="J3" s="456" t="s">
        <v>346</v>
      </c>
    </row>
    <row r="4" spans="1:25" x14ac:dyDescent="0.25">
      <c r="A4" s="437"/>
      <c r="B4" s="438"/>
      <c r="C4" s="437"/>
      <c r="D4" s="438"/>
      <c r="E4" s="437"/>
      <c r="F4" s="438"/>
      <c r="G4" s="458"/>
      <c r="H4" s="296">
        <f>Paramètres!B47</f>
        <v>45</v>
      </c>
      <c r="I4" s="461"/>
      <c r="J4" s="457"/>
    </row>
    <row r="5" spans="1:25" x14ac:dyDescent="0.25">
      <c r="A5" s="54">
        <f>'A) Base RI'!A7</f>
        <v>5401</v>
      </c>
      <c r="B5" s="350" t="str">
        <f>'A) Base RI'!B7</f>
        <v>Aigle</v>
      </c>
      <c r="C5" s="108">
        <f>'B) D RI'!U7</f>
        <v>274204.16723456793</v>
      </c>
      <c r="D5" s="126">
        <f>'E) Fact soc'!G11/C5</f>
        <v>20.368874238144016</v>
      </c>
      <c r="E5" s="153">
        <f>'H) Péréquation directe'!I16/C5</f>
        <v>-9.6300037562954888</v>
      </c>
      <c r="F5" s="126">
        <f>'I) Dépenses thématiques'!P5</f>
        <v>-8.0158528412174359</v>
      </c>
      <c r="G5" s="153">
        <f>SUM(D5:F5)</f>
        <v>2.7230176406310918</v>
      </c>
      <c r="H5" s="365">
        <f t="shared" ref="H5" si="0">IF(G5&gt;H$4,H$4-G5,0)</f>
        <v>0</v>
      </c>
      <c r="I5" s="114">
        <f>H5*C5</f>
        <v>0</v>
      </c>
      <c r="J5" s="101">
        <f>G5+H5</f>
        <v>2.7230176406310918</v>
      </c>
    </row>
    <row r="6" spans="1:25" x14ac:dyDescent="0.25">
      <c r="A6" s="57">
        <f>'A) Base RI'!A8</f>
        <v>5402</v>
      </c>
      <c r="B6" s="350" t="str">
        <f>'A) Base RI'!B8</f>
        <v>Bex</v>
      </c>
      <c r="C6" s="109">
        <f>'B) D RI'!U8</f>
        <v>168618.65154929578</v>
      </c>
      <c r="D6" s="126">
        <f>'E) Fact soc'!G12/C6</f>
        <v>18.697920507328966</v>
      </c>
      <c r="E6" s="154">
        <f>'H) Péréquation directe'!I17/C6</f>
        <v>-20.222558767839704</v>
      </c>
      <c r="F6" s="126">
        <f>'I) Dépenses thématiques'!P6</f>
        <v>-10.716920805658356</v>
      </c>
      <c r="G6" s="154">
        <f t="shared" ref="G6:G69" si="1">SUM(D6:F6)</f>
        <v>-12.241559066169094</v>
      </c>
      <c r="H6" s="365">
        <f t="shared" ref="H6:H69" si="2">IF(G6&gt;H$4,H$4-G6,0)</f>
        <v>0</v>
      </c>
      <c r="I6" s="66">
        <f t="shared" ref="I6:I69" si="3">H6*C6</f>
        <v>0</v>
      </c>
      <c r="J6" s="41">
        <f t="shared" ref="J6:J69" si="4">G6+H6</f>
        <v>-12.241559066169094</v>
      </c>
    </row>
    <row r="7" spans="1:25" x14ac:dyDescent="0.25">
      <c r="A7" s="57">
        <f>'A) Base RI'!A9</f>
        <v>5403</v>
      </c>
      <c r="B7" s="350" t="str">
        <f>'A) Base RI'!B9</f>
        <v>Chessel</v>
      </c>
      <c r="C7" s="109">
        <f>'B) D RI'!U9</f>
        <v>8336.8572368421064</v>
      </c>
      <c r="D7" s="126">
        <f>'E) Fact soc'!G13/C7</f>
        <v>18.315357463003128</v>
      </c>
      <c r="E7" s="154">
        <f>'H) Péréquation directe'!I18/C7</f>
        <v>-12.279366830102454</v>
      </c>
      <c r="F7" s="126">
        <f>'I) Dépenses thématiques'!P7</f>
        <v>-3.6065833386476185</v>
      </c>
      <c r="G7" s="154">
        <f t="shared" si="1"/>
        <v>2.4294072942530556</v>
      </c>
      <c r="H7" s="365">
        <f t="shared" si="2"/>
        <v>0</v>
      </c>
      <c r="I7" s="66">
        <f t="shared" si="3"/>
        <v>0</v>
      </c>
      <c r="J7" s="41">
        <f t="shared" si="4"/>
        <v>2.4294072942530556</v>
      </c>
    </row>
    <row r="8" spans="1:25" x14ac:dyDescent="0.25">
      <c r="A8" s="57">
        <f>'A) Base RI'!A10</f>
        <v>5404</v>
      </c>
      <c r="B8" s="350" t="str">
        <f>'A) Base RI'!B10</f>
        <v>Corbeyrier</v>
      </c>
      <c r="C8" s="109">
        <f>'B) D RI'!U10</f>
        <v>11349.824285714287</v>
      </c>
      <c r="D8" s="126">
        <f>'E) Fact soc'!G14/C8</f>
        <v>19.06640044051262</v>
      </c>
      <c r="E8" s="154">
        <f>'H) Péréquation directe'!I19/C8</f>
        <v>0.20134676558551232</v>
      </c>
      <c r="F8" s="126">
        <f>'I) Dépenses thématiques'!P8</f>
        <v>-14.405594767947477</v>
      </c>
      <c r="G8" s="154">
        <f t="shared" si="1"/>
        <v>4.8621524381506553</v>
      </c>
      <c r="H8" s="365">
        <f t="shared" si="2"/>
        <v>0</v>
      </c>
      <c r="I8" s="66">
        <f t="shared" si="3"/>
        <v>0</v>
      </c>
      <c r="J8" s="41">
        <f t="shared" si="4"/>
        <v>4.8621524381506553</v>
      </c>
    </row>
    <row r="9" spans="1:25" x14ac:dyDescent="0.25">
      <c r="A9" s="57">
        <f>'A) Base RI'!A11</f>
        <v>5405</v>
      </c>
      <c r="B9" s="350" t="str">
        <f>'A) Base RI'!B11</f>
        <v>Gryon</v>
      </c>
      <c r="C9" s="109">
        <f>'B) D RI'!U11</f>
        <v>64864.951911111115</v>
      </c>
      <c r="D9" s="126">
        <f>'E) Fact soc'!G15/C9</f>
        <v>19.798525668594557</v>
      </c>
      <c r="E9" s="154">
        <f>'H) Péréquation directe'!I20/C9</f>
        <v>15.467301682957942</v>
      </c>
      <c r="F9" s="126">
        <f>'I) Dépenses thématiques'!P9</f>
        <v>-6.5475078146299133</v>
      </c>
      <c r="G9" s="154">
        <f t="shared" si="1"/>
        <v>28.718319536922589</v>
      </c>
      <c r="H9" s="365">
        <f t="shared" si="2"/>
        <v>0</v>
      </c>
      <c r="I9" s="66">
        <f t="shared" si="3"/>
        <v>0</v>
      </c>
      <c r="J9" s="41">
        <f t="shared" si="4"/>
        <v>28.718319536922589</v>
      </c>
    </row>
    <row r="10" spans="1:25" x14ac:dyDescent="0.25">
      <c r="A10" s="57">
        <f>'A) Base RI'!A12</f>
        <v>5406</v>
      </c>
      <c r="B10" s="350" t="str">
        <f>'A) Base RI'!B12</f>
        <v>Lavey-Morcles</v>
      </c>
      <c r="C10" s="109">
        <f>'B) D RI'!U12</f>
        <v>20248.886901408452</v>
      </c>
      <c r="D10" s="126">
        <f>'E) Fact soc'!G16/C10</f>
        <v>15.777113058625165</v>
      </c>
      <c r="E10" s="154">
        <f>'H) Péréquation directe'!I21/C10</f>
        <v>-7.0540703700652436</v>
      </c>
      <c r="F10" s="126">
        <f>'I) Dépenses thématiques'!P10</f>
        <v>-3.6558258862541861</v>
      </c>
      <c r="G10" s="154">
        <f t="shared" si="1"/>
        <v>5.0672168023057349</v>
      </c>
      <c r="H10" s="365">
        <f t="shared" si="2"/>
        <v>0</v>
      </c>
      <c r="I10" s="66">
        <f t="shared" si="3"/>
        <v>0</v>
      </c>
      <c r="J10" s="41">
        <f t="shared" si="4"/>
        <v>5.0672168023057349</v>
      </c>
    </row>
    <row r="11" spans="1:25" x14ac:dyDescent="0.25">
      <c r="A11" s="57">
        <f>'A) Base RI'!A13</f>
        <v>5407</v>
      </c>
      <c r="B11" s="350" t="str">
        <f>'A) Base RI'!B13</f>
        <v>Leysin</v>
      </c>
      <c r="C11" s="109">
        <f>'B) D RI'!U13</f>
        <v>82610.97474358973</v>
      </c>
      <c r="D11" s="126">
        <f>'E) Fact soc'!G17/C11</f>
        <v>18.33921573339914</v>
      </c>
      <c r="E11" s="154">
        <f>'H) Péréquation directe'!I22/C11</f>
        <v>-27.370516054206881</v>
      </c>
      <c r="F11" s="126">
        <f>'I) Dépenses thématiques'!P11</f>
        <v>-26.903133632280241</v>
      </c>
      <c r="G11" s="154">
        <f t="shared" si="1"/>
        <v>-35.934433953087982</v>
      </c>
      <c r="H11" s="365">
        <f t="shared" si="2"/>
        <v>0</v>
      </c>
      <c r="I11" s="66">
        <f t="shared" si="3"/>
        <v>0</v>
      </c>
      <c r="J11" s="41">
        <f t="shared" si="4"/>
        <v>-35.934433953087982</v>
      </c>
    </row>
    <row r="12" spans="1:25" x14ac:dyDescent="0.25">
      <c r="A12" s="57">
        <f>'A) Base RI'!A14</f>
        <v>5408</v>
      </c>
      <c r="B12" s="350" t="str">
        <f>'A) Base RI'!B14</f>
        <v>Noville</v>
      </c>
      <c r="C12" s="109">
        <f>'B) D RI'!U14</f>
        <v>33419.560339702759</v>
      </c>
      <c r="D12" s="126">
        <f>'E) Fact soc'!G18/C12</f>
        <v>19.390865826192798</v>
      </c>
      <c r="E12" s="154">
        <f>'H) Péréquation directe'!I23/C12</f>
        <v>4.6689470121998742</v>
      </c>
      <c r="F12" s="126">
        <f>'I) Dépenses thématiques'!P12</f>
        <v>-3.3838866538533336</v>
      </c>
      <c r="G12" s="154">
        <f t="shared" si="1"/>
        <v>20.675926184539339</v>
      </c>
      <c r="H12" s="365">
        <f t="shared" si="2"/>
        <v>0</v>
      </c>
      <c r="I12" s="66">
        <f t="shared" si="3"/>
        <v>0</v>
      </c>
      <c r="J12" s="41">
        <f t="shared" si="4"/>
        <v>20.675926184539339</v>
      </c>
    </row>
    <row r="13" spans="1:25" x14ac:dyDescent="0.25">
      <c r="A13" s="57">
        <f>'A) Base RI'!A15</f>
        <v>5409</v>
      </c>
      <c r="B13" s="350" t="str">
        <f>'A) Base RI'!B15</f>
        <v>Ollon</v>
      </c>
      <c r="C13" s="109">
        <f>'B) D RI'!U15</f>
        <v>366034.73937782802</v>
      </c>
      <c r="D13" s="126">
        <f>'E) Fact soc'!G19/C13</f>
        <v>20.448590415043149</v>
      </c>
      <c r="E13" s="154">
        <f>'H) Péréquation directe'!I24/C13</f>
        <v>9.9617104806584944</v>
      </c>
      <c r="F13" s="126">
        <f>'I) Dépenses thématiques'!P13</f>
        <v>-4.506665393678845</v>
      </c>
      <c r="G13" s="154">
        <f t="shared" si="1"/>
        <v>25.903635502022802</v>
      </c>
      <c r="H13" s="365">
        <f t="shared" si="2"/>
        <v>0</v>
      </c>
      <c r="I13" s="66">
        <f t="shared" si="3"/>
        <v>0</v>
      </c>
      <c r="J13" s="41">
        <f t="shared" si="4"/>
        <v>25.903635502022802</v>
      </c>
    </row>
    <row r="14" spans="1:25" x14ac:dyDescent="0.25">
      <c r="A14" s="57">
        <f>'A) Base RI'!A16</f>
        <v>5410</v>
      </c>
      <c r="B14" s="350" t="str">
        <f>'A) Base RI'!B16</f>
        <v>Ormont-Dessous</v>
      </c>
      <c r="C14" s="109">
        <f>'B) D RI'!U16</f>
        <v>36452.210276008496</v>
      </c>
      <c r="D14" s="126">
        <f>'E) Fact soc'!G20/C14</f>
        <v>18.357680987090674</v>
      </c>
      <c r="E14" s="154">
        <f>'H) Péréquation directe'!I25/C14</f>
        <v>5.9289428578707266</v>
      </c>
      <c r="F14" s="126">
        <f>'I) Dépenses thématiques'!P14</f>
        <v>-22.280434985400461</v>
      </c>
      <c r="G14" s="154">
        <f t="shared" si="1"/>
        <v>2.0061888595609396</v>
      </c>
      <c r="H14" s="365">
        <f t="shared" si="2"/>
        <v>0</v>
      </c>
      <c r="I14" s="66">
        <f t="shared" si="3"/>
        <v>0</v>
      </c>
      <c r="J14" s="41">
        <f t="shared" si="4"/>
        <v>2.0061888595609396</v>
      </c>
    </row>
    <row r="15" spans="1:25" x14ac:dyDescent="0.25">
      <c r="A15" s="57">
        <f>'A) Base RI'!A17</f>
        <v>5411</v>
      </c>
      <c r="B15" s="350" t="str">
        <f>'A) Base RI'!B17</f>
        <v>Ormont-Dessus</v>
      </c>
      <c r="C15" s="109">
        <f>'B) D RI'!U17</f>
        <v>74047.924868421047</v>
      </c>
      <c r="D15" s="126">
        <f>'E) Fact soc'!G21/C15</f>
        <v>18.295680825553827</v>
      </c>
      <c r="E15" s="154">
        <f>'H) Péréquation directe'!I26/C15</f>
        <v>15.242992236902895</v>
      </c>
      <c r="F15" s="126">
        <f>'I) Dépenses thématiques'!P15</f>
        <v>-12.469194955426095</v>
      </c>
      <c r="G15" s="154">
        <f t="shared" si="1"/>
        <v>21.069478107030626</v>
      </c>
      <c r="H15" s="365">
        <f t="shared" si="2"/>
        <v>0</v>
      </c>
      <c r="I15" s="66">
        <f t="shared" si="3"/>
        <v>0</v>
      </c>
      <c r="J15" s="41">
        <f t="shared" si="4"/>
        <v>21.069478107030626</v>
      </c>
    </row>
    <row r="16" spans="1:25" x14ac:dyDescent="0.25">
      <c r="A16" s="57">
        <f>'A) Base RI'!A18</f>
        <v>5412</v>
      </c>
      <c r="B16" s="350" t="str">
        <f>'A) Base RI'!B18</f>
        <v>Rennaz</v>
      </c>
      <c r="C16" s="109">
        <f>'B) D RI'!U18</f>
        <v>26224.228148148151</v>
      </c>
      <c r="D16" s="126">
        <f>'E) Fact soc'!G22/C16</f>
        <v>19.08387694518969</v>
      </c>
      <c r="E16" s="154">
        <f>'H) Péréquation directe'!I27/C16</f>
        <v>7.3421774289232742</v>
      </c>
      <c r="F16" s="126">
        <f>'I) Dépenses thématiques'!P16</f>
        <v>-3.8272108180275719</v>
      </c>
      <c r="G16" s="154">
        <f t="shared" si="1"/>
        <v>22.598843556085392</v>
      </c>
      <c r="H16" s="365">
        <f t="shared" si="2"/>
        <v>0</v>
      </c>
      <c r="I16" s="66">
        <f t="shared" si="3"/>
        <v>0</v>
      </c>
      <c r="J16" s="41">
        <f t="shared" si="4"/>
        <v>22.598843556085392</v>
      </c>
    </row>
    <row r="17" spans="1:10" x14ac:dyDescent="0.25">
      <c r="A17" s="57">
        <f>'A) Base RI'!A19</f>
        <v>5413</v>
      </c>
      <c r="B17" s="350" t="str">
        <f>'A) Base RI'!B19</f>
        <v>Roche</v>
      </c>
      <c r="C17" s="109">
        <f>'B) D RI'!U19</f>
        <v>38924.228382352943</v>
      </c>
      <c r="D17" s="126">
        <f>'E) Fact soc'!G23/C17</f>
        <v>19.680463979165445</v>
      </c>
      <c r="E17" s="154">
        <f>'H) Péréquation directe'!I28/C17</f>
        <v>-4.8585805184001511</v>
      </c>
      <c r="F17" s="126">
        <f>'I) Dépenses thématiques'!P17</f>
        <v>0</v>
      </c>
      <c r="G17" s="154">
        <f t="shared" si="1"/>
        <v>14.821883460765294</v>
      </c>
      <c r="H17" s="365">
        <f t="shared" si="2"/>
        <v>0</v>
      </c>
      <c r="I17" s="66">
        <f t="shared" si="3"/>
        <v>0</v>
      </c>
      <c r="J17" s="41">
        <f t="shared" si="4"/>
        <v>14.821883460765294</v>
      </c>
    </row>
    <row r="18" spans="1:10" x14ac:dyDescent="0.25">
      <c r="A18" s="57">
        <f>'A) Base RI'!A20</f>
        <v>5414</v>
      </c>
      <c r="B18" s="350" t="str">
        <f>'A) Base RI'!B20</f>
        <v>Villeneuve</v>
      </c>
      <c r="C18" s="109">
        <f>'B) D RI'!U20</f>
        <v>159863.47130434786</v>
      </c>
      <c r="D18" s="126">
        <f>'E) Fact soc'!G24/C18</f>
        <v>19.633204826757467</v>
      </c>
      <c r="E18" s="154">
        <f>'H) Péréquation directe'!I29/C18</f>
        <v>-4.364840356899709</v>
      </c>
      <c r="F18" s="126">
        <f>'I) Dépenses thématiques'!P18</f>
        <v>-9.6042794202514372</v>
      </c>
      <c r="G18" s="154">
        <f t="shared" si="1"/>
        <v>5.6640850496063209</v>
      </c>
      <c r="H18" s="365">
        <f t="shared" si="2"/>
        <v>0</v>
      </c>
      <c r="I18" s="66">
        <f t="shared" si="3"/>
        <v>0</v>
      </c>
      <c r="J18" s="41">
        <f t="shared" si="4"/>
        <v>5.6640850496063209</v>
      </c>
    </row>
    <row r="19" spans="1:10" x14ac:dyDescent="0.25">
      <c r="A19" s="57">
        <f>'A) Base RI'!A21</f>
        <v>5415</v>
      </c>
      <c r="B19" s="350" t="str">
        <f>'A) Base RI'!B21</f>
        <v>Yvorne</v>
      </c>
      <c r="C19" s="109">
        <f>'B) D RI'!U21</f>
        <v>35726.744476885644</v>
      </c>
      <c r="D19" s="126">
        <f>'E) Fact soc'!G25/C19</f>
        <v>18.533820481191448</v>
      </c>
      <c r="E19" s="154">
        <f>'H) Péréquation directe'!I30/C19</f>
        <v>8.9907463397146135</v>
      </c>
      <c r="F19" s="126">
        <f>'I) Dépenses thématiques'!P19</f>
        <v>-2.5396353855375819</v>
      </c>
      <c r="G19" s="154">
        <f t="shared" si="1"/>
        <v>24.984931435368477</v>
      </c>
      <c r="H19" s="365">
        <f t="shared" si="2"/>
        <v>0</v>
      </c>
      <c r="I19" s="66">
        <f t="shared" si="3"/>
        <v>0</v>
      </c>
      <c r="J19" s="41">
        <f t="shared" si="4"/>
        <v>24.984931435368477</v>
      </c>
    </row>
    <row r="20" spans="1:10" x14ac:dyDescent="0.25">
      <c r="A20" s="57">
        <f>'A) Base RI'!A22</f>
        <v>5421</v>
      </c>
      <c r="B20" s="350" t="str">
        <f>'A) Base RI'!B22</f>
        <v>Apples</v>
      </c>
      <c r="C20" s="109">
        <f>'B) D RI'!U22</f>
        <v>59005.563421052633</v>
      </c>
      <c r="D20" s="126">
        <f>'E) Fact soc'!G26/C20</f>
        <v>15.639419195084702</v>
      </c>
      <c r="E20" s="154">
        <f>'H) Péréquation directe'!I31/C20</f>
        <v>12.784918810758644</v>
      </c>
      <c r="F20" s="126">
        <f>'I) Dépenses thématiques'!P20</f>
        <v>-1.2509295546126833</v>
      </c>
      <c r="G20" s="154">
        <f t="shared" si="1"/>
        <v>27.173408451230664</v>
      </c>
      <c r="H20" s="365">
        <f t="shared" si="2"/>
        <v>0</v>
      </c>
      <c r="I20" s="66">
        <f t="shared" si="3"/>
        <v>0</v>
      </c>
      <c r="J20" s="41">
        <f t="shared" si="4"/>
        <v>27.173408451230664</v>
      </c>
    </row>
    <row r="21" spans="1:10" x14ac:dyDescent="0.25">
      <c r="A21" s="57">
        <f>'A) Base RI'!A23</f>
        <v>5422</v>
      </c>
      <c r="B21" s="350" t="str">
        <f>'A) Base RI'!B23</f>
        <v>Aubonne</v>
      </c>
      <c r="C21" s="109">
        <f>'B) D RI'!U23</f>
        <v>218988.17661764708</v>
      </c>
      <c r="D21" s="126">
        <f>'E) Fact soc'!G27/C21</f>
        <v>20.938956141892582</v>
      </c>
      <c r="E21" s="154">
        <f>'H) Péréquation directe'!I32/C21</f>
        <v>14.035786386575703</v>
      </c>
      <c r="F21" s="126">
        <f>'I) Dépenses thématiques'!P21</f>
        <v>0</v>
      </c>
      <c r="G21" s="154">
        <f t="shared" si="1"/>
        <v>34.974742528468283</v>
      </c>
      <c r="H21" s="365">
        <f t="shared" si="2"/>
        <v>0</v>
      </c>
      <c r="I21" s="66">
        <f t="shared" si="3"/>
        <v>0</v>
      </c>
      <c r="J21" s="41">
        <f t="shared" si="4"/>
        <v>34.974742528468283</v>
      </c>
    </row>
    <row r="22" spans="1:10" x14ac:dyDescent="0.25">
      <c r="A22" s="57">
        <f>'A) Base RI'!A24</f>
        <v>5423</v>
      </c>
      <c r="B22" s="350" t="str">
        <f>'A) Base RI'!B24</f>
        <v>Ballens</v>
      </c>
      <c r="C22" s="109">
        <f>'B) D RI'!U24</f>
        <v>15358.055362318841</v>
      </c>
      <c r="D22" s="126">
        <f>'E) Fact soc'!G28/C22</f>
        <v>15.785303253388545</v>
      </c>
      <c r="E22" s="154">
        <f>'H) Péréquation directe'!I33/C22</f>
        <v>6.0764858090473464</v>
      </c>
      <c r="F22" s="126">
        <f>'I) Dépenses thématiques'!P22</f>
        <v>-6.5253740914538838</v>
      </c>
      <c r="G22" s="154">
        <f t="shared" si="1"/>
        <v>15.336414970982005</v>
      </c>
      <c r="H22" s="365">
        <f t="shared" si="2"/>
        <v>0</v>
      </c>
      <c r="I22" s="66">
        <f t="shared" si="3"/>
        <v>0</v>
      </c>
      <c r="J22" s="41">
        <f t="shared" si="4"/>
        <v>15.336414970982005</v>
      </c>
    </row>
    <row r="23" spans="1:10" x14ac:dyDescent="0.25">
      <c r="A23" s="57">
        <f>'A) Base RI'!A25</f>
        <v>5424</v>
      </c>
      <c r="B23" s="350" t="str">
        <f>'A) Base RI'!B25</f>
        <v>Berolle</v>
      </c>
      <c r="C23" s="109">
        <f>'B) D RI'!U25</f>
        <v>9058.2428571428572</v>
      </c>
      <c r="D23" s="126">
        <f>'E) Fact soc'!G29/C23</f>
        <v>17.727193403115709</v>
      </c>
      <c r="E23" s="154">
        <f>'H) Péréquation directe'!I34/C23</f>
        <v>3.5753119800817745</v>
      </c>
      <c r="F23" s="126">
        <f>'I) Dépenses thématiques'!P23</f>
        <v>-0.70297766701425157</v>
      </c>
      <c r="G23" s="154">
        <f t="shared" si="1"/>
        <v>20.599527716183232</v>
      </c>
      <c r="H23" s="365">
        <f t="shared" si="2"/>
        <v>0</v>
      </c>
      <c r="I23" s="66">
        <f t="shared" si="3"/>
        <v>0</v>
      </c>
      <c r="J23" s="41">
        <f t="shared" si="4"/>
        <v>20.599527716183232</v>
      </c>
    </row>
    <row r="24" spans="1:10" x14ac:dyDescent="0.25">
      <c r="A24" s="57">
        <f>'A) Base RI'!A26</f>
        <v>5425</v>
      </c>
      <c r="B24" s="350" t="str">
        <f>'A) Base RI'!B26</f>
        <v>Bière</v>
      </c>
      <c r="C24" s="109">
        <f>'B) D RI'!U26</f>
        <v>39413.041470588236</v>
      </c>
      <c r="D24" s="126">
        <f>'E) Fact soc'!G30/C24</f>
        <v>19.872208737729675</v>
      </c>
      <c r="E24" s="154">
        <f>'H) Péréquation directe'!I35/C24</f>
        <v>-2.8087619052610995</v>
      </c>
      <c r="F24" s="126">
        <f>'I) Dépenses thématiques'!P24</f>
        <v>-11.477747024980957</v>
      </c>
      <c r="G24" s="154">
        <f t="shared" si="1"/>
        <v>5.5856998074876181</v>
      </c>
      <c r="H24" s="365">
        <f t="shared" si="2"/>
        <v>0</v>
      </c>
      <c r="I24" s="66">
        <f t="shared" si="3"/>
        <v>0</v>
      </c>
      <c r="J24" s="41">
        <f t="shared" si="4"/>
        <v>5.5856998074876181</v>
      </c>
    </row>
    <row r="25" spans="1:10" x14ac:dyDescent="0.25">
      <c r="A25" s="57">
        <f>'A) Base RI'!A27</f>
        <v>5426</v>
      </c>
      <c r="B25" s="350" t="str">
        <f>'A) Base RI'!B27</f>
        <v>Bougy-Villars</v>
      </c>
      <c r="C25" s="109">
        <f>'B) D RI'!U27</f>
        <v>42567.7185483871</v>
      </c>
      <c r="D25" s="126">
        <f>'E) Fact soc'!G31/C25</f>
        <v>90.620837088496671</v>
      </c>
      <c r="E25" s="154">
        <f>'H) Péréquation directe'!I36/C25</f>
        <v>16.197281725238444</v>
      </c>
      <c r="F25" s="126">
        <f>'I) Dépenses thématiques'!P25</f>
        <v>0</v>
      </c>
      <c r="G25" s="154">
        <f t="shared" si="1"/>
        <v>106.81811881373511</v>
      </c>
      <c r="H25" s="365">
        <f t="shared" si="2"/>
        <v>-61.818118813735111</v>
      </c>
      <c r="I25" s="66">
        <f t="shared" si="3"/>
        <v>-2631456.2828538297</v>
      </c>
      <c r="J25" s="41">
        <f t="shared" si="4"/>
        <v>45</v>
      </c>
    </row>
    <row r="26" spans="1:10" x14ac:dyDescent="0.25">
      <c r="A26" s="57">
        <f>'A) Base RI'!A28</f>
        <v>5427</v>
      </c>
      <c r="B26" s="350" t="str">
        <f>'A) Base RI'!B28</f>
        <v>Féchy</v>
      </c>
      <c r="C26" s="109">
        <f>'B) D RI'!U28</f>
        <v>68786.678798076915</v>
      </c>
      <c r="D26" s="126">
        <f>'E) Fact soc'!G32/C26</f>
        <v>23.892403175543532</v>
      </c>
      <c r="E26" s="154">
        <f>'H) Péréquation directe'!I37/C26</f>
        <v>16.498285023868007</v>
      </c>
      <c r="F26" s="126">
        <f>'I) Dépenses thématiques'!P26</f>
        <v>0</v>
      </c>
      <c r="G26" s="154">
        <f t="shared" si="1"/>
        <v>40.390688199411542</v>
      </c>
      <c r="H26" s="365">
        <f t="shared" si="2"/>
        <v>0</v>
      </c>
      <c r="I26" s="66">
        <f t="shared" si="3"/>
        <v>0</v>
      </c>
      <c r="J26" s="41">
        <f t="shared" si="4"/>
        <v>40.390688199411542</v>
      </c>
    </row>
    <row r="27" spans="1:10" x14ac:dyDescent="0.25">
      <c r="A27" s="57">
        <f>'A) Base RI'!A29</f>
        <v>5428</v>
      </c>
      <c r="B27" s="350" t="str">
        <f>'A) Base RI'!B29</f>
        <v>Gimel</v>
      </c>
      <c r="C27" s="109">
        <f>'B) D RI'!U29</f>
        <v>58004.622727272719</v>
      </c>
      <c r="D27" s="126">
        <f>'E) Fact soc'!G33/C27</f>
        <v>20.544930765300833</v>
      </c>
      <c r="E27" s="154">
        <f>'H) Péréquation directe'!I38/C27</f>
        <v>0.83184157156208527</v>
      </c>
      <c r="F27" s="126">
        <f>'I) Dépenses thématiques'!P27</f>
        <v>-24.442309768720197</v>
      </c>
      <c r="G27" s="154">
        <f t="shared" si="1"/>
        <v>-3.0655374318572797</v>
      </c>
      <c r="H27" s="365">
        <f t="shared" si="2"/>
        <v>0</v>
      </c>
      <c r="I27" s="66">
        <f t="shared" si="3"/>
        <v>0</v>
      </c>
      <c r="J27" s="41">
        <f t="shared" si="4"/>
        <v>-3.0655374318572797</v>
      </c>
    </row>
    <row r="28" spans="1:10" x14ac:dyDescent="0.25">
      <c r="A28" s="57">
        <f>'A) Base RI'!A30</f>
        <v>5429</v>
      </c>
      <c r="B28" s="350" t="str">
        <f>'A) Base RI'!B30</f>
        <v>Longirod</v>
      </c>
      <c r="C28" s="109">
        <f>'B) D RI'!U30</f>
        <v>12171.349506172839</v>
      </c>
      <c r="D28" s="126">
        <f>'E) Fact soc'!G34/C28</f>
        <v>21.978889880499345</v>
      </c>
      <c r="E28" s="154">
        <f>'H) Péréquation directe'!I39/C28</f>
        <v>-3.5598767818224317</v>
      </c>
      <c r="F28" s="126">
        <f>'I) Dépenses thématiques'!P28</f>
        <v>-10.362565363335856</v>
      </c>
      <c r="G28" s="154">
        <f t="shared" si="1"/>
        <v>8.0564477353410577</v>
      </c>
      <c r="H28" s="365">
        <f t="shared" si="2"/>
        <v>0</v>
      </c>
      <c r="I28" s="66">
        <f t="shared" si="3"/>
        <v>0</v>
      </c>
      <c r="J28" s="41">
        <f t="shared" si="4"/>
        <v>8.0564477353410577</v>
      </c>
    </row>
    <row r="29" spans="1:10" x14ac:dyDescent="0.25">
      <c r="A29" s="57">
        <f>'A) Base RI'!A31</f>
        <v>5430</v>
      </c>
      <c r="B29" s="350" t="str">
        <f>'A) Base RI'!B31</f>
        <v>Marchissy</v>
      </c>
      <c r="C29" s="109">
        <f>'B) D RI'!U31</f>
        <v>10573.165189873416</v>
      </c>
      <c r="D29" s="126">
        <f>'E) Fact soc'!G35/C29</f>
        <v>19.619069237905563</v>
      </c>
      <c r="E29" s="154">
        <f>'H) Péréquation directe'!I40/C29</f>
        <v>-6.1765866070397237</v>
      </c>
      <c r="F29" s="126">
        <f>'I) Dépenses thématiques'!P29</f>
        <v>-11.832901506451464</v>
      </c>
      <c r="G29" s="154">
        <f t="shared" si="1"/>
        <v>1.6095811244143761</v>
      </c>
      <c r="H29" s="365">
        <f t="shared" si="2"/>
        <v>0</v>
      </c>
      <c r="I29" s="66">
        <f t="shared" si="3"/>
        <v>0</v>
      </c>
      <c r="J29" s="41">
        <f t="shared" si="4"/>
        <v>1.6095811244143761</v>
      </c>
    </row>
    <row r="30" spans="1:10" x14ac:dyDescent="0.25">
      <c r="A30" s="57">
        <f>'A) Base RI'!A32</f>
        <v>5431</v>
      </c>
      <c r="B30" s="350" t="str">
        <f>'A) Base RI'!B32</f>
        <v>Mollens</v>
      </c>
      <c r="C30" s="109">
        <f>'B) D RI'!U32</f>
        <v>11206.031081081082</v>
      </c>
      <c r="D30" s="126">
        <f>'E) Fact soc'!G36/C30</f>
        <v>17.338417089998028</v>
      </c>
      <c r="E30" s="154">
        <f>'H) Péréquation directe'!I41/C30</f>
        <v>12.000771887751259</v>
      </c>
      <c r="F30" s="126">
        <f>'I) Dépenses thématiques'!P30</f>
        <v>-1.0183079055527777</v>
      </c>
      <c r="G30" s="154">
        <f t="shared" si="1"/>
        <v>28.32088107219651</v>
      </c>
      <c r="H30" s="365">
        <f t="shared" si="2"/>
        <v>0</v>
      </c>
      <c r="I30" s="66">
        <f t="shared" si="3"/>
        <v>0</v>
      </c>
      <c r="J30" s="41">
        <f t="shared" si="4"/>
        <v>28.32088107219651</v>
      </c>
    </row>
    <row r="31" spans="1:10" x14ac:dyDescent="0.25">
      <c r="A31" s="57">
        <f>'A) Base RI'!A33</f>
        <v>5432</v>
      </c>
      <c r="B31" s="350" t="str">
        <f>'A) Base RI'!B33</f>
        <v>Montherod</v>
      </c>
      <c r="C31" s="109">
        <f>'B) D RI'!U33</f>
        <v>17725.419230769232</v>
      </c>
      <c r="D31" s="126">
        <f>'E) Fact soc'!G37/C31</f>
        <v>18.43804632866604</v>
      </c>
      <c r="E31" s="154">
        <f>'H) Péréquation directe'!I42/C31</f>
        <v>7.790962537815509</v>
      </c>
      <c r="F31" s="126">
        <f>'I) Dépenses thématiques'!P31</f>
        <v>-0.28720375194839387</v>
      </c>
      <c r="G31" s="154">
        <f t="shared" si="1"/>
        <v>25.941805114533157</v>
      </c>
      <c r="H31" s="365">
        <f t="shared" si="2"/>
        <v>0</v>
      </c>
      <c r="I31" s="66">
        <f t="shared" si="3"/>
        <v>0</v>
      </c>
      <c r="J31" s="41">
        <f t="shared" si="4"/>
        <v>25.941805114533157</v>
      </c>
    </row>
    <row r="32" spans="1:10" x14ac:dyDescent="0.25">
      <c r="A32" s="57">
        <f>'A) Base RI'!A34</f>
        <v>5434</v>
      </c>
      <c r="B32" s="350" t="str">
        <f>'A) Base RI'!B34</f>
        <v>Saint-George</v>
      </c>
      <c r="C32" s="109">
        <f>'B) D RI'!U34</f>
        <v>35895.731094890507</v>
      </c>
      <c r="D32" s="126">
        <f>'E) Fact soc'!G38/C32</f>
        <v>18.013980070074265</v>
      </c>
      <c r="E32" s="154">
        <f>'H) Péréquation directe'!I43/C32</f>
        <v>11.38949172915834</v>
      </c>
      <c r="F32" s="126">
        <f>'I) Dépenses thématiques'!P32</f>
        <v>-3.2672316229110789</v>
      </c>
      <c r="G32" s="154">
        <f t="shared" si="1"/>
        <v>26.136240176321525</v>
      </c>
      <c r="H32" s="365">
        <f t="shared" si="2"/>
        <v>0</v>
      </c>
      <c r="I32" s="66">
        <f t="shared" si="3"/>
        <v>0</v>
      </c>
      <c r="J32" s="41">
        <f t="shared" si="4"/>
        <v>26.136240176321525</v>
      </c>
    </row>
    <row r="33" spans="1:10" x14ac:dyDescent="0.25">
      <c r="A33" s="57">
        <f>'A) Base RI'!A35</f>
        <v>5435</v>
      </c>
      <c r="B33" s="350" t="str">
        <f>'A) Base RI'!B35</f>
        <v>Saint-Livres</v>
      </c>
      <c r="C33" s="109">
        <f>'B) D RI'!U35</f>
        <v>22398.12956521739</v>
      </c>
      <c r="D33" s="126">
        <f>'E) Fact soc'!G39/C33</f>
        <v>15.567297124949718</v>
      </c>
      <c r="E33" s="154">
        <f>'H) Péréquation directe'!I44/C33</f>
        <v>8.2967683097388196</v>
      </c>
      <c r="F33" s="126">
        <f>'I) Dépenses thématiques'!P33</f>
        <v>-8.4453092216962542</v>
      </c>
      <c r="G33" s="154">
        <f t="shared" si="1"/>
        <v>15.418756212992283</v>
      </c>
      <c r="H33" s="365">
        <f t="shared" si="2"/>
        <v>0</v>
      </c>
      <c r="I33" s="66">
        <f t="shared" si="3"/>
        <v>0</v>
      </c>
      <c r="J33" s="41">
        <f t="shared" si="4"/>
        <v>15.418756212992283</v>
      </c>
    </row>
    <row r="34" spans="1:10" x14ac:dyDescent="0.25">
      <c r="A34" s="57">
        <f>'A) Base RI'!A36</f>
        <v>5436</v>
      </c>
      <c r="B34" s="350" t="str">
        <f>'A) Base RI'!B36</f>
        <v>Saint-Oyens</v>
      </c>
      <c r="C34" s="109">
        <f>'B) D RI'!U36</f>
        <v>10474.604814814815</v>
      </c>
      <c r="D34" s="126">
        <f>'E) Fact soc'!G40/C34</f>
        <v>18.197388716282781</v>
      </c>
      <c r="E34" s="154">
        <f>'H) Péréquation directe'!I45/C34</f>
        <v>2.0637268206112749</v>
      </c>
      <c r="F34" s="126">
        <f>'I) Dépenses thématiques'!P34</f>
        <v>-4.3176786038125554</v>
      </c>
      <c r="G34" s="154">
        <f t="shared" si="1"/>
        <v>15.9434369330815</v>
      </c>
      <c r="H34" s="365">
        <f t="shared" si="2"/>
        <v>0</v>
      </c>
      <c r="I34" s="66">
        <f t="shared" si="3"/>
        <v>0</v>
      </c>
      <c r="J34" s="41">
        <f t="shared" si="4"/>
        <v>15.9434369330815</v>
      </c>
    </row>
    <row r="35" spans="1:10" x14ac:dyDescent="0.25">
      <c r="A35" s="57">
        <f>'A) Base RI'!A37</f>
        <v>5437</v>
      </c>
      <c r="B35" s="350" t="str">
        <f>'A) Base RI'!B37</f>
        <v>Saubraz</v>
      </c>
      <c r="C35" s="109">
        <f>'B) D RI'!U37</f>
        <v>10138.793125</v>
      </c>
      <c r="D35" s="126">
        <f>'E) Fact soc'!G41/C35</f>
        <v>20.213181458119383</v>
      </c>
      <c r="E35" s="154">
        <f>'H) Péréquation directe'!I46/C35</f>
        <v>-7.6597547981434682</v>
      </c>
      <c r="F35" s="126">
        <f>'I) Dépenses thématiques'!P35</f>
        <v>-0.44363305467401121</v>
      </c>
      <c r="G35" s="154">
        <f t="shared" si="1"/>
        <v>12.109793605301904</v>
      </c>
      <c r="H35" s="365">
        <f t="shared" si="2"/>
        <v>0</v>
      </c>
      <c r="I35" s="66">
        <f t="shared" si="3"/>
        <v>0</v>
      </c>
      <c r="J35" s="41">
        <f t="shared" si="4"/>
        <v>12.109793605301904</v>
      </c>
    </row>
    <row r="36" spans="1:10" x14ac:dyDescent="0.25">
      <c r="A36" s="57">
        <f>'A) Base RI'!A38</f>
        <v>5451</v>
      </c>
      <c r="B36" s="350" t="str">
        <f>'A) Base RI'!B38</f>
        <v>Avenches</v>
      </c>
      <c r="C36" s="109">
        <f>'B) D RI'!U38</f>
        <v>109207.82382352941</v>
      </c>
      <c r="D36" s="126">
        <f>'E) Fact soc'!G42/C36</f>
        <v>20.479101725991612</v>
      </c>
      <c r="E36" s="154">
        <f>'H) Péréquation directe'!I47/C36</f>
        <v>-6.6616110136326174</v>
      </c>
      <c r="F36" s="126">
        <f>'I) Dépenses thématiques'!P36</f>
        <v>-32.216293186101581</v>
      </c>
      <c r="G36" s="154">
        <f t="shared" si="1"/>
        <v>-18.398802473742585</v>
      </c>
      <c r="H36" s="365">
        <f t="shared" si="2"/>
        <v>0</v>
      </c>
      <c r="I36" s="66">
        <f t="shared" si="3"/>
        <v>0</v>
      </c>
      <c r="J36" s="41">
        <f t="shared" si="4"/>
        <v>-18.398802473742585</v>
      </c>
    </row>
    <row r="37" spans="1:10" x14ac:dyDescent="0.25">
      <c r="A37" s="57">
        <f>'A) Base RI'!A39</f>
        <v>5456</v>
      </c>
      <c r="B37" s="350" t="str">
        <f>'A) Base RI'!B39</f>
        <v>Cudrefin</v>
      </c>
      <c r="C37" s="109">
        <f>'B) D RI'!U39</f>
        <v>51373.818644067804</v>
      </c>
      <c r="D37" s="126">
        <f>'E) Fact soc'!G43/C37</f>
        <v>16.807671484796085</v>
      </c>
      <c r="E37" s="154">
        <f>'H) Péréquation directe'!I48/C37</f>
        <v>8.003029287414444</v>
      </c>
      <c r="F37" s="126">
        <f>'I) Dépenses thématiques'!P37</f>
        <v>-9.4052812525552927</v>
      </c>
      <c r="G37" s="154">
        <f t="shared" si="1"/>
        <v>15.405419519655238</v>
      </c>
      <c r="H37" s="365">
        <f t="shared" si="2"/>
        <v>0</v>
      </c>
      <c r="I37" s="66">
        <f t="shared" si="3"/>
        <v>0</v>
      </c>
      <c r="J37" s="41">
        <f t="shared" si="4"/>
        <v>15.405419519655238</v>
      </c>
    </row>
    <row r="38" spans="1:10" x14ac:dyDescent="0.25">
      <c r="A38" s="57">
        <f>'A) Base RI'!A40</f>
        <v>5458</v>
      </c>
      <c r="B38" s="350" t="str">
        <f>'A) Base RI'!B40</f>
        <v>Faoug</v>
      </c>
      <c r="C38" s="109">
        <f>'B) D RI'!U40</f>
        <v>31692.092968750003</v>
      </c>
      <c r="D38" s="126">
        <f>'E) Fact soc'!G44/C38</f>
        <v>17.448499574574406</v>
      </c>
      <c r="E38" s="154">
        <f>'H) Péréquation directe'!I49/C38</f>
        <v>12.117038730995404</v>
      </c>
      <c r="F38" s="126">
        <f>'I) Dépenses thématiques'!P38</f>
        <v>-0.78481851339897346</v>
      </c>
      <c r="G38" s="154">
        <f t="shared" si="1"/>
        <v>28.780719792170835</v>
      </c>
      <c r="H38" s="365">
        <f t="shared" si="2"/>
        <v>0</v>
      </c>
      <c r="I38" s="66">
        <f t="shared" si="3"/>
        <v>0</v>
      </c>
      <c r="J38" s="41">
        <f t="shared" si="4"/>
        <v>28.780719792170835</v>
      </c>
    </row>
    <row r="39" spans="1:10" x14ac:dyDescent="0.25">
      <c r="A39" s="57">
        <f>'A) Base RI'!A41</f>
        <v>5464</v>
      </c>
      <c r="B39" s="350" t="str">
        <f>'A) Base RI'!B41</f>
        <v>Vully-les-Lacs</v>
      </c>
      <c r="C39" s="109">
        <f>'B) D RI'!U41</f>
        <v>96310.385124378095</v>
      </c>
      <c r="D39" s="126">
        <f>'E) Fact soc'!G45/C39</f>
        <v>20.638346241038199</v>
      </c>
      <c r="E39" s="154">
        <f>'H) Péréquation directe'!I50/C39</f>
        <v>4.0330393466068193</v>
      </c>
      <c r="F39" s="126">
        <f>'I) Dépenses thématiques'!P39</f>
        <v>-32.672910285231922</v>
      </c>
      <c r="G39" s="154">
        <f t="shared" si="1"/>
        <v>-8.0015246975869019</v>
      </c>
      <c r="H39" s="365">
        <f t="shared" si="2"/>
        <v>0</v>
      </c>
      <c r="I39" s="66">
        <f t="shared" si="3"/>
        <v>0</v>
      </c>
      <c r="J39" s="41">
        <f t="shared" si="4"/>
        <v>-8.0015246975869019</v>
      </c>
    </row>
    <row r="40" spans="1:10" x14ac:dyDescent="0.25">
      <c r="A40" s="57">
        <f>'A) Base RI'!A42</f>
        <v>5471</v>
      </c>
      <c r="B40" s="350" t="str">
        <f>'A) Base RI'!B42</f>
        <v>Bettens</v>
      </c>
      <c r="C40" s="109">
        <f>'B) D RI'!U42</f>
        <v>16449.086587301586</v>
      </c>
      <c r="D40" s="126">
        <f>'E) Fact soc'!G46/C40</f>
        <v>16.810079456412875</v>
      </c>
      <c r="E40" s="154">
        <f>'H) Péréquation directe'!I51/C40</f>
        <v>3.4125913815413136</v>
      </c>
      <c r="F40" s="126">
        <f>'I) Dépenses thématiques'!P40</f>
        <v>-1.9125864202008673</v>
      </c>
      <c r="G40" s="154">
        <f t="shared" si="1"/>
        <v>18.310084417753323</v>
      </c>
      <c r="H40" s="365">
        <f t="shared" si="2"/>
        <v>0</v>
      </c>
      <c r="I40" s="66">
        <f t="shared" si="3"/>
        <v>0</v>
      </c>
      <c r="J40" s="41">
        <f t="shared" si="4"/>
        <v>18.310084417753323</v>
      </c>
    </row>
    <row r="41" spans="1:10" x14ac:dyDescent="0.25">
      <c r="A41" s="57">
        <f>'A) Base RI'!A43</f>
        <v>5472</v>
      </c>
      <c r="B41" s="350" t="str">
        <f>'A) Base RI'!B43</f>
        <v>Bournens</v>
      </c>
      <c r="C41" s="109">
        <f>'B) D RI'!U43</f>
        <v>14191.801124999998</v>
      </c>
      <c r="D41" s="126">
        <f>'E) Fact soc'!G47/C41</f>
        <v>19.009484895733468</v>
      </c>
      <c r="E41" s="154">
        <f>'H) Péréquation directe'!I52/C41</f>
        <v>11.608730738745072</v>
      </c>
      <c r="F41" s="126">
        <f>'I) Dépenses thématiques'!P41</f>
        <v>-1.1201121751360064</v>
      </c>
      <c r="G41" s="154">
        <f t="shared" si="1"/>
        <v>29.498103459342531</v>
      </c>
      <c r="H41" s="365">
        <f t="shared" si="2"/>
        <v>0</v>
      </c>
      <c r="I41" s="66">
        <f t="shared" si="3"/>
        <v>0</v>
      </c>
      <c r="J41" s="41">
        <f t="shared" si="4"/>
        <v>29.498103459342531</v>
      </c>
    </row>
    <row r="42" spans="1:10" x14ac:dyDescent="0.25">
      <c r="A42" s="57">
        <f>'A) Base RI'!A44</f>
        <v>5473</v>
      </c>
      <c r="B42" s="350" t="str">
        <f>'A) Base RI'!B44</f>
        <v>Boussens</v>
      </c>
      <c r="C42" s="109">
        <f>'B) D RI'!U44</f>
        <v>32757.052898550723</v>
      </c>
      <c r="D42" s="126">
        <f>'E) Fact soc'!G48/C42</f>
        <v>16.85533708813028</v>
      </c>
      <c r="E42" s="154">
        <f>'H) Péréquation directe'!I53/C42</f>
        <v>9.1062886370624732</v>
      </c>
      <c r="F42" s="126">
        <f>'I) Dépenses thématiques'!P42</f>
        <v>0</v>
      </c>
      <c r="G42" s="154">
        <f t="shared" si="1"/>
        <v>25.961625725192754</v>
      </c>
      <c r="H42" s="365">
        <f t="shared" si="2"/>
        <v>0</v>
      </c>
      <c r="I42" s="66">
        <f t="shared" si="3"/>
        <v>0</v>
      </c>
      <c r="J42" s="41">
        <f t="shared" si="4"/>
        <v>25.961625725192754</v>
      </c>
    </row>
    <row r="43" spans="1:10" x14ac:dyDescent="0.25">
      <c r="A43" s="57">
        <f>'A) Base RI'!A45</f>
        <v>5474</v>
      </c>
      <c r="B43" s="350" t="str">
        <f>'A) Base RI'!B45</f>
        <v>La Chaux (Cossonay)</v>
      </c>
      <c r="C43" s="109">
        <f>'B) D RI'!U45</f>
        <v>12924.858852813852</v>
      </c>
      <c r="D43" s="126">
        <f>'E) Fact soc'!G49/C43</f>
        <v>19.073529219889963</v>
      </c>
      <c r="E43" s="154">
        <f>'H) Péréquation directe'!I54/C43</f>
        <v>4.3433497860735759</v>
      </c>
      <c r="F43" s="126">
        <f>'I) Dépenses thématiques'!P43</f>
        <v>-40.751109537543243</v>
      </c>
      <c r="G43" s="154">
        <f t="shared" si="1"/>
        <v>-17.334230531579706</v>
      </c>
      <c r="H43" s="365">
        <f t="shared" si="2"/>
        <v>0</v>
      </c>
      <c r="I43" s="66">
        <f t="shared" si="3"/>
        <v>0</v>
      </c>
      <c r="J43" s="41">
        <f t="shared" si="4"/>
        <v>-17.334230531579706</v>
      </c>
    </row>
    <row r="44" spans="1:10" x14ac:dyDescent="0.25">
      <c r="A44" s="57">
        <f>'A) Base RI'!A46</f>
        <v>5475</v>
      </c>
      <c r="B44" s="350" t="str">
        <f>'A) Base RI'!B46</f>
        <v>Chavannes-le-Veyron</v>
      </c>
      <c r="C44" s="109">
        <f>'B) D RI'!U46</f>
        <v>2672.7945454545452</v>
      </c>
      <c r="D44" s="126">
        <f>'E) Fact soc'!G50/C44</f>
        <v>27.8555305970056</v>
      </c>
      <c r="E44" s="154">
        <f>'H) Péréquation directe'!I55/C44</f>
        <v>-20.141139838920889</v>
      </c>
      <c r="F44" s="126">
        <f>'I) Dépenses thématiques'!P44</f>
        <v>-4.6773965531943551</v>
      </c>
      <c r="G44" s="154">
        <f t="shared" si="1"/>
        <v>3.0369942048903562</v>
      </c>
      <c r="H44" s="365">
        <f t="shared" si="2"/>
        <v>0</v>
      </c>
      <c r="I44" s="66">
        <f t="shared" si="3"/>
        <v>0</v>
      </c>
      <c r="J44" s="41">
        <f t="shared" si="4"/>
        <v>3.0369942048903562</v>
      </c>
    </row>
    <row r="45" spans="1:10" x14ac:dyDescent="0.25">
      <c r="A45" s="57">
        <f>'A) Base RI'!A47</f>
        <v>5476</v>
      </c>
      <c r="B45" s="350" t="str">
        <f>'A) Base RI'!B47</f>
        <v>Chevilly</v>
      </c>
      <c r="C45" s="109">
        <f>'B) D RI'!U47</f>
        <v>10247.952162162162</v>
      </c>
      <c r="D45" s="126">
        <f>'E) Fact soc'!G51/C45</f>
        <v>17.72325780139677</v>
      </c>
      <c r="E45" s="154">
        <f>'H) Péréquation directe'!I56/C45</f>
        <v>8.8983254961312461</v>
      </c>
      <c r="F45" s="126">
        <f>'I) Dépenses thématiques'!P45</f>
        <v>-0.2166479217790854</v>
      </c>
      <c r="G45" s="154">
        <f t="shared" si="1"/>
        <v>26.404935375748931</v>
      </c>
      <c r="H45" s="365">
        <f t="shared" si="2"/>
        <v>0</v>
      </c>
      <c r="I45" s="66">
        <f t="shared" si="3"/>
        <v>0</v>
      </c>
      <c r="J45" s="41">
        <f t="shared" si="4"/>
        <v>26.404935375748931</v>
      </c>
    </row>
    <row r="46" spans="1:10" x14ac:dyDescent="0.25">
      <c r="A46" s="57">
        <f>'A) Base RI'!A48</f>
        <v>5477</v>
      </c>
      <c r="B46" s="350" t="str">
        <f>'A) Base RI'!B48</f>
        <v>Cossonay</v>
      </c>
      <c r="C46" s="109">
        <f>'B) D RI'!U48</f>
        <v>125937.08528138528</v>
      </c>
      <c r="D46" s="126">
        <f>'E) Fact soc'!G52/C46</f>
        <v>17.73933314505825</v>
      </c>
      <c r="E46" s="154">
        <f>'H) Péréquation directe'!I57/C46</f>
        <v>4.1952099280883273</v>
      </c>
      <c r="F46" s="126">
        <f>'I) Dépenses thématiques'!P46</f>
        <v>-44.222437087255365</v>
      </c>
      <c r="G46" s="154">
        <f t="shared" si="1"/>
        <v>-22.287894014108787</v>
      </c>
      <c r="H46" s="365">
        <f t="shared" si="2"/>
        <v>0</v>
      </c>
      <c r="I46" s="66">
        <f t="shared" si="3"/>
        <v>0</v>
      </c>
      <c r="J46" s="41">
        <f t="shared" si="4"/>
        <v>-22.287894014108787</v>
      </c>
    </row>
    <row r="47" spans="1:10" x14ac:dyDescent="0.25">
      <c r="A47" s="57">
        <f>'A) Base RI'!A49</f>
        <v>5478</v>
      </c>
      <c r="B47" s="350" t="str">
        <f>'A) Base RI'!B49</f>
        <v>Cottens</v>
      </c>
      <c r="C47" s="109">
        <f>'B) D RI'!U49</f>
        <v>14465.317702702703</v>
      </c>
      <c r="D47" s="126">
        <f>'E) Fact soc'!G53/C47</f>
        <v>15.814837149625669</v>
      </c>
      <c r="E47" s="154">
        <f>'H) Péréquation directe'!I58/C47</f>
        <v>4.3137747829686823</v>
      </c>
      <c r="F47" s="126">
        <f>'I) Dépenses thématiques'!P47</f>
        <v>-0.87279926341132852</v>
      </c>
      <c r="G47" s="154">
        <f t="shared" si="1"/>
        <v>19.255812669183026</v>
      </c>
      <c r="H47" s="365">
        <f t="shared" si="2"/>
        <v>0</v>
      </c>
      <c r="I47" s="66">
        <f t="shared" si="3"/>
        <v>0</v>
      </c>
      <c r="J47" s="41">
        <f t="shared" si="4"/>
        <v>19.255812669183026</v>
      </c>
    </row>
    <row r="48" spans="1:10" x14ac:dyDescent="0.25">
      <c r="A48" s="57">
        <f>'A) Base RI'!A50</f>
        <v>5479</v>
      </c>
      <c r="B48" s="350" t="str">
        <f>'A) Base RI'!B50</f>
        <v>Cuarnens</v>
      </c>
      <c r="C48" s="109">
        <f>'B) D RI'!U50</f>
        <v>11562.819350649352</v>
      </c>
      <c r="D48" s="126">
        <f>'E) Fact soc'!G54/C48</f>
        <v>19.51861341510255</v>
      </c>
      <c r="E48" s="154">
        <f>'H) Péréquation directe'!I59/C48</f>
        <v>-6.2158893954345231</v>
      </c>
      <c r="F48" s="126">
        <f>'I) Dépenses thématiques'!P48</f>
        <v>-7.0417913061971227</v>
      </c>
      <c r="G48" s="154">
        <f t="shared" si="1"/>
        <v>6.2609327134709041</v>
      </c>
      <c r="H48" s="365">
        <f t="shared" si="2"/>
        <v>0</v>
      </c>
      <c r="I48" s="66">
        <f t="shared" si="3"/>
        <v>0</v>
      </c>
      <c r="J48" s="41">
        <f t="shared" si="4"/>
        <v>6.2609327134709041</v>
      </c>
    </row>
    <row r="49" spans="1:10" x14ac:dyDescent="0.25">
      <c r="A49" s="57">
        <f>'A) Base RI'!A51</f>
        <v>5480</v>
      </c>
      <c r="B49" s="350" t="str">
        <f>'A) Base RI'!B51</f>
        <v>Daillens</v>
      </c>
      <c r="C49" s="109">
        <f>'B) D RI'!U51</f>
        <v>34852.093380281687</v>
      </c>
      <c r="D49" s="126">
        <f>'E) Fact soc'!G55/C49</f>
        <v>17.887663151642307</v>
      </c>
      <c r="E49" s="154">
        <f>'H) Péréquation directe'!I60/C49</f>
        <v>11.161802301672081</v>
      </c>
      <c r="F49" s="126">
        <f>'I) Dépenses thématiques'!P49</f>
        <v>-23.433612949103342</v>
      </c>
      <c r="G49" s="154">
        <f t="shared" si="1"/>
        <v>5.6158525042110483</v>
      </c>
      <c r="H49" s="365">
        <f t="shared" si="2"/>
        <v>0</v>
      </c>
      <c r="I49" s="66">
        <f t="shared" si="3"/>
        <v>0</v>
      </c>
      <c r="J49" s="41">
        <f t="shared" si="4"/>
        <v>5.6158525042110483</v>
      </c>
    </row>
    <row r="50" spans="1:10" x14ac:dyDescent="0.25">
      <c r="A50" s="57">
        <f>'A) Base RI'!A52</f>
        <v>5481</v>
      </c>
      <c r="B50" s="350" t="str">
        <f>'A) Base RI'!B52</f>
        <v>Dizy</v>
      </c>
      <c r="C50" s="109">
        <f>'B) D RI'!U52</f>
        <v>8900.2526582278479</v>
      </c>
      <c r="D50" s="126">
        <f>'E) Fact soc'!G56/C50</f>
        <v>16.449123870795173</v>
      </c>
      <c r="E50" s="154">
        <f>'H) Péréquation directe'!I61/C50</f>
        <v>13.107244799635653</v>
      </c>
      <c r="F50" s="126">
        <f>'I) Dépenses thématiques'!P50</f>
        <v>0</v>
      </c>
      <c r="G50" s="154">
        <f t="shared" si="1"/>
        <v>29.556368670430828</v>
      </c>
      <c r="H50" s="365">
        <f t="shared" si="2"/>
        <v>0</v>
      </c>
      <c r="I50" s="66">
        <f t="shared" si="3"/>
        <v>0</v>
      </c>
      <c r="J50" s="41">
        <f t="shared" si="4"/>
        <v>29.556368670430828</v>
      </c>
    </row>
    <row r="51" spans="1:10" x14ac:dyDescent="0.25">
      <c r="A51" s="57">
        <f>'A) Base RI'!A53</f>
        <v>5482</v>
      </c>
      <c r="B51" s="350" t="str">
        <f>'A) Base RI'!B53</f>
        <v>Eclépens</v>
      </c>
      <c r="C51" s="109">
        <f>'B) D RI'!U53</f>
        <v>26792.007391304349</v>
      </c>
      <c r="D51" s="126">
        <f>'E) Fact soc'!G57/C51</f>
        <v>22.325254653025894</v>
      </c>
      <c r="E51" s="154">
        <f>'H) Péréquation directe'!I62/C51</f>
        <v>8.126915126018476</v>
      </c>
      <c r="F51" s="126">
        <f>'I) Dépenses thématiques'!P51</f>
        <v>-24.49960751878227</v>
      </c>
      <c r="G51" s="154">
        <f t="shared" si="1"/>
        <v>5.9525622602620984</v>
      </c>
      <c r="H51" s="365">
        <f t="shared" si="2"/>
        <v>0</v>
      </c>
      <c r="I51" s="66">
        <f t="shared" si="3"/>
        <v>0</v>
      </c>
      <c r="J51" s="41">
        <f t="shared" si="4"/>
        <v>5.9525622602620984</v>
      </c>
    </row>
    <row r="52" spans="1:10" x14ac:dyDescent="0.25">
      <c r="A52" s="57">
        <f>'A) Base RI'!A54</f>
        <v>5483</v>
      </c>
      <c r="B52" s="350" t="str">
        <f>'A) Base RI'!B54</f>
        <v>Ferreyres</v>
      </c>
      <c r="C52" s="109">
        <f>'B) D RI'!U54</f>
        <v>9773.8555263157887</v>
      </c>
      <c r="D52" s="126">
        <f>'E) Fact soc'!G58/C52</f>
        <v>15.615339681243814</v>
      </c>
      <c r="E52" s="154">
        <f>'H) Péréquation directe'!I63/C52</f>
        <v>4.9098291910457519</v>
      </c>
      <c r="F52" s="126">
        <f>'I) Dépenses thématiques'!P52</f>
        <v>-0.60208815397316984</v>
      </c>
      <c r="G52" s="154">
        <f t="shared" si="1"/>
        <v>19.923080718316395</v>
      </c>
      <c r="H52" s="365">
        <f t="shared" si="2"/>
        <v>0</v>
      </c>
      <c r="I52" s="66">
        <f t="shared" si="3"/>
        <v>0</v>
      </c>
      <c r="J52" s="41">
        <f t="shared" si="4"/>
        <v>19.923080718316395</v>
      </c>
    </row>
    <row r="53" spans="1:10" x14ac:dyDescent="0.25">
      <c r="A53" s="57">
        <f>'A) Base RI'!A55</f>
        <v>5484</v>
      </c>
      <c r="B53" s="350" t="str">
        <f>'A) Base RI'!B55</f>
        <v>Gollion</v>
      </c>
      <c r="C53" s="109">
        <f>'B) D RI'!U55</f>
        <v>29063.721351351356</v>
      </c>
      <c r="D53" s="126">
        <f>'E) Fact soc'!G59/C53</f>
        <v>18.915543186781573</v>
      </c>
      <c r="E53" s="154">
        <f>'H) Péréquation directe'!I64/C53</f>
        <v>6.8760222313941357</v>
      </c>
      <c r="F53" s="126">
        <f>'I) Dépenses thématiques'!P53</f>
        <v>-8.130748620215261</v>
      </c>
      <c r="G53" s="154">
        <f t="shared" si="1"/>
        <v>17.660816797960447</v>
      </c>
      <c r="H53" s="365">
        <f t="shared" si="2"/>
        <v>0</v>
      </c>
      <c r="I53" s="66">
        <f t="shared" si="3"/>
        <v>0</v>
      </c>
      <c r="J53" s="41">
        <f t="shared" si="4"/>
        <v>17.660816797960447</v>
      </c>
    </row>
    <row r="54" spans="1:10" x14ac:dyDescent="0.25">
      <c r="A54" s="57">
        <f>'A) Base RI'!A56</f>
        <v>5485</v>
      </c>
      <c r="B54" s="350" t="str">
        <f>'A) Base RI'!B56</f>
        <v>Grancy</v>
      </c>
      <c r="C54" s="109">
        <f>'B) D RI'!U56</f>
        <v>15073.947999999999</v>
      </c>
      <c r="D54" s="126">
        <f>'E) Fact soc'!G60/C54</f>
        <v>17.247918877063505</v>
      </c>
      <c r="E54" s="154">
        <f>'H) Péréquation directe'!I65/C54</f>
        <v>11.714096697988067</v>
      </c>
      <c r="F54" s="126">
        <f>'I) Dépenses thématiques'!P54</f>
        <v>-1.7009021798400175</v>
      </c>
      <c r="G54" s="154">
        <f t="shared" si="1"/>
        <v>27.261113395211556</v>
      </c>
      <c r="H54" s="365">
        <f t="shared" si="2"/>
        <v>0</v>
      </c>
      <c r="I54" s="66">
        <f t="shared" si="3"/>
        <v>0</v>
      </c>
      <c r="J54" s="41">
        <f t="shared" si="4"/>
        <v>27.261113395211556</v>
      </c>
    </row>
    <row r="55" spans="1:10" x14ac:dyDescent="0.25">
      <c r="A55" s="57">
        <f>'A) Base RI'!A57</f>
        <v>5486</v>
      </c>
      <c r="B55" s="350" t="str">
        <f>'A) Base RI'!B57</f>
        <v>L'Isle</v>
      </c>
      <c r="C55" s="109">
        <f>'B) D RI'!U57</f>
        <v>29834.586052631581</v>
      </c>
      <c r="D55" s="126">
        <f>'E) Fact soc'!G61/C55</f>
        <v>19.07332548416953</v>
      </c>
      <c r="E55" s="154">
        <f>'H) Péréquation directe'!I66/C55</f>
        <v>2.0179607643708533</v>
      </c>
      <c r="F55" s="126">
        <f>'I) Dépenses thématiques'!P55</f>
        <v>-23.831752479306878</v>
      </c>
      <c r="G55" s="154">
        <f t="shared" si="1"/>
        <v>-2.7404662307664935</v>
      </c>
      <c r="H55" s="365">
        <f t="shared" si="2"/>
        <v>0</v>
      </c>
      <c r="I55" s="66">
        <f t="shared" si="3"/>
        <v>0</v>
      </c>
      <c r="J55" s="41">
        <f t="shared" si="4"/>
        <v>-2.7404662307664935</v>
      </c>
    </row>
    <row r="56" spans="1:10" x14ac:dyDescent="0.25">
      <c r="A56" s="57">
        <f>'A) Base RI'!A58</f>
        <v>5487</v>
      </c>
      <c r="B56" s="350" t="str">
        <f>'A) Base RI'!B58</f>
        <v>Lussery-Villars</v>
      </c>
      <c r="C56" s="109">
        <f>'B) D RI'!U58</f>
        <v>13143.798970588234</v>
      </c>
      <c r="D56" s="126">
        <f>'E) Fact soc'!G62/C56</f>
        <v>16.655123296186929</v>
      </c>
      <c r="E56" s="154">
        <f>'H) Péréquation directe'!I67/C56</f>
        <v>4.4130333508203812</v>
      </c>
      <c r="F56" s="126">
        <f>'I) Dépenses thématiques'!P56</f>
        <v>-2.3383508269988291</v>
      </c>
      <c r="G56" s="154">
        <f t="shared" si="1"/>
        <v>18.72980582000848</v>
      </c>
      <c r="H56" s="365">
        <f t="shared" si="2"/>
        <v>0</v>
      </c>
      <c r="I56" s="66">
        <f t="shared" si="3"/>
        <v>0</v>
      </c>
      <c r="J56" s="41">
        <f t="shared" si="4"/>
        <v>18.72980582000848</v>
      </c>
    </row>
    <row r="57" spans="1:10" x14ac:dyDescent="0.25">
      <c r="A57" s="57">
        <f>'A) Base RI'!A59</f>
        <v>5488</v>
      </c>
      <c r="B57" s="350" t="str">
        <f>'A) Base RI'!B59</f>
        <v>Mauraz</v>
      </c>
      <c r="C57" s="109">
        <f>'B) D RI'!U59</f>
        <v>1604.8968918918922</v>
      </c>
      <c r="D57" s="126">
        <f>'E) Fact soc'!G63/C57</f>
        <v>15.117327408922575</v>
      </c>
      <c r="E57" s="154">
        <f>'H) Péréquation directe'!I68/C57</f>
        <v>4.7122982157653572</v>
      </c>
      <c r="F57" s="126">
        <f>'I) Dépenses thématiques'!P57</f>
        <v>-0.17790659141836473</v>
      </c>
      <c r="G57" s="154">
        <f t="shared" si="1"/>
        <v>19.651719033269568</v>
      </c>
      <c r="H57" s="365">
        <f t="shared" si="2"/>
        <v>0</v>
      </c>
      <c r="I57" s="66">
        <f t="shared" si="3"/>
        <v>0</v>
      </c>
      <c r="J57" s="41">
        <f t="shared" si="4"/>
        <v>19.651719033269568</v>
      </c>
    </row>
    <row r="58" spans="1:10" x14ac:dyDescent="0.25">
      <c r="A58" s="57">
        <f>'A) Base RI'!A60</f>
        <v>5489</v>
      </c>
      <c r="B58" s="350" t="str">
        <f>'A) Base RI'!B60</f>
        <v>Mex</v>
      </c>
      <c r="C58" s="109">
        <f>'B) D RI'!U60</f>
        <v>46901.97049180328</v>
      </c>
      <c r="D58" s="126">
        <f>'E) Fact soc'!G64/C58</f>
        <v>20.722499644462179</v>
      </c>
      <c r="E58" s="154">
        <f>'H) Péréquation directe'!I69/C58</f>
        <v>16.794513718367355</v>
      </c>
      <c r="F58" s="126">
        <f>'I) Dépenses thématiques'!P58</f>
        <v>0</v>
      </c>
      <c r="G58" s="154">
        <f t="shared" si="1"/>
        <v>37.51701336282953</v>
      </c>
      <c r="H58" s="365">
        <f t="shared" si="2"/>
        <v>0</v>
      </c>
      <c r="I58" s="66">
        <f t="shared" si="3"/>
        <v>0</v>
      </c>
      <c r="J58" s="41">
        <f t="shared" si="4"/>
        <v>37.51701336282953</v>
      </c>
    </row>
    <row r="59" spans="1:10" x14ac:dyDescent="0.25">
      <c r="A59" s="57">
        <f>'A) Base RI'!A61</f>
        <v>5490</v>
      </c>
      <c r="B59" s="350" t="str">
        <f>'A) Base RI'!B61</f>
        <v>Moiry</v>
      </c>
      <c r="C59" s="109">
        <f>'B) D RI'!U61</f>
        <v>7445.9272839506175</v>
      </c>
      <c r="D59" s="126">
        <f>'E) Fact soc'!G65/C59</f>
        <v>17.350870574976184</v>
      </c>
      <c r="E59" s="154">
        <f>'H) Péréquation directe'!I70/C59</f>
        <v>-7.4557570111836933</v>
      </c>
      <c r="F59" s="126">
        <f>'I) Dépenses thématiques'!P59</f>
        <v>-3.3418534747116402</v>
      </c>
      <c r="G59" s="154">
        <f t="shared" si="1"/>
        <v>6.5532600890808519</v>
      </c>
      <c r="H59" s="365">
        <f t="shared" si="2"/>
        <v>0</v>
      </c>
      <c r="I59" s="66">
        <f t="shared" si="3"/>
        <v>0</v>
      </c>
      <c r="J59" s="41">
        <f t="shared" si="4"/>
        <v>6.5532600890808519</v>
      </c>
    </row>
    <row r="60" spans="1:10" x14ac:dyDescent="0.25">
      <c r="A60" s="57">
        <f>'A) Base RI'!A62</f>
        <v>5491</v>
      </c>
      <c r="B60" s="350" t="str">
        <f>'A) Base RI'!B62</f>
        <v>Mont-la-Ville</v>
      </c>
      <c r="C60" s="109">
        <f>'B) D RI'!U62</f>
        <v>8756.4323684210522</v>
      </c>
      <c r="D60" s="126">
        <f>'E) Fact soc'!G66/C60</f>
        <v>21.75612190354417</v>
      </c>
      <c r="E60" s="154">
        <f>'H) Péréquation directe'!I71/C60</f>
        <v>-10.599311478684513</v>
      </c>
      <c r="F60" s="126">
        <f>'I) Dépenses thématiques'!P60</f>
        <v>-0.75364302606400058</v>
      </c>
      <c r="G60" s="154">
        <f t="shared" si="1"/>
        <v>10.403167398795656</v>
      </c>
      <c r="H60" s="365">
        <f t="shared" si="2"/>
        <v>0</v>
      </c>
      <c r="I60" s="66">
        <f t="shared" si="3"/>
        <v>0</v>
      </c>
      <c r="J60" s="41">
        <f t="shared" si="4"/>
        <v>10.403167398795656</v>
      </c>
    </row>
    <row r="61" spans="1:10" x14ac:dyDescent="0.25">
      <c r="A61" s="57">
        <f>'A) Base RI'!A63</f>
        <v>5492</v>
      </c>
      <c r="B61" s="350" t="str">
        <f>'A) Base RI'!B63</f>
        <v>Montricher</v>
      </c>
      <c r="C61" s="109">
        <f>'B) D RI'!U63</f>
        <v>201844.58625000002</v>
      </c>
      <c r="D61" s="126">
        <f>'E) Fact soc'!G67/C61</f>
        <v>39.272088275062082</v>
      </c>
      <c r="E61" s="154">
        <f>'H) Péréquation directe'!I72/C61</f>
        <v>14.369742309388284</v>
      </c>
      <c r="F61" s="126">
        <f>'I) Dépenses thématiques'!P61</f>
        <v>-19.323848162515525</v>
      </c>
      <c r="G61" s="154">
        <f t="shared" si="1"/>
        <v>34.317982421934843</v>
      </c>
      <c r="H61" s="365">
        <f t="shared" si="2"/>
        <v>0</v>
      </c>
      <c r="I61" s="66">
        <f t="shared" si="3"/>
        <v>0</v>
      </c>
      <c r="J61" s="41">
        <f t="shared" si="4"/>
        <v>34.317982421934843</v>
      </c>
    </row>
    <row r="62" spans="1:10" x14ac:dyDescent="0.25">
      <c r="A62" s="57">
        <f>'A) Base RI'!A64</f>
        <v>5493</v>
      </c>
      <c r="B62" s="350" t="str">
        <f>'A) Base RI'!B64</f>
        <v>Orny</v>
      </c>
      <c r="C62" s="109">
        <f>'B) D RI'!U64</f>
        <v>9079.112581664911</v>
      </c>
      <c r="D62" s="126">
        <f>'E) Fact soc'!G68/C62</f>
        <v>29.187451977922525</v>
      </c>
      <c r="E62" s="154">
        <f>'H) Péréquation directe'!I73/C62</f>
        <v>-3.3176606368544572</v>
      </c>
      <c r="F62" s="126">
        <f>'I) Dépenses thématiques'!P62</f>
        <v>-1.0097879792173465</v>
      </c>
      <c r="G62" s="154">
        <f t="shared" si="1"/>
        <v>24.860003361850719</v>
      </c>
      <c r="H62" s="365">
        <f t="shared" si="2"/>
        <v>0</v>
      </c>
      <c r="I62" s="66">
        <f t="shared" si="3"/>
        <v>0</v>
      </c>
      <c r="J62" s="41">
        <f t="shared" si="4"/>
        <v>24.860003361850719</v>
      </c>
    </row>
    <row r="63" spans="1:10" x14ac:dyDescent="0.25">
      <c r="A63" s="57">
        <f>'A) Base RI'!A65</f>
        <v>5494</v>
      </c>
      <c r="B63" s="350" t="str">
        <f>'A) Base RI'!B65</f>
        <v>Pampigny</v>
      </c>
      <c r="C63" s="109">
        <f>'B) D RI'!U65</f>
        <v>36797.992425396827</v>
      </c>
      <c r="D63" s="126">
        <f>'E) Fact soc'!G69/C63</f>
        <v>18.232287694660609</v>
      </c>
      <c r="E63" s="154">
        <f>'H) Péréquation directe'!I74/C63</f>
        <v>6.646503511639609</v>
      </c>
      <c r="F63" s="126">
        <f>'I) Dépenses thématiques'!P63</f>
        <v>-2.7824772434778415</v>
      </c>
      <c r="G63" s="154">
        <f t="shared" si="1"/>
        <v>22.096313962822375</v>
      </c>
      <c r="H63" s="365">
        <f t="shared" si="2"/>
        <v>0</v>
      </c>
      <c r="I63" s="66">
        <f t="shared" si="3"/>
        <v>0</v>
      </c>
      <c r="J63" s="41">
        <f t="shared" si="4"/>
        <v>22.096313962822375</v>
      </c>
    </row>
    <row r="64" spans="1:10" x14ac:dyDescent="0.25">
      <c r="A64" s="57">
        <f>'A) Base RI'!A66</f>
        <v>5495</v>
      </c>
      <c r="B64" s="350" t="str">
        <f>'A) Base RI'!B66</f>
        <v>Penthalaz</v>
      </c>
      <c r="C64" s="109">
        <f>'B) D RI'!U66</f>
        <v>99436.02810810809</v>
      </c>
      <c r="D64" s="126">
        <f>'E) Fact soc'!G70/C64</f>
        <v>16.785628508194595</v>
      </c>
      <c r="E64" s="154">
        <f>'H) Péréquation directe'!I75/C64</f>
        <v>-0.8970710075004783</v>
      </c>
      <c r="F64" s="126">
        <f>'I) Dépenses thématiques'!P64</f>
        <v>-8.1875285800934137</v>
      </c>
      <c r="G64" s="154">
        <f t="shared" si="1"/>
        <v>7.7010289206007023</v>
      </c>
      <c r="H64" s="365">
        <f t="shared" si="2"/>
        <v>0</v>
      </c>
      <c r="I64" s="66">
        <f t="shared" si="3"/>
        <v>0</v>
      </c>
      <c r="J64" s="41">
        <f t="shared" si="4"/>
        <v>7.7010289206007023</v>
      </c>
    </row>
    <row r="65" spans="1:10" x14ac:dyDescent="0.25">
      <c r="A65" s="57">
        <f>'A) Base RI'!A67</f>
        <v>5496</v>
      </c>
      <c r="B65" s="350" t="str">
        <f>'A) Base RI'!B67</f>
        <v>Penthaz</v>
      </c>
      <c r="C65" s="109">
        <f>'B) D RI'!U67</f>
        <v>52905.64732394366</v>
      </c>
      <c r="D65" s="126">
        <f>'E) Fact soc'!G71/C65</f>
        <v>16.634804163500835</v>
      </c>
      <c r="E65" s="154">
        <f>'H) Péréquation directe'!I76/C65</f>
        <v>3.1405292742359818</v>
      </c>
      <c r="F65" s="126">
        <f>'I) Dépenses thématiques'!P65</f>
        <v>-8.5815156182226247</v>
      </c>
      <c r="G65" s="154">
        <f t="shared" si="1"/>
        <v>11.193817819514191</v>
      </c>
      <c r="H65" s="365">
        <f t="shared" si="2"/>
        <v>0</v>
      </c>
      <c r="I65" s="66">
        <f t="shared" si="3"/>
        <v>0</v>
      </c>
      <c r="J65" s="41">
        <f t="shared" si="4"/>
        <v>11.193817819514191</v>
      </c>
    </row>
    <row r="66" spans="1:10" x14ac:dyDescent="0.25">
      <c r="A66" s="57">
        <f>'A) Base RI'!A68</f>
        <v>5497</v>
      </c>
      <c r="B66" s="350" t="str">
        <f>'A) Base RI'!B68</f>
        <v>Pompaples</v>
      </c>
      <c r="C66" s="109">
        <f>'B) D RI'!U68</f>
        <v>22272.608181818188</v>
      </c>
      <c r="D66" s="126">
        <f>'E) Fact soc'!G72/C66</f>
        <v>22.758694042352328</v>
      </c>
      <c r="E66" s="154">
        <f>'H) Péréquation directe'!I77/C66</f>
        <v>2.0193287279958723</v>
      </c>
      <c r="F66" s="126">
        <f>'I) Dépenses thématiques'!P66</f>
        <v>-2.2933947264301877</v>
      </c>
      <c r="G66" s="154">
        <f t="shared" si="1"/>
        <v>22.484628043918015</v>
      </c>
      <c r="H66" s="365">
        <f t="shared" si="2"/>
        <v>0</v>
      </c>
      <c r="I66" s="66">
        <f t="shared" si="3"/>
        <v>0</v>
      </c>
      <c r="J66" s="41">
        <f t="shared" si="4"/>
        <v>22.484628043918015</v>
      </c>
    </row>
    <row r="67" spans="1:10" x14ac:dyDescent="0.25">
      <c r="A67" s="57">
        <f>'A) Base RI'!A69</f>
        <v>5498</v>
      </c>
      <c r="B67" s="350" t="str">
        <f>'A) Base RI'!B69</f>
        <v>La Sarraz</v>
      </c>
      <c r="C67" s="109">
        <f>'B) D RI'!U69</f>
        <v>73804.61909090908</v>
      </c>
      <c r="D67" s="126">
        <f>'E) Fact soc'!G73/C67</f>
        <v>17.472001576212008</v>
      </c>
      <c r="E67" s="154">
        <f>'H) Péréquation directe'!I78/C67</f>
        <v>0.13972123769642936</v>
      </c>
      <c r="F67" s="126">
        <f>'I) Dépenses thématiques'!P67</f>
        <v>-32.998901381747231</v>
      </c>
      <c r="G67" s="154">
        <f t="shared" si="1"/>
        <v>-15.387178567838795</v>
      </c>
      <c r="H67" s="365">
        <f t="shared" si="2"/>
        <v>0</v>
      </c>
      <c r="I67" s="66">
        <f t="shared" si="3"/>
        <v>0</v>
      </c>
      <c r="J67" s="41">
        <f t="shared" si="4"/>
        <v>-15.387178567838795</v>
      </c>
    </row>
    <row r="68" spans="1:10" x14ac:dyDescent="0.25">
      <c r="A68" s="57">
        <f>'A) Base RI'!A70</f>
        <v>5499</v>
      </c>
      <c r="B68" s="350" t="str">
        <f>'A) Base RI'!B70</f>
        <v>Senarclens</v>
      </c>
      <c r="C68" s="109">
        <f>'B) D RI'!U70</f>
        <v>18585.936788321167</v>
      </c>
      <c r="D68" s="126">
        <f>'E) Fact soc'!G74/C68</f>
        <v>18.255876230236474</v>
      </c>
      <c r="E68" s="154">
        <f>'H) Péréquation directe'!I79/C68</f>
        <v>14.145109504686559</v>
      </c>
      <c r="F68" s="126">
        <f>'I) Dépenses thématiques'!P68</f>
        <v>-11.2240501073099</v>
      </c>
      <c r="G68" s="154">
        <f t="shared" si="1"/>
        <v>21.176935627613133</v>
      </c>
      <c r="H68" s="365">
        <f t="shared" si="2"/>
        <v>0</v>
      </c>
      <c r="I68" s="66">
        <f t="shared" si="3"/>
        <v>0</v>
      </c>
      <c r="J68" s="41">
        <f t="shared" si="4"/>
        <v>21.176935627613133</v>
      </c>
    </row>
    <row r="69" spans="1:10" x14ac:dyDescent="0.25">
      <c r="A69" s="57">
        <f>'A) Base RI'!A71</f>
        <v>5500</v>
      </c>
      <c r="B69" s="350" t="str">
        <f>'A) Base RI'!B71</f>
        <v>Sévery</v>
      </c>
      <c r="C69" s="109">
        <f>'B) D RI'!U71</f>
        <v>8028.7526973684207</v>
      </c>
      <c r="D69" s="126">
        <f>'E) Fact soc'!G75/C69</f>
        <v>16.014608128798439</v>
      </c>
      <c r="E69" s="154">
        <f>'H) Péréquation directe'!I80/C69</f>
        <v>7.2684534273921502</v>
      </c>
      <c r="F69" s="126">
        <f>'I) Dépenses thématiques'!P69</f>
        <v>-0.34014807387350271</v>
      </c>
      <c r="G69" s="154">
        <f t="shared" si="1"/>
        <v>22.942913482317085</v>
      </c>
      <c r="H69" s="365">
        <f t="shared" si="2"/>
        <v>0</v>
      </c>
      <c r="I69" s="66">
        <f t="shared" si="3"/>
        <v>0</v>
      </c>
      <c r="J69" s="41">
        <f t="shared" si="4"/>
        <v>22.942913482317085</v>
      </c>
    </row>
    <row r="70" spans="1:10" x14ac:dyDescent="0.25">
      <c r="A70" s="57">
        <f>'A) Base RI'!A72</f>
        <v>5501</v>
      </c>
      <c r="B70" s="350" t="str">
        <f>'A) Base RI'!B72</f>
        <v>Sullens</v>
      </c>
      <c r="C70" s="109">
        <f>'B) D RI'!U72</f>
        <v>35737.650142857143</v>
      </c>
      <c r="D70" s="126">
        <f>'E) Fact soc'!G76/C70</f>
        <v>19.939416279095354</v>
      </c>
      <c r="E70" s="154">
        <f>'H) Péréquation directe'!I81/C70</f>
        <v>11.419372905143563</v>
      </c>
      <c r="F70" s="126">
        <f>'I) Dépenses thématiques'!P70</f>
        <v>-0.21575851872658464</v>
      </c>
      <c r="G70" s="154">
        <f t="shared" ref="G70:G133" si="5">SUM(D70:F70)</f>
        <v>31.143030665512331</v>
      </c>
      <c r="H70" s="365">
        <f t="shared" ref="H70:H133" si="6">IF(G70&gt;H$4,H$4-G70,0)</f>
        <v>0</v>
      </c>
      <c r="I70" s="66">
        <f t="shared" ref="I70:I133" si="7">H70*C70</f>
        <v>0</v>
      </c>
      <c r="J70" s="41">
        <f t="shared" ref="J70:J133" si="8">G70+H70</f>
        <v>31.143030665512331</v>
      </c>
    </row>
    <row r="71" spans="1:10" x14ac:dyDescent="0.25">
      <c r="A71" s="57">
        <f>'A) Base RI'!A73</f>
        <v>5503</v>
      </c>
      <c r="B71" s="350" t="str">
        <f>'A) Base RI'!B73</f>
        <v>Vufflens-la-Ville</v>
      </c>
      <c r="C71" s="109">
        <f>'B) D RI'!U73</f>
        <v>64927.66542288557</v>
      </c>
      <c r="D71" s="126">
        <f>'E) Fact soc'!G77/C71</f>
        <v>19.966514545859486</v>
      </c>
      <c r="E71" s="154">
        <f>'H) Péréquation directe'!I82/C71</f>
        <v>15.948849249540462</v>
      </c>
      <c r="F71" s="126">
        <f>'I) Dépenses thématiques'!P71</f>
        <v>0</v>
      </c>
      <c r="G71" s="154">
        <f t="shared" si="5"/>
        <v>35.915363795399948</v>
      </c>
      <c r="H71" s="365">
        <f t="shared" si="6"/>
        <v>0</v>
      </c>
      <c r="I71" s="66">
        <f t="shared" si="7"/>
        <v>0</v>
      </c>
      <c r="J71" s="41">
        <f t="shared" si="8"/>
        <v>35.915363795399948</v>
      </c>
    </row>
    <row r="72" spans="1:10" x14ac:dyDescent="0.25">
      <c r="A72" s="57">
        <f>'A) Base RI'!A74</f>
        <v>5511</v>
      </c>
      <c r="B72" s="350" t="str">
        <f>'A) Base RI'!B74</f>
        <v>Assens</v>
      </c>
      <c r="C72" s="109">
        <f>'B) D RI'!U74</f>
        <v>39993.346428571429</v>
      </c>
      <c r="D72" s="126">
        <f>'E) Fact soc'!G78/C72</f>
        <v>17.518136132730831</v>
      </c>
      <c r="E72" s="154">
        <f>'H) Péréquation directe'!I83/C72</f>
        <v>11.897450465692016</v>
      </c>
      <c r="F72" s="126">
        <f>'I) Dépenses thématiques'!P72</f>
        <v>-8.2770646233531053</v>
      </c>
      <c r="G72" s="154">
        <f t="shared" si="5"/>
        <v>21.138521975069743</v>
      </c>
      <c r="H72" s="365">
        <f t="shared" si="6"/>
        <v>0</v>
      </c>
      <c r="I72" s="66">
        <f t="shared" si="7"/>
        <v>0</v>
      </c>
      <c r="J72" s="41">
        <f t="shared" si="8"/>
        <v>21.138521975069743</v>
      </c>
    </row>
    <row r="73" spans="1:10" x14ac:dyDescent="0.25">
      <c r="A73" s="57">
        <f>'A) Base RI'!A75</f>
        <v>5512</v>
      </c>
      <c r="B73" s="350" t="str">
        <f>'A) Base RI'!B75</f>
        <v>Bercher</v>
      </c>
      <c r="C73" s="109">
        <f>'B) D RI'!U75</f>
        <v>35096.262278481016</v>
      </c>
      <c r="D73" s="126">
        <f>'E) Fact soc'!G79/C73</f>
        <v>19.543320660495777</v>
      </c>
      <c r="E73" s="154">
        <f>'H) Péréquation directe'!I84/C73</f>
        <v>2.1660130966603917</v>
      </c>
      <c r="F73" s="126">
        <f>'I) Dépenses thématiques'!P73</f>
        <v>-6.6332028580871967</v>
      </c>
      <c r="G73" s="154">
        <f t="shared" si="5"/>
        <v>15.076130899068973</v>
      </c>
      <c r="H73" s="365">
        <f t="shared" si="6"/>
        <v>0</v>
      </c>
      <c r="I73" s="66">
        <f t="shared" si="7"/>
        <v>0</v>
      </c>
      <c r="J73" s="41">
        <f t="shared" si="8"/>
        <v>15.076130899068973</v>
      </c>
    </row>
    <row r="74" spans="1:10" x14ac:dyDescent="0.25">
      <c r="A74" s="57">
        <f>'A) Base RI'!A76</f>
        <v>5513</v>
      </c>
      <c r="B74" s="350" t="str">
        <f>'A) Base RI'!B76</f>
        <v>Bioley-Orjulaz</v>
      </c>
      <c r="C74" s="109">
        <f>'B) D RI'!U76</f>
        <v>22441.228030303031</v>
      </c>
      <c r="D74" s="126">
        <f>'E) Fact soc'!G80/C74</f>
        <v>17.27613551579541</v>
      </c>
      <c r="E74" s="154">
        <f>'H) Péréquation directe'!I85/C74</f>
        <v>16.684659347574126</v>
      </c>
      <c r="F74" s="126">
        <f>'I) Dépenses thématiques'!P74</f>
        <v>-0.18101568789378103</v>
      </c>
      <c r="G74" s="154">
        <f t="shared" si="5"/>
        <v>33.779779175475753</v>
      </c>
      <c r="H74" s="365">
        <f t="shared" si="6"/>
        <v>0</v>
      </c>
      <c r="I74" s="66">
        <f t="shared" si="7"/>
        <v>0</v>
      </c>
      <c r="J74" s="41">
        <f t="shared" si="8"/>
        <v>33.779779175475753</v>
      </c>
    </row>
    <row r="75" spans="1:10" x14ac:dyDescent="0.25">
      <c r="A75" s="57">
        <f>'A) Base RI'!A77</f>
        <v>5514</v>
      </c>
      <c r="B75" s="350" t="str">
        <f>'A) Base RI'!B77</f>
        <v>Bottens</v>
      </c>
      <c r="C75" s="109">
        <f>'B) D RI'!U77</f>
        <v>40579.944927536235</v>
      </c>
      <c r="D75" s="126">
        <f>'E) Fact soc'!G81/C75</f>
        <v>18.318078056365259</v>
      </c>
      <c r="E75" s="154">
        <f>'H) Péréquation directe'!I86/C75</f>
        <v>7.0351416440776999</v>
      </c>
      <c r="F75" s="126">
        <f>'I) Dépenses thématiques'!P75</f>
        <v>-0.77666802873405427</v>
      </c>
      <c r="G75" s="154">
        <f t="shared" si="5"/>
        <v>24.576551671708906</v>
      </c>
      <c r="H75" s="365">
        <f t="shared" si="6"/>
        <v>0</v>
      </c>
      <c r="I75" s="66">
        <f t="shared" si="7"/>
        <v>0</v>
      </c>
      <c r="J75" s="41">
        <f t="shared" si="8"/>
        <v>24.576551671708906</v>
      </c>
    </row>
    <row r="76" spans="1:10" x14ac:dyDescent="0.25">
      <c r="A76" s="57">
        <f>'A) Base RI'!A78</f>
        <v>5515</v>
      </c>
      <c r="B76" s="350" t="str">
        <f>'A) Base RI'!B78</f>
        <v>Bretigny-sur-Morrens</v>
      </c>
      <c r="C76" s="109">
        <f>'B) D RI'!U78</f>
        <v>25654.980410958906</v>
      </c>
      <c r="D76" s="126">
        <f>'E) Fact soc'!G82/C76</f>
        <v>16.731716675121667</v>
      </c>
      <c r="E76" s="154">
        <f>'H) Péréquation directe'!I87/C76</f>
        <v>6.2539295496873413</v>
      </c>
      <c r="F76" s="126">
        <f>'I) Dépenses thématiques'!P76</f>
        <v>-0.47784430331899536</v>
      </c>
      <c r="G76" s="154">
        <f t="shared" si="5"/>
        <v>22.507801921490014</v>
      </c>
      <c r="H76" s="365">
        <f t="shared" si="6"/>
        <v>0</v>
      </c>
      <c r="I76" s="66">
        <f t="shared" si="7"/>
        <v>0</v>
      </c>
      <c r="J76" s="41">
        <f t="shared" si="8"/>
        <v>22.507801921490014</v>
      </c>
    </row>
    <row r="77" spans="1:10" x14ac:dyDescent="0.25">
      <c r="A77" s="57">
        <f>'A) Base RI'!A79</f>
        <v>5516</v>
      </c>
      <c r="B77" s="350" t="str">
        <f>'A) Base RI'!B79</f>
        <v>Cugy</v>
      </c>
      <c r="C77" s="109">
        <f>'B) D RI'!U79</f>
        <v>107712.55485714282</v>
      </c>
      <c r="D77" s="126">
        <f>'E) Fact soc'!G83/C77</f>
        <v>17.334053864967327</v>
      </c>
      <c r="E77" s="154">
        <f>'H) Péréquation directe'!I88/C77</f>
        <v>9.3462262976562887</v>
      </c>
      <c r="F77" s="126">
        <f>'I) Dépenses thématiques'!P77</f>
        <v>-0.91438949697677818</v>
      </c>
      <c r="G77" s="154">
        <f t="shared" si="5"/>
        <v>25.76589066564684</v>
      </c>
      <c r="H77" s="365">
        <f t="shared" si="6"/>
        <v>0</v>
      </c>
      <c r="I77" s="66">
        <f t="shared" si="7"/>
        <v>0</v>
      </c>
      <c r="J77" s="41">
        <f t="shared" si="8"/>
        <v>25.76589066564684</v>
      </c>
    </row>
    <row r="78" spans="1:10" x14ac:dyDescent="0.25">
      <c r="A78" s="57">
        <f>'A) Base RI'!A80</f>
        <v>5518</v>
      </c>
      <c r="B78" s="350" t="str">
        <f>'A) Base RI'!B80</f>
        <v>Echallens</v>
      </c>
      <c r="C78" s="109">
        <f>'B) D RI'!U80</f>
        <v>187267.45324324328</v>
      </c>
      <c r="D78" s="126">
        <f>'E) Fact soc'!G84/C78</f>
        <v>18.829012050124792</v>
      </c>
      <c r="E78" s="154">
        <f>'H) Péréquation directe'!I89/C78</f>
        <v>-0.96653430819482578</v>
      </c>
      <c r="F78" s="126">
        <f>'I) Dépenses thématiques'!P78</f>
        <v>-30.450177233312441</v>
      </c>
      <c r="G78" s="154">
        <f t="shared" si="5"/>
        <v>-12.587699491382477</v>
      </c>
      <c r="H78" s="365">
        <f t="shared" si="6"/>
        <v>0</v>
      </c>
      <c r="I78" s="66">
        <f t="shared" si="7"/>
        <v>0</v>
      </c>
      <c r="J78" s="41">
        <f t="shared" si="8"/>
        <v>-12.587699491382477</v>
      </c>
    </row>
    <row r="79" spans="1:10" x14ac:dyDescent="0.25">
      <c r="A79" s="57">
        <f>'A) Base RI'!A81</f>
        <v>5520</v>
      </c>
      <c r="B79" s="350" t="str">
        <f>'A) Base RI'!B81</f>
        <v>Essertines-sur-Yverdon</v>
      </c>
      <c r="C79" s="109">
        <f>'B) D RI'!U81</f>
        <v>28096.496575342466</v>
      </c>
      <c r="D79" s="126">
        <f>'E) Fact soc'!G85/C79</f>
        <v>17.272204791504645</v>
      </c>
      <c r="E79" s="154">
        <f>'H) Péréquation directe'!I90/C79</f>
        <v>4.4311481261641008</v>
      </c>
      <c r="F79" s="126">
        <f>'I) Dépenses thématiques'!P79</f>
        <v>-2.6754694170220583</v>
      </c>
      <c r="G79" s="154">
        <f t="shared" si="5"/>
        <v>19.027883500646688</v>
      </c>
      <c r="H79" s="365">
        <f t="shared" si="6"/>
        <v>0</v>
      </c>
      <c r="I79" s="66">
        <f t="shared" si="7"/>
        <v>0</v>
      </c>
      <c r="J79" s="41">
        <f t="shared" si="8"/>
        <v>19.027883500646688</v>
      </c>
    </row>
    <row r="80" spans="1:10" x14ac:dyDescent="0.25">
      <c r="A80" s="57">
        <f>'A) Base RI'!A82</f>
        <v>5521</v>
      </c>
      <c r="B80" s="350" t="str">
        <f>'A) Base RI'!B82</f>
        <v>Etagnières</v>
      </c>
      <c r="C80" s="109">
        <f>'B) D RI'!U82</f>
        <v>40658.047260273968</v>
      </c>
      <c r="D80" s="126">
        <f>'E) Fact soc'!G86/C80</f>
        <v>16.462947124738495</v>
      </c>
      <c r="E80" s="154">
        <f>'H) Péréquation directe'!I91/C80</f>
        <v>10.153865667933998</v>
      </c>
      <c r="F80" s="126">
        <f>'I) Dépenses thématiques'!P80</f>
        <v>-0.869935543561979</v>
      </c>
      <c r="G80" s="154">
        <f t="shared" si="5"/>
        <v>25.746877249110511</v>
      </c>
      <c r="H80" s="365">
        <f t="shared" si="6"/>
        <v>0</v>
      </c>
      <c r="I80" s="66">
        <f t="shared" si="7"/>
        <v>0</v>
      </c>
      <c r="J80" s="41">
        <f t="shared" si="8"/>
        <v>25.746877249110511</v>
      </c>
    </row>
    <row r="81" spans="1:10" x14ac:dyDescent="0.25">
      <c r="A81" s="57">
        <f>'A) Base RI'!A83</f>
        <v>5522</v>
      </c>
      <c r="B81" s="350" t="str">
        <f>'A) Base RI'!B83</f>
        <v>Fey</v>
      </c>
      <c r="C81" s="109">
        <f>'B) D RI'!U83</f>
        <v>19109.159333333333</v>
      </c>
      <c r="D81" s="126">
        <f>'E) Fact soc'!G87/C81</f>
        <v>19.228702934634697</v>
      </c>
      <c r="E81" s="154">
        <f>'H) Péréquation directe'!I92/C81</f>
        <v>0.62836014348725866</v>
      </c>
      <c r="F81" s="126">
        <f>'I) Dépenses thématiques'!P81</f>
        <v>-1.0518291952841421</v>
      </c>
      <c r="G81" s="154">
        <f t="shared" si="5"/>
        <v>18.805233882837815</v>
      </c>
      <c r="H81" s="365">
        <f t="shared" si="6"/>
        <v>0</v>
      </c>
      <c r="I81" s="66">
        <f t="shared" si="7"/>
        <v>0</v>
      </c>
      <c r="J81" s="41">
        <f t="shared" si="8"/>
        <v>18.805233882837815</v>
      </c>
    </row>
    <row r="82" spans="1:10" x14ac:dyDescent="0.25">
      <c r="A82" s="57">
        <f>'A) Base RI'!A84</f>
        <v>5523</v>
      </c>
      <c r="B82" s="350" t="str">
        <f>'A) Base RI'!B84</f>
        <v>Froideville</v>
      </c>
      <c r="C82" s="109">
        <f>'B) D RI'!U84</f>
        <v>77198.057236842113</v>
      </c>
      <c r="D82" s="126">
        <f>'E) Fact soc'!G88/C82</f>
        <v>19.048334947997969</v>
      </c>
      <c r="E82" s="154">
        <f>'H) Péréquation directe'!I93/C82</f>
        <v>0.79752275905935299</v>
      </c>
      <c r="F82" s="126">
        <f>'I) Dépenses thématiques'!P82</f>
        <v>-4.2700939206488586</v>
      </c>
      <c r="G82" s="154">
        <f t="shared" si="5"/>
        <v>15.575763786408462</v>
      </c>
      <c r="H82" s="365">
        <f t="shared" si="6"/>
        <v>0</v>
      </c>
      <c r="I82" s="66">
        <f t="shared" si="7"/>
        <v>0</v>
      </c>
      <c r="J82" s="41">
        <f t="shared" si="8"/>
        <v>15.575763786408462</v>
      </c>
    </row>
    <row r="83" spans="1:10" x14ac:dyDescent="0.25">
      <c r="A83" s="57">
        <f>'A) Base RI'!A85</f>
        <v>5527</v>
      </c>
      <c r="B83" s="350" t="str">
        <f>'A) Base RI'!B85</f>
        <v>Morrens</v>
      </c>
      <c r="C83" s="109">
        <f>'B) D RI'!U85</f>
        <v>37560.717323943667</v>
      </c>
      <c r="D83" s="126">
        <f>'E) Fact soc'!G89/C83</f>
        <v>16.090722024490617</v>
      </c>
      <c r="E83" s="154">
        <f>'H) Péréquation directe'!I94/C83</f>
        <v>9.5596630178336657</v>
      </c>
      <c r="F83" s="126">
        <f>'I) Dépenses thématiques'!P83</f>
        <v>-0.62024561631717234</v>
      </c>
      <c r="G83" s="154">
        <f t="shared" si="5"/>
        <v>25.030139426007107</v>
      </c>
      <c r="H83" s="365">
        <f t="shared" si="6"/>
        <v>0</v>
      </c>
      <c r="I83" s="66">
        <f t="shared" si="7"/>
        <v>0</v>
      </c>
      <c r="J83" s="41">
        <f t="shared" si="8"/>
        <v>25.030139426007107</v>
      </c>
    </row>
    <row r="84" spans="1:10" x14ac:dyDescent="0.25">
      <c r="A84" s="57">
        <f>'A) Base RI'!A86</f>
        <v>5529</v>
      </c>
      <c r="B84" s="350" t="str">
        <f>'A) Base RI'!B86</f>
        <v>Oulens-sous-Echallens</v>
      </c>
      <c r="C84" s="109">
        <f>'B) D RI'!U86</f>
        <v>19874.862394366199</v>
      </c>
      <c r="D84" s="126">
        <f>'E) Fact soc'!G90/C84</f>
        <v>16.983078691332022</v>
      </c>
      <c r="E84" s="154">
        <f>'H) Péréquation directe'!I95/C84</f>
        <v>10.466603511316494</v>
      </c>
      <c r="F84" s="126">
        <f>'I) Dépenses thématiques'!P84</f>
        <v>-8.4303772077583368</v>
      </c>
      <c r="G84" s="154">
        <f t="shared" si="5"/>
        <v>19.019304994890181</v>
      </c>
      <c r="H84" s="365">
        <f t="shared" si="6"/>
        <v>0</v>
      </c>
      <c r="I84" s="66">
        <f t="shared" si="7"/>
        <v>0</v>
      </c>
      <c r="J84" s="41">
        <f t="shared" si="8"/>
        <v>19.019304994890181</v>
      </c>
    </row>
    <row r="85" spans="1:10" x14ac:dyDescent="0.25">
      <c r="A85" s="57">
        <f>'A) Base RI'!A87</f>
        <v>5530</v>
      </c>
      <c r="B85" s="350" t="str">
        <f>'A) Base RI'!B87</f>
        <v>Pailly</v>
      </c>
      <c r="C85" s="109">
        <f>'B) D RI'!U87</f>
        <v>15272.027655913982</v>
      </c>
      <c r="D85" s="126">
        <f>'E) Fact soc'!G91/C85</f>
        <v>15.505340718845133</v>
      </c>
      <c r="E85" s="154">
        <f>'H) Péréquation directe'!I96/C85</f>
        <v>1.3638394263125162</v>
      </c>
      <c r="F85" s="126">
        <f>'I) Dépenses thématiques'!P85</f>
        <v>-30.611155864713233</v>
      </c>
      <c r="G85" s="154">
        <f t="shared" si="5"/>
        <v>-13.741975719555583</v>
      </c>
      <c r="H85" s="365">
        <f t="shared" si="6"/>
        <v>0</v>
      </c>
      <c r="I85" s="66">
        <f t="shared" si="7"/>
        <v>0</v>
      </c>
      <c r="J85" s="41">
        <f t="shared" si="8"/>
        <v>-13.741975719555583</v>
      </c>
    </row>
    <row r="86" spans="1:10" x14ac:dyDescent="0.25">
      <c r="A86" s="57">
        <f>'A) Base RI'!A88</f>
        <v>5531</v>
      </c>
      <c r="B86" s="350" t="str">
        <f>'A) Base RI'!B88</f>
        <v>Penthéréaz</v>
      </c>
      <c r="C86" s="109">
        <f>'B) D RI'!U88</f>
        <v>12101.700128205126</v>
      </c>
      <c r="D86" s="126">
        <f>'E) Fact soc'!G92/C86</f>
        <v>17.4455205306752</v>
      </c>
      <c r="E86" s="154">
        <f>'H) Péréquation directe'!I97/C86</f>
        <v>2.3850035206692066</v>
      </c>
      <c r="F86" s="126">
        <f>'I) Dépenses thématiques'!P86</f>
        <v>-2.7472011908620613</v>
      </c>
      <c r="G86" s="154">
        <f t="shared" si="5"/>
        <v>17.083322860482344</v>
      </c>
      <c r="H86" s="365">
        <f t="shared" si="6"/>
        <v>0</v>
      </c>
      <c r="I86" s="66">
        <f t="shared" si="7"/>
        <v>0</v>
      </c>
      <c r="J86" s="41">
        <f t="shared" si="8"/>
        <v>17.083322860482344</v>
      </c>
    </row>
    <row r="87" spans="1:10" x14ac:dyDescent="0.25">
      <c r="A87" s="57">
        <f>'A) Base RI'!A89</f>
        <v>5533</v>
      </c>
      <c r="B87" s="350" t="str">
        <f>'A) Base RI'!B89</f>
        <v>Poliez-Pittet</v>
      </c>
      <c r="C87" s="109">
        <f>'B) D RI'!U89</f>
        <v>27045.170985915491</v>
      </c>
      <c r="D87" s="126">
        <f>'E) Fact soc'!G93/C87</f>
        <v>16.024248094052414</v>
      </c>
      <c r="E87" s="154">
        <f>'H) Péréquation directe'!I98/C87</f>
        <v>7.407282364042044</v>
      </c>
      <c r="F87" s="126">
        <f>'I) Dépenses thématiques'!P87</f>
        <v>-3.3024759487077646</v>
      </c>
      <c r="G87" s="154">
        <f t="shared" si="5"/>
        <v>20.129054509386691</v>
      </c>
      <c r="H87" s="365">
        <f t="shared" si="6"/>
        <v>0</v>
      </c>
      <c r="I87" s="66">
        <f t="shared" si="7"/>
        <v>0</v>
      </c>
      <c r="J87" s="41">
        <f t="shared" si="8"/>
        <v>20.129054509386691</v>
      </c>
    </row>
    <row r="88" spans="1:10" x14ac:dyDescent="0.25">
      <c r="A88" s="57">
        <f>'A) Base RI'!A90</f>
        <v>5534</v>
      </c>
      <c r="B88" s="350" t="str">
        <f>'A) Base RI'!B90</f>
        <v>Rueyres</v>
      </c>
      <c r="C88" s="109">
        <f>'B) D RI'!U90</f>
        <v>10934.157945205479</v>
      </c>
      <c r="D88" s="126">
        <f>'E) Fact soc'!G94/C88</f>
        <v>28.122471080032014</v>
      </c>
      <c r="E88" s="154">
        <f>'H) Péréquation directe'!I99/C88</f>
        <v>13.748869526267672</v>
      </c>
      <c r="F88" s="126">
        <f>'I) Dépenses thématiques'!P88</f>
        <v>-2.3969605357704804</v>
      </c>
      <c r="G88" s="154">
        <f t="shared" si="5"/>
        <v>39.4743800705292</v>
      </c>
      <c r="H88" s="365">
        <f t="shared" si="6"/>
        <v>0</v>
      </c>
      <c r="I88" s="66">
        <f t="shared" si="7"/>
        <v>0</v>
      </c>
      <c r="J88" s="41">
        <f t="shared" si="8"/>
        <v>39.4743800705292</v>
      </c>
    </row>
    <row r="89" spans="1:10" x14ac:dyDescent="0.25">
      <c r="A89" s="57">
        <f>'A) Base RI'!A91</f>
        <v>5535</v>
      </c>
      <c r="B89" s="350" t="str">
        <f>'A) Base RI'!B91</f>
        <v>Saint-Barthélemy</v>
      </c>
      <c r="C89" s="109">
        <f>'B) D RI'!U91</f>
        <v>20697.547200000001</v>
      </c>
      <c r="D89" s="126">
        <f>'E) Fact soc'!G95/C89</f>
        <v>16.137048238451591</v>
      </c>
      <c r="E89" s="154">
        <f>'H) Péréquation directe'!I100/C89</f>
        <v>-0.61854602301053874</v>
      </c>
      <c r="F89" s="126">
        <f>'I) Dépenses thématiques'!P89</f>
        <v>0</v>
      </c>
      <c r="G89" s="154">
        <f t="shared" si="5"/>
        <v>15.518502215441051</v>
      </c>
      <c r="H89" s="365">
        <f t="shared" si="6"/>
        <v>0</v>
      </c>
      <c r="I89" s="66">
        <f t="shared" si="7"/>
        <v>0</v>
      </c>
      <c r="J89" s="41">
        <f t="shared" si="8"/>
        <v>15.518502215441051</v>
      </c>
    </row>
    <row r="90" spans="1:10" x14ac:dyDescent="0.25">
      <c r="A90" s="57">
        <f>'A) Base RI'!A92</f>
        <v>5537</v>
      </c>
      <c r="B90" s="350" t="str">
        <f>'A) Base RI'!B92</f>
        <v>Villars-le-Terroir</v>
      </c>
      <c r="C90" s="109">
        <f>'B) D RI'!U92</f>
        <v>30041.138287671231</v>
      </c>
      <c r="D90" s="126">
        <f>'E) Fact soc'!G96/C90</f>
        <v>17.061780027216763</v>
      </c>
      <c r="E90" s="154">
        <f>'H) Péréquation directe'!I101/C90</f>
        <v>1.8497486426562308</v>
      </c>
      <c r="F90" s="126">
        <f>'I) Dépenses thématiques'!P90</f>
        <v>-3.8811946936314325</v>
      </c>
      <c r="G90" s="154">
        <f t="shared" si="5"/>
        <v>15.030333976241561</v>
      </c>
      <c r="H90" s="365">
        <f t="shared" si="6"/>
        <v>0</v>
      </c>
      <c r="I90" s="66">
        <f t="shared" si="7"/>
        <v>0</v>
      </c>
      <c r="J90" s="41">
        <f t="shared" si="8"/>
        <v>15.030333976241561</v>
      </c>
    </row>
    <row r="91" spans="1:10" x14ac:dyDescent="0.25">
      <c r="A91" s="57">
        <f>'A) Base RI'!A93</f>
        <v>5539</v>
      </c>
      <c r="B91" s="350" t="str">
        <f>'A) Base RI'!B93</f>
        <v>Vuarrens</v>
      </c>
      <c r="C91" s="109">
        <f>'B) D RI'!U93</f>
        <v>22727.031566666661</v>
      </c>
      <c r="D91" s="126">
        <f>'E) Fact soc'!G97/C91</f>
        <v>17.284856628719631</v>
      </c>
      <c r="E91" s="154">
        <f>'H) Péréquation directe'!I102/C91</f>
        <v>-7.4774515135682531</v>
      </c>
      <c r="F91" s="126">
        <f>'I) Dépenses thématiques'!P91</f>
        <v>-5.6664858058423349</v>
      </c>
      <c r="G91" s="154">
        <f t="shared" si="5"/>
        <v>4.1409193093090426</v>
      </c>
      <c r="H91" s="365">
        <f t="shared" si="6"/>
        <v>0</v>
      </c>
      <c r="I91" s="66">
        <f t="shared" si="7"/>
        <v>0</v>
      </c>
      <c r="J91" s="41">
        <f t="shared" si="8"/>
        <v>4.1409193093090426</v>
      </c>
    </row>
    <row r="92" spans="1:10" x14ac:dyDescent="0.25">
      <c r="A92" s="57">
        <f>'A) Base RI'!A94</f>
        <v>5540</v>
      </c>
      <c r="B92" s="350" t="str">
        <f>'A) Base RI'!B94</f>
        <v>Montilliez</v>
      </c>
      <c r="C92" s="109">
        <f>'B) D RI'!U94</f>
        <v>54875.674391891895</v>
      </c>
      <c r="D92" s="126">
        <f>'E) Fact soc'!G98/C92</f>
        <v>17.661050133916088</v>
      </c>
      <c r="E92" s="154">
        <f>'H) Péréquation directe'!I103/C92</f>
        <v>3.8416266579863021</v>
      </c>
      <c r="F92" s="126">
        <f>'I) Dépenses thématiques'!P92</f>
        <v>-6.0029881379331993</v>
      </c>
      <c r="G92" s="154">
        <f t="shared" si="5"/>
        <v>15.499688653969192</v>
      </c>
      <c r="H92" s="365">
        <f t="shared" si="6"/>
        <v>0</v>
      </c>
      <c r="I92" s="66">
        <f t="shared" si="7"/>
        <v>0</v>
      </c>
      <c r="J92" s="41">
        <f t="shared" si="8"/>
        <v>15.499688653969192</v>
      </c>
    </row>
    <row r="93" spans="1:10" x14ac:dyDescent="0.25">
      <c r="A93" s="57">
        <f>'A) Base RI'!A95</f>
        <v>5541</v>
      </c>
      <c r="B93" s="350" t="str">
        <f>'A) Base RI'!B95</f>
        <v>Goumoëns</v>
      </c>
      <c r="C93" s="109">
        <f>'B) D RI'!U95</f>
        <v>32498.070519480509</v>
      </c>
      <c r="D93" s="126">
        <f>'E) Fact soc'!G99/C93</f>
        <v>20.586559494361513</v>
      </c>
      <c r="E93" s="154">
        <f>'H) Péréquation directe'!I104/C93</f>
        <v>4.2285497138045436</v>
      </c>
      <c r="F93" s="126">
        <f>'I) Dépenses thématiques'!P93</f>
        <v>-3.7679477665265213</v>
      </c>
      <c r="G93" s="154">
        <f t="shared" si="5"/>
        <v>21.047161441639535</v>
      </c>
      <c r="H93" s="365">
        <f t="shared" si="6"/>
        <v>0</v>
      </c>
      <c r="I93" s="66">
        <f t="shared" si="7"/>
        <v>0</v>
      </c>
      <c r="J93" s="41">
        <f t="shared" si="8"/>
        <v>21.047161441639535</v>
      </c>
    </row>
    <row r="94" spans="1:10" x14ac:dyDescent="0.25">
      <c r="A94" s="57">
        <f>'A) Base RI'!A96</f>
        <v>5551</v>
      </c>
      <c r="B94" s="350" t="str">
        <f>'A) Base RI'!B96</f>
        <v>Bonvillars</v>
      </c>
      <c r="C94" s="109">
        <f>'B) D RI'!U96</f>
        <v>19291.965896103895</v>
      </c>
      <c r="D94" s="126">
        <f>'E) Fact soc'!G100/C94</f>
        <v>16.164354192443863</v>
      </c>
      <c r="E94" s="154">
        <f>'H) Péréquation directe'!I105/C94</f>
        <v>14.315485675637126</v>
      </c>
      <c r="F94" s="126">
        <f>'I) Dépenses thématiques'!P94</f>
        <v>-4.3144337709355334</v>
      </c>
      <c r="G94" s="154">
        <f t="shared" si="5"/>
        <v>26.165406097145453</v>
      </c>
      <c r="H94" s="365">
        <f t="shared" si="6"/>
        <v>0</v>
      </c>
      <c r="I94" s="66">
        <f t="shared" si="7"/>
        <v>0</v>
      </c>
      <c r="J94" s="41">
        <f t="shared" si="8"/>
        <v>26.165406097145453</v>
      </c>
    </row>
    <row r="95" spans="1:10" x14ac:dyDescent="0.25">
      <c r="A95" s="57">
        <f>'A) Base RI'!A97</f>
        <v>5552</v>
      </c>
      <c r="B95" s="350" t="str">
        <f>'A) Base RI'!B97</f>
        <v>Bullet</v>
      </c>
      <c r="C95" s="109">
        <f>'B) D RI'!U97</f>
        <v>15735.537571428569</v>
      </c>
      <c r="D95" s="126">
        <f>'E) Fact soc'!G101/C95</f>
        <v>21.003326827726763</v>
      </c>
      <c r="E95" s="154">
        <f>'H) Péréquation directe'!I106/C95</f>
        <v>-0.98538765409331941</v>
      </c>
      <c r="F95" s="126">
        <f>'I) Dépenses thématiques'!P95</f>
        <v>-5.7026766854594424</v>
      </c>
      <c r="G95" s="154">
        <f t="shared" si="5"/>
        <v>14.315262488174001</v>
      </c>
      <c r="H95" s="365">
        <f t="shared" si="6"/>
        <v>0</v>
      </c>
      <c r="I95" s="66">
        <f t="shared" si="7"/>
        <v>0</v>
      </c>
      <c r="J95" s="41">
        <f t="shared" si="8"/>
        <v>14.315262488174001</v>
      </c>
    </row>
    <row r="96" spans="1:10" x14ac:dyDescent="0.25">
      <c r="A96" s="57">
        <f>'A) Base RI'!A98</f>
        <v>5553</v>
      </c>
      <c r="B96" s="350" t="str">
        <f>'A) Base RI'!B98</f>
        <v>Champagne</v>
      </c>
      <c r="C96" s="109">
        <f>'B) D RI'!U98</f>
        <v>33369.783650793652</v>
      </c>
      <c r="D96" s="126">
        <f>'E) Fact soc'!G102/C96</f>
        <v>20.036740334037411</v>
      </c>
      <c r="E96" s="154">
        <f>'H) Péréquation directe'!I107/C96</f>
        <v>9.329044024747434</v>
      </c>
      <c r="F96" s="126">
        <f>'I) Dépenses thématiques'!P96</f>
        <v>-11.779986177290899</v>
      </c>
      <c r="G96" s="154">
        <f t="shared" si="5"/>
        <v>17.585798181493942</v>
      </c>
      <c r="H96" s="365">
        <f t="shared" si="6"/>
        <v>0</v>
      </c>
      <c r="I96" s="66">
        <f t="shared" si="7"/>
        <v>0</v>
      </c>
      <c r="J96" s="41">
        <f t="shared" si="8"/>
        <v>17.585798181493942</v>
      </c>
    </row>
    <row r="97" spans="1:10" x14ac:dyDescent="0.25">
      <c r="A97" s="57">
        <f>'A) Base RI'!A99</f>
        <v>5554</v>
      </c>
      <c r="B97" s="350" t="str">
        <f>'A) Base RI'!B99</f>
        <v>Concise</v>
      </c>
      <c r="C97" s="109">
        <f>'B) D RI'!U99</f>
        <v>28986.7088</v>
      </c>
      <c r="D97" s="126">
        <f>'E) Fact soc'!G103/C97</f>
        <v>17.773006276473073</v>
      </c>
      <c r="E97" s="154">
        <f>'H) Péréquation directe'!I108/C97</f>
        <v>4.3118037470901429</v>
      </c>
      <c r="F97" s="126">
        <f>'I) Dépenses thématiques'!P97</f>
        <v>-9.2593194562859029</v>
      </c>
      <c r="G97" s="154">
        <f t="shared" si="5"/>
        <v>12.825490567277312</v>
      </c>
      <c r="H97" s="365">
        <f t="shared" si="6"/>
        <v>0</v>
      </c>
      <c r="I97" s="66">
        <f t="shared" si="7"/>
        <v>0</v>
      </c>
      <c r="J97" s="41">
        <f t="shared" si="8"/>
        <v>12.825490567277312</v>
      </c>
    </row>
    <row r="98" spans="1:10" x14ac:dyDescent="0.25">
      <c r="A98" s="57">
        <f>'A) Base RI'!A100</f>
        <v>5555</v>
      </c>
      <c r="B98" s="350" t="str">
        <f>'A) Base RI'!B100</f>
        <v>Corcelles-près-Concise</v>
      </c>
      <c r="C98" s="109">
        <f>'B) D RI'!U100</f>
        <v>11040.372394366199</v>
      </c>
      <c r="D98" s="126">
        <f>'E) Fact soc'!G104/C98</f>
        <v>18.863476861372664</v>
      </c>
      <c r="E98" s="154">
        <f>'H) Péréquation directe'!I109/C98</f>
        <v>4.2563577095699614</v>
      </c>
      <c r="F98" s="126">
        <f>'I) Dépenses thématiques'!P98</f>
        <v>-8.1283837392109088</v>
      </c>
      <c r="G98" s="154">
        <f t="shared" si="5"/>
        <v>14.991450831731717</v>
      </c>
      <c r="H98" s="365">
        <f t="shared" si="6"/>
        <v>0</v>
      </c>
      <c r="I98" s="66">
        <f t="shared" si="7"/>
        <v>0</v>
      </c>
      <c r="J98" s="41">
        <f t="shared" si="8"/>
        <v>14.991450831731717</v>
      </c>
    </row>
    <row r="99" spans="1:10" x14ac:dyDescent="0.25">
      <c r="A99" s="57">
        <f>'A) Base RI'!A101</f>
        <v>5556</v>
      </c>
      <c r="B99" s="350" t="str">
        <f>'A) Base RI'!B101</f>
        <v>Fiez</v>
      </c>
      <c r="C99" s="109">
        <f>'B) D RI'!U101</f>
        <v>12472.754202898552</v>
      </c>
      <c r="D99" s="126">
        <f>'E) Fact soc'!G105/C99</f>
        <v>17.115755309811334</v>
      </c>
      <c r="E99" s="154">
        <f>'H) Péréquation directe'!I110/C99</f>
        <v>4.9666206822424011</v>
      </c>
      <c r="F99" s="126">
        <f>'I) Dépenses thématiques'!P99</f>
        <v>-9.5788610504757656</v>
      </c>
      <c r="G99" s="154">
        <f t="shared" si="5"/>
        <v>12.503514941577969</v>
      </c>
      <c r="H99" s="365">
        <f t="shared" si="6"/>
        <v>0</v>
      </c>
      <c r="I99" s="66">
        <f t="shared" si="7"/>
        <v>0</v>
      </c>
      <c r="J99" s="41">
        <f t="shared" si="8"/>
        <v>12.503514941577969</v>
      </c>
    </row>
    <row r="100" spans="1:10" x14ac:dyDescent="0.25">
      <c r="A100" s="57">
        <f>'A) Base RI'!A102</f>
        <v>5557</v>
      </c>
      <c r="B100" s="350" t="str">
        <f>'A) Base RI'!B102</f>
        <v>Fontaines-sur-Grandson</v>
      </c>
      <c r="C100" s="109">
        <f>'B) D RI'!U102</f>
        <v>4030.2872463768117</v>
      </c>
      <c r="D100" s="126">
        <f>'E) Fact soc'!G106/C100</f>
        <v>19.479011558309995</v>
      </c>
      <c r="E100" s="154">
        <f>'H) Péréquation directe'!I111/C100</f>
        <v>-9.7894816853227216</v>
      </c>
      <c r="F100" s="126">
        <f>'I) Dépenses thématiques'!P100</f>
        <v>-1.9839922055760695</v>
      </c>
      <c r="G100" s="154">
        <f t="shared" si="5"/>
        <v>7.7055376674112042</v>
      </c>
      <c r="H100" s="365">
        <f t="shared" si="6"/>
        <v>0</v>
      </c>
      <c r="I100" s="66">
        <f t="shared" si="7"/>
        <v>0</v>
      </c>
      <c r="J100" s="41">
        <f t="shared" si="8"/>
        <v>7.7055376674112042</v>
      </c>
    </row>
    <row r="101" spans="1:10" x14ac:dyDescent="0.25">
      <c r="A101" s="57">
        <f>'A) Base RI'!A103</f>
        <v>5559</v>
      </c>
      <c r="B101" s="350" t="str">
        <f>'A) Base RI'!B103</f>
        <v>Giez</v>
      </c>
      <c r="C101" s="109">
        <f>'B) D RI'!U103</f>
        <v>18149.138484848489</v>
      </c>
      <c r="D101" s="126">
        <f>'E) Fact soc'!G107/C101</f>
        <v>24.351899349619252</v>
      </c>
      <c r="E101" s="154">
        <f>'H) Péréquation directe'!I112/C101</f>
        <v>16.267012504697771</v>
      </c>
      <c r="F101" s="126">
        <f>'I) Dépenses thématiques'!P101</f>
        <v>0</v>
      </c>
      <c r="G101" s="154">
        <f t="shared" si="5"/>
        <v>40.61891185431702</v>
      </c>
      <c r="H101" s="365">
        <f t="shared" si="6"/>
        <v>0</v>
      </c>
      <c r="I101" s="66">
        <f t="shared" si="7"/>
        <v>0</v>
      </c>
      <c r="J101" s="41">
        <f t="shared" si="8"/>
        <v>40.61891185431702</v>
      </c>
    </row>
    <row r="102" spans="1:10" x14ac:dyDescent="0.25">
      <c r="A102" s="57">
        <f>'A) Base RI'!A104</f>
        <v>5560</v>
      </c>
      <c r="B102" s="350" t="str">
        <f>'A) Base RI'!B104</f>
        <v>Grandevent</v>
      </c>
      <c r="C102" s="109">
        <f>'B) D RI'!U104</f>
        <v>6446.6273529411765</v>
      </c>
      <c r="D102" s="126">
        <f>'E) Fact soc'!G108/C102</f>
        <v>16.038188764014176</v>
      </c>
      <c r="E102" s="154">
        <f>'H) Péréquation directe'!I113/C102</f>
        <v>3.6301296599233837</v>
      </c>
      <c r="F102" s="126">
        <f>'I) Dépenses thématiques'!P102</f>
        <v>-0.1624993805772989</v>
      </c>
      <c r="G102" s="154">
        <f t="shared" si="5"/>
        <v>19.505819043360262</v>
      </c>
      <c r="H102" s="365">
        <f t="shared" si="6"/>
        <v>0</v>
      </c>
      <c r="I102" s="66">
        <f t="shared" si="7"/>
        <v>0</v>
      </c>
      <c r="J102" s="41">
        <f t="shared" si="8"/>
        <v>19.505819043360262</v>
      </c>
    </row>
    <row r="103" spans="1:10" x14ac:dyDescent="0.25">
      <c r="A103" s="57">
        <f>'A) Base RI'!A105</f>
        <v>5561</v>
      </c>
      <c r="B103" s="350" t="str">
        <f>'A) Base RI'!B105</f>
        <v>Grandson</v>
      </c>
      <c r="C103" s="109">
        <f>'B) D RI'!U105</f>
        <v>115170.40130434782</v>
      </c>
      <c r="D103" s="126">
        <f>'E) Fact soc'!G109/C103</f>
        <v>18.94761856883839</v>
      </c>
      <c r="E103" s="154">
        <f>'H) Péréquation directe'!I114/C103</f>
        <v>4.8580293361290794</v>
      </c>
      <c r="F103" s="126">
        <f>'I) Dépenses thématiques'!P103</f>
        <v>-205.09239404145237</v>
      </c>
      <c r="G103" s="154">
        <f t="shared" si="5"/>
        <v>-181.28674613648491</v>
      </c>
      <c r="H103" s="365">
        <f t="shared" si="6"/>
        <v>0</v>
      </c>
      <c r="I103" s="66">
        <f t="shared" si="7"/>
        <v>0</v>
      </c>
      <c r="J103" s="41">
        <f t="shared" si="8"/>
        <v>-181.28674613648491</v>
      </c>
    </row>
    <row r="104" spans="1:10" x14ac:dyDescent="0.25">
      <c r="A104" s="57">
        <f>'A) Base RI'!A106</f>
        <v>5562</v>
      </c>
      <c r="B104" s="350" t="str">
        <f>'A) Base RI'!B106</f>
        <v>Mauborget</v>
      </c>
      <c r="C104" s="109">
        <f>'B) D RI'!U106</f>
        <v>3662.5545714285713</v>
      </c>
      <c r="D104" s="126">
        <f>'E) Fact soc'!G110/C104</f>
        <v>17.308270872973157</v>
      </c>
      <c r="E104" s="154">
        <f>'H) Péréquation directe'!I115/C104</f>
        <v>5.3021414106870646</v>
      </c>
      <c r="F104" s="126">
        <f>'I) Dépenses thématiques'!P104</f>
        <v>-4.6712886432855303</v>
      </c>
      <c r="G104" s="154">
        <f t="shared" si="5"/>
        <v>17.939123640374689</v>
      </c>
      <c r="H104" s="365">
        <f t="shared" si="6"/>
        <v>0</v>
      </c>
      <c r="I104" s="66">
        <f t="shared" si="7"/>
        <v>0</v>
      </c>
      <c r="J104" s="41">
        <f t="shared" si="8"/>
        <v>17.939123640374689</v>
      </c>
    </row>
    <row r="105" spans="1:10" x14ac:dyDescent="0.25">
      <c r="A105" s="57">
        <f>'A) Base RI'!A107</f>
        <v>5563</v>
      </c>
      <c r="B105" s="350" t="str">
        <f>'A) Base RI'!B107</f>
        <v>Mutrux</v>
      </c>
      <c r="C105" s="109">
        <f>'B) D RI'!U107</f>
        <v>4275.1686624203812</v>
      </c>
      <c r="D105" s="126">
        <f>'E) Fact soc'!G111/C105</f>
        <v>18.255419975404998</v>
      </c>
      <c r="E105" s="154">
        <f>'H) Péréquation directe'!I116/C105</f>
        <v>-2.547672837022438</v>
      </c>
      <c r="F105" s="126">
        <f>'I) Dépenses thématiques'!P105</f>
        <v>-10.546336780271504</v>
      </c>
      <c r="G105" s="154">
        <f t="shared" si="5"/>
        <v>5.1614103581110555</v>
      </c>
      <c r="H105" s="365">
        <f t="shared" si="6"/>
        <v>0</v>
      </c>
      <c r="I105" s="66">
        <f t="shared" si="7"/>
        <v>0</v>
      </c>
      <c r="J105" s="41">
        <f t="shared" si="8"/>
        <v>5.1614103581110555</v>
      </c>
    </row>
    <row r="106" spans="1:10" x14ac:dyDescent="0.25">
      <c r="A106" s="57">
        <f>'A) Base RI'!A108</f>
        <v>5564</v>
      </c>
      <c r="B106" s="350" t="str">
        <f>'A) Base RI'!B108</f>
        <v>Novalles</v>
      </c>
      <c r="C106" s="109">
        <f>'B) D RI'!U108</f>
        <v>2063.0078618421053</v>
      </c>
      <c r="D106" s="126">
        <f>'E) Fact soc'!G112/C106</f>
        <v>22.37378303223409</v>
      </c>
      <c r="E106" s="154">
        <f>'H) Péréquation directe'!I117/C106</f>
        <v>-14.081436141299644</v>
      </c>
      <c r="F106" s="126">
        <f>'I) Dépenses thématiques'!P106</f>
        <v>-0.545571095993444</v>
      </c>
      <c r="G106" s="154">
        <f t="shared" si="5"/>
        <v>7.7467757949410023</v>
      </c>
      <c r="H106" s="365">
        <f t="shared" si="6"/>
        <v>0</v>
      </c>
      <c r="I106" s="66">
        <f t="shared" si="7"/>
        <v>0</v>
      </c>
      <c r="J106" s="41">
        <f t="shared" si="8"/>
        <v>7.7467757949410023</v>
      </c>
    </row>
    <row r="107" spans="1:10" x14ac:dyDescent="0.25">
      <c r="A107" s="57">
        <f>'A) Base RI'!A109</f>
        <v>5565</v>
      </c>
      <c r="B107" s="350" t="str">
        <f>'A) Base RI'!B109</f>
        <v>Onnens</v>
      </c>
      <c r="C107" s="109">
        <f>'B) D RI'!U109</f>
        <v>17902.806410256413</v>
      </c>
      <c r="D107" s="126">
        <f>'E) Fact soc'!G113/C107</f>
        <v>16.103900105697161</v>
      </c>
      <c r="E107" s="154">
        <f>'H) Péréquation directe'!I118/C107</f>
        <v>11.580478801691616</v>
      </c>
      <c r="F107" s="126">
        <f>'I) Dépenses thématiques'!P107</f>
        <v>-6.9159234767296986</v>
      </c>
      <c r="G107" s="154">
        <f t="shared" si="5"/>
        <v>20.768455430659078</v>
      </c>
      <c r="H107" s="365">
        <f t="shared" si="6"/>
        <v>0</v>
      </c>
      <c r="I107" s="66">
        <f t="shared" si="7"/>
        <v>0</v>
      </c>
      <c r="J107" s="41">
        <f t="shared" si="8"/>
        <v>20.768455430659078</v>
      </c>
    </row>
    <row r="108" spans="1:10" x14ac:dyDescent="0.25">
      <c r="A108" s="57">
        <f>'A) Base RI'!A110</f>
        <v>5566</v>
      </c>
      <c r="B108" s="350" t="str">
        <f>'A) Base RI'!B110</f>
        <v>Provence</v>
      </c>
      <c r="C108" s="109">
        <f>'B) D RI'!U110</f>
        <v>8605.0976954732487</v>
      </c>
      <c r="D108" s="126">
        <f>'E) Fact soc'!G114/C108</f>
        <v>20.667156323139636</v>
      </c>
      <c r="E108" s="154">
        <f>'H) Péréquation directe'!I119/C108</f>
        <v>-13.226719559922273</v>
      </c>
      <c r="F108" s="126">
        <f>'I) Dépenses thématiques'!P108</f>
        <v>-1.3415679480231384</v>
      </c>
      <c r="G108" s="154">
        <f t="shared" si="5"/>
        <v>6.0988688151942245</v>
      </c>
      <c r="H108" s="365">
        <f t="shared" si="6"/>
        <v>0</v>
      </c>
      <c r="I108" s="66">
        <f t="shared" si="7"/>
        <v>0</v>
      </c>
      <c r="J108" s="41">
        <f t="shared" si="8"/>
        <v>6.0988688151942245</v>
      </c>
    </row>
    <row r="109" spans="1:10" x14ac:dyDescent="0.25">
      <c r="A109" s="57">
        <f>'A) Base RI'!A111</f>
        <v>5568</v>
      </c>
      <c r="B109" s="350" t="str">
        <f>'A) Base RI'!B111</f>
        <v>Sainte-Croix</v>
      </c>
      <c r="C109" s="109">
        <f>'B) D RI'!U111</f>
        <v>96229.339714285714</v>
      </c>
      <c r="D109" s="126">
        <f>'E) Fact soc'!G115/C109</f>
        <v>24.243607061339485</v>
      </c>
      <c r="E109" s="154">
        <f>'H) Péréquation directe'!I120/C109</f>
        <v>-23.963951724129888</v>
      </c>
      <c r="F109" s="126">
        <f>'I) Dépenses thématiques'!P109</f>
        <v>-48.807417400519775</v>
      </c>
      <c r="G109" s="154">
        <f t="shared" si="5"/>
        <v>-48.527762063310178</v>
      </c>
      <c r="H109" s="365">
        <f t="shared" si="6"/>
        <v>0</v>
      </c>
      <c r="I109" s="66">
        <f t="shared" si="7"/>
        <v>0</v>
      </c>
      <c r="J109" s="41">
        <f t="shared" si="8"/>
        <v>-48.527762063310178</v>
      </c>
    </row>
    <row r="110" spans="1:10" x14ac:dyDescent="0.25">
      <c r="A110" s="57">
        <f>'A) Base RI'!A112</f>
        <v>5571</v>
      </c>
      <c r="B110" s="350" t="str">
        <f>'A) Base RI'!B112</f>
        <v>Tévenon</v>
      </c>
      <c r="C110" s="109">
        <f>'B) D RI'!U112</f>
        <v>20963.465799086756</v>
      </c>
      <c r="D110" s="126">
        <f>'E) Fact soc'!G116/C110</f>
        <v>24.57006732794077</v>
      </c>
      <c r="E110" s="154">
        <f>'H) Péréquation directe'!I121/C110</f>
        <v>5.476611781393196E-3</v>
      </c>
      <c r="F110" s="126">
        <f>'I) Dépenses thématiques'!P110</f>
        <v>-0.70281560178652047</v>
      </c>
      <c r="G110" s="154">
        <f t="shared" si="5"/>
        <v>23.872728337935641</v>
      </c>
      <c r="H110" s="365">
        <f t="shared" si="6"/>
        <v>0</v>
      </c>
      <c r="I110" s="66">
        <f t="shared" si="7"/>
        <v>0</v>
      </c>
      <c r="J110" s="41">
        <f t="shared" si="8"/>
        <v>23.872728337935641</v>
      </c>
    </row>
    <row r="111" spans="1:10" x14ac:dyDescent="0.25">
      <c r="A111" s="57">
        <f>'A) Base RI'!A113</f>
        <v>5581</v>
      </c>
      <c r="B111" s="350" t="str">
        <f>'A) Base RI'!B113</f>
        <v>Belmont-sur-Lausanne</v>
      </c>
      <c r="C111" s="109">
        <f>'B) D RI'!U113</f>
        <v>187042.91923261393</v>
      </c>
      <c r="D111" s="126">
        <f>'E) Fact soc'!G117/C111</f>
        <v>16.845667627981946</v>
      </c>
      <c r="E111" s="154">
        <f>'H) Péréquation directe'!I122/C111</f>
        <v>13.103341102022279</v>
      </c>
      <c r="F111" s="126">
        <f>'I) Dépenses thématiques'!P111</f>
        <v>-2.9621481076202789</v>
      </c>
      <c r="G111" s="154">
        <f t="shared" si="5"/>
        <v>26.986860622383944</v>
      </c>
      <c r="H111" s="365">
        <f t="shared" si="6"/>
        <v>0</v>
      </c>
      <c r="I111" s="66">
        <f t="shared" si="7"/>
        <v>0</v>
      </c>
      <c r="J111" s="41">
        <f t="shared" si="8"/>
        <v>26.986860622383944</v>
      </c>
    </row>
    <row r="112" spans="1:10" x14ac:dyDescent="0.25">
      <c r="A112" s="57">
        <f>'A) Base RI'!A114</f>
        <v>5582</v>
      </c>
      <c r="B112" s="350" t="str">
        <f>'A) Base RI'!B114</f>
        <v>Cheseaux-sur-Lausanne</v>
      </c>
      <c r="C112" s="109">
        <f>'B) D RI'!U114</f>
        <v>203617.184295302</v>
      </c>
      <c r="D112" s="126">
        <f>'E) Fact soc'!G118/C112</f>
        <v>17.329890221630102</v>
      </c>
      <c r="E112" s="154">
        <f>'H) Péréquation directe'!I123/C112</f>
        <v>11.671939192848148</v>
      </c>
      <c r="F112" s="126">
        <f>'I) Dépenses thématiques'!P112</f>
        <v>-0.19526665409782401</v>
      </c>
      <c r="G112" s="154">
        <f t="shared" si="5"/>
        <v>28.806562760380427</v>
      </c>
      <c r="H112" s="365">
        <f t="shared" si="6"/>
        <v>0</v>
      </c>
      <c r="I112" s="66">
        <f t="shared" si="7"/>
        <v>0</v>
      </c>
      <c r="J112" s="41">
        <f t="shared" si="8"/>
        <v>28.806562760380427</v>
      </c>
    </row>
    <row r="113" spans="1:10" x14ac:dyDescent="0.25">
      <c r="A113" s="57">
        <f>'A) Base RI'!A115</f>
        <v>5583</v>
      </c>
      <c r="B113" s="350" t="str">
        <f>'A) Base RI'!B115</f>
        <v>Crissier</v>
      </c>
      <c r="C113" s="109">
        <f>'B) D RI'!U115</f>
        <v>311741.22092307697</v>
      </c>
      <c r="D113" s="126">
        <f>'E) Fact soc'!G119/C113</f>
        <v>17.814734275778637</v>
      </c>
      <c r="E113" s="154">
        <f>'H) Péréquation directe'!I124/C113</f>
        <v>6.2607508153642639</v>
      </c>
      <c r="F113" s="126">
        <f>'I) Dépenses thématiques'!P113</f>
        <v>-4.7740308156741911</v>
      </c>
      <c r="G113" s="154">
        <f t="shared" si="5"/>
        <v>19.301454275468711</v>
      </c>
      <c r="H113" s="365">
        <f t="shared" si="6"/>
        <v>0</v>
      </c>
      <c r="I113" s="66">
        <f t="shared" si="7"/>
        <v>0</v>
      </c>
      <c r="J113" s="41">
        <f t="shared" si="8"/>
        <v>19.301454275468711</v>
      </c>
    </row>
    <row r="114" spans="1:10" x14ac:dyDescent="0.25">
      <c r="A114" s="57">
        <f>'A) Base RI'!A116</f>
        <v>5584</v>
      </c>
      <c r="B114" s="350" t="str">
        <f>'A) Base RI'!B116</f>
        <v>Epalinges</v>
      </c>
      <c r="C114" s="109">
        <f>'B) D RI'!U116</f>
        <v>455692.51</v>
      </c>
      <c r="D114" s="126">
        <f>'E) Fact soc'!G120/C114</f>
        <v>20.083905782133055</v>
      </c>
      <c r="E114" s="154">
        <f>'H) Péréquation directe'!I125/C114</f>
        <v>9.1735166792235674</v>
      </c>
      <c r="F114" s="126">
        <f>'I) Dépenses thématiques'!P114</f>
        <v>-14.909923414526505</v>
      </c>
      <c r="G114" s="154">
        <f t="shared" si="5"/>
        <v>14.347499046830118</v>
      </c>
      <c r="H114" s="365">
        <f t="shared" si="6"/>
        <v>0</v>
      </c>
      <c r="I114" s="66">
        <f t="shared" si="7"/>
        <v>0</v>
      </c>
      <c r="J114" s="41">
        <f t="shared" si="8"/>
        <v>14.347499046830118</v>
      </c>
    </row>
    <row r="115" spans="1:10" x14ac:dyDescent="0.25">
      <c r="A115" s="57">
        <f>'A) Base RI'!A117</f>
        <v>5585</v>
      </c>
      <c r="B115" s="350" t="str">
        <f>'A) Base RI'!B117</f>
        <v>Jouxtens-Mézery</v>
      </c>
      <c r="C115" s="109">
        <f>'B) D RI'!U117</f>
        <v>201546.16339622639</v>
      </c>
      <c r="D115" s="126">
        <f>'E) Fact soc'!G121/C115</f>
        <v>31.711455650760666</v>
      </c>
      <c r="E115" s="154">
        <f>'H) Péréquation directe'!I126/C115</f>
        <v>14.746399458619116</v>
      </c>
      <c r="F115" s="126">
        <f>'I) Dépenses thématiques'!P115</f>
        <v>0</v>
      </c>
      <c r="G115" s="154">
        <f t="shared" si="5"/>
        <v>46.457855109379778</v>
      </c>
      <c r="H115" s="365">
        <f t="shared" si="6"/>
        <v>-1.4578551093797785</v>
      </c>
      <c r="I115" s="66">
        <f t="shared" si="7"/>
        <v>-293825.10408308031</v>
      </c>
      <c r="J115" s="41">
        <f t="shared" si="8"/>
        <v>45</v>
      </c>
    </row>
    <row r="116" spans="1:10" x14ac:dyDescent="0.25">
      <c r="A116" s="57">
        <f>'A) Base RI'!A118</f>
        <v>5586</v>
      </c>
      <c r="B116" s="350" t="str">
        <f>'A) Base RI'!B118</f>
        <v>Lausanne</v>
      </c>
      <c r="C116" s="109">
        <f>'B) D RI'!U118</f>
        <v>6075429.3645991571</v>
      </c>
      <c r="D116" s="126">
        <f>'E) Fact soc'!G122/C116</f>
        <v>17.700244478362549</v>
      </c>
      <c r="E116" s="154">
        <f>'H) Péréquation directe'!I127/C116</f>
        <v>-4.123842399430341</v>
      </c>
      <c r="F116" s="126">
        <f>'I) Dépenses thématiques'!P116</f>
        <v>-109.7455123061516</v>
      </c>
      <c r="G116" s="154">
        <f t="shared" si="5"/>
        <v>-96.169110227219392</v>
      </c>
      <c r="H116" s="365">
        <f t="shared" si="6"/>
        <v>0</v>
      </c>
      <c r="I116" s="66">
        <f t="shared" si="7"/>
        <v>0</v>
      </c>
      <c r="J116" s="41">
        <f t="shared" si="8"/>
        <v>-96.169110227219392</v>
      </c>
    </row>
    <row r="117" spans="1:10" x14ac:dyDescent="0.25">
      <c r="A117" s="57">
        <f>'A) Base RI'!A119</f>
        <v>5587</v>
      </c>
      <c r="B117" s="350" t="str">
        <f>'A) Base RI'!B119</f>
        <v>Le Mont-sur-Lausanne</v>
      </c>
      <c r="C117" s="109">
        <f>'B) D RI'!U119</f>
        <v>413343.80273333337</v>
      </c>
      <c r="D117" s="126">
        <f>'E) Fact soc'!G123/C117</f>
        <v>17.778695555065312</v>
      </c>
      <c r="E117" s="154">
        <f>'H) Péréquation directe'!I128/C117</f>
        <v>10.390150282975036</v>
      </c>
      <c r="F117" s="126">
        <f>'I) Dépenses thématiques'!P117</f>
        <v>-13.614608139770469</v>
      </c>
      <c r="G117" s="154">
        <f t="shared" si="5"/>
        <v>14.554237698269878</v>
      </c>
      <c r="H117" s="365">
        <f t="shared" si="6"/>
        <v>0</v>
      </c>
      <c r="I117" s="66">
        <f t="shared" si="7"/>
        <v>0</v>
      </c>
      <c r="J117" s="41">
        <f t="shared" si="8"/>
        <v>14.554237698269878</v>
      </c>
    </row>
    <row r="118" spans="1:10" x14ac:dyDescent="0.25">
      <c r="A118" s="57">
        <f>'A) Base RI'!A120</f>
        <v>5588</v>
      </c>
      <c r="B118" s="350" t="str">
        <f>'A) Base RI'!B120</f>
        <v>Paudex</v>
      </c>
      <c r="C118" s="109">
        <f>'B) D RI'!U120</f>
        <v>160000.57716608592</v>
      </c>
      <c r="D118" s="126">
        <f>'E) Fact soc'!G124/C118</f>
        <v>28.980264046672957</v>
      </c>
      <c r="E118" s="154">
        <f>'H) Péréquation directe'!I129/C118</f>
        <v>15.059073660953398</v>
      </c>
      <c r="F118" s="126">
        <f>'I) Dépenses thématiques'!P118</f>
        <v>0</v>
      </c>
      <c r="G118" s="154">
        <f t="shared" si="5"/>
        <v>44.039337707626359</v>
      </c>
      <c r="H118" s="365">
        <f t="shared" si="6"/>
        <v>0</v>
      </c>
      <c r="I118" s="66">
        <f t="shared" si="7"/>
        <v>0</v>
      </c>
      <c r="J118" s="41">
        <f t="shared" si="8"/>
        <v>44.039337707626359</v>
      </c>
    </row>
    <row r="119" spans="1:10" x14ac:dyDescent="0.25">
      <c r="A119" s="57">
        <f>'A) Base RI'!A121</f>
        <v>5589</v>
      </c>
      <c r="B119" s="350" t="str">
        <f>'A) Base RI'!B121</f>
        <v>Prilly</v>
      </c>
      <c r="C119" s="109">
        <f>'B) D RI'!U121</f>
        <v>437574.2323809524</v>
      </c>
      <c r="D119" s="126">
        <f>'E) Fact soc'!G125/C119</f>
        <v>18.74589747201918</v>
      </c>
      <c r="E119" s="154">
        <f>'H) Péréquation directe'!I130/C119</f>
        <v>-1.093510689841251</v>
      </c>
      <c r="F119" s="126">
        <f>'I) Dépenses thématiques'!P119</f>
        <v>-1.2865272695305983</v>
      </c>
      <c r="G119" s="154">
        <f t="shared" si="5"/>
        <v>16.365859512647329</v>
      </c>
      <c r="H119" s="365">
        <f t="shared" si="6"/>
        <v>0</v>
      </c>
      <c r="I119" s="66">
        <f t="shared" si="7"/>
        <v>0</v>
      </c>
      <c r="J119" s="41">
        <f t="shared" si="8"/>
        <v>16.365859512647329</v>
      </c>
    </row>
    <row r="120" spans="1:10" x14ac:dyDescent="0.25">
      <c r="A120" s="57">
        <f>'A) Base RI'!A122</f>
        <v>5590</v>
      </c>
      <c r="B120" s="350" t="str">
        <f>'A) Base RI'!B122</f>
        <v>Pully</v>
      </c>
      <c r="C120" s="109">
        <f>'B) D RI'!U122</f>
        <v>1422298.2200936768</v>
      </c>
      <c r="D120" s="126">
        <f>'E) Fact soc'!G126/C120</f>
        <v>24.156012416170775</v>
      </c>
      <c r="E120" s="154">
        <f>'H) Péréquation directe'!I131/C120</f>
        <v>8.7780089572946185</v>
      </c>
      <c r="F120" s="126">
        <f>'I) Dépenses thématiques'!P120</f>
        <v>-2.5209429040135607</v>
      </c>
      <c r="G120" s="154">
        <f t="shared" si="5"/>
        <v>30.413078469451833</v>
      </c>
      <c r="H120" s="365">
        <f t="shared" si="6"/>
        <v>0</v>
      </c>
      <c r="I120" s="66">
        <f t="shared" si="7"/>
        <v>0</v>
      </c>
      <c r="J120" s="41">
        <f t="shared" si="8"/>
        <v>30.413078469451833</v>
      </c>
    </row>
    <row r="121" spans="1:10" x14ac:dyDescent="0.25">
      <c r="A121" s="57">
        <f>'A) Base RI'!A123</f>
        <v>5591</v>
      </c>
      <c r="B121" s="350" t="str">
        <f>'A) Base RI'!B123</f>
        <v>Renens</v>
      </c>
      <c r="C121" s="109">
        <f>'B) D RI'!U123</f>
        <v>529647.11015468603</v>
      </c>
      <c r="D121" s="126">
        <f>'E) Fact soc'!G127/C121</f>
        <v>18.308918031415178</v>
      </c>
      <c r="E121" s="154">
        <f>'H) Péréquation directe'!I132/C121</f>
        <v>-27.896653950041081</v>
      </c>
      <c r="F121" s="126">
        <f>'I) Dépenses thématiques'!P121</f>
        <v>-46.912424171706732</v>
      </c>
      <c r="G121" s="154">
        <f t="shared" si="5"/>
        <v>-56.500160090332635</v>
      </c>
      <c r="H121" s="365">
        <f t="shared" si="6"/>
        <v>0</v>
      </c>
      <c r="I121" s="66">
        <f t="shared" si="7"/>
        <v>0</v>
      </c>
      <c r="J121" s="41">
        <f t="shared" si="8"/>
        <v>-56.500160090332635</v>
      </c>
    </row>
    <row r="122" spans="1:10" x14ac:dyDescent="0.25">
      <c r="A122" s="57">
        <f>'A) Base RI'!A124</f>
        <v>5592</v>
      </c>
      <c r="B122" s="350" t="str">
        <f>'A) Base RI'!B124</f>
        <v>Romanel-sur-Lausanne</v>
      </c>
      <c r="C122" s="109">
        <f>'B) D RI'!U124</f>
        <v>116555.94314285714</v>
      </c>
      <c r="D122" s="126">
        <f>'E) Fact soc'!G128/C122</f>
        <v>16.802262597163431</v>
      </c>
      <c r="E122" s="154">
        <f>'H) Péréquation directe'!I133/C122</f>
        <v>4.6287450142714093</v>
      </c>
      <c r="F122" s="126">
        <f>'I) Dépenses thématiques'!P122</f>
        <v>-1.9530206037419442</v>
      </c>
      <c r="G122" s="154">
        <f t="shared" si="5"/>
        <v>19.477987007692896</v>
      </c>
      <c r="H122" s="365">
        <f t="shared" si="6"/>
        <v>0</v>
      </c>
      <c r="I122" s="66">
        <f t="shared" si="7"/>
        <v>0</v>
      </c>
      <c r="J122" s="41">
        <f t="shared" si="8"/>
        <v>19.477987007692896</v>
      </c>
    </row>
    <row r="123" spans="1:10" x14ac:dyDescent="0.25">
      <c r="A123" s="57">
        <f>'A) Base RI'!A125</f>
        <v>5601</v>
      </c>
      <c r="B123" s="350" t="str">
        <f>'A) Base RI'!B125</f>
        <v>Chexbres</v>
      </c>
      <c r="C123" s="109">
        <f>'B) D RI'!U125</f>
        <v>99746.160000000018</v>
      </c>
      <c r="D123" s="126">
        <f>'E) Fact soc'!G129/C123</f>
        <v>17.900229577788025</v>
      </c>
      <c r="E123" s="154">
        <f>'H) Péréquation directe'!I134/C123</f>
        <v>13.296212091273464</v>
      </c>
      <c r="F123" s="126">
        <f>'I) Dépenses thématiques'!P123</f>
        <v>-2.8992806550383015</v>
      </c>
      <c r="G123" s="154">
        <f t="shared" si="5"/>
        <v>28.297161014023189</v>
      </c>
      <c r="H123" s="365">
        <f t="shared" si="6"/>
        <v>0</v>
      </c>
      <c r="I123" s="66">
        <f t="shared" si="7"/>
        <v>0</v>
      </c>
      <c r="J123" s="41">
        <f t="shared" si="8"/>
        <v>28.297161014023189</v>
      </c>
    </row>
    <row r="124" spans="1:10" x14ac:dyDescent="0.25">
      <c r="A124" s="57">
        <f>'A) Base RI'!A126</f>
        <v>5604</v>
      </c>
      <c r="B124" s="350" t="str">
        <f>'A) Base RI'!B126</f>
        <v>Forel (Lavaux)</v>
      </c>
      <c r="C124" s="109">
        <f>'B) D RI'!U126</f>
        <v>71240.347352941171</v>
      </c>
      <c r="D124" s="126">
        <f>'E) Fact soc'!G130/C124</f>
        <v>17.227430820620693</v>
      </c>
      <c r="E124" s="154">
        <f>'H) Péréquation directe'!I135/C124</f>
        <v>6.4687410112958199</v>
      </c>
      <c r="F124" s="126">
        <f>'I) Dépenses thématiques'!P124</f>
        <v>-0.3431609626802547</v>
      </c>
      <c r="G124" s="154">
        <f t="shared" si="5"/>
        <v>23.353010869236257</v>
      </c>
      <c r="H124" s="365">
        <f t="shared" si="6"/>
        <v>0</v>
      </c>
      <c r="I124" s="66">
        <f t="shared" si="7"/>
        <v>0</v>
      </c>
      <c r="J124" s="41">
        <f t="shared" si="8"/>
        <v>23.353010869236257</v>
      </c>
    </row>
    <row r="125" spans="1:10" x14ac:dyDescent="0.25">
      <c r="A125" s="57">
        <f>'A) Base RI'!A127</f>
        <v>5606</v>
      </c>
      <c r="B125" s="350" t="str">
        <f>'A) Base RI'!B127</f>
        <v>Lutry</v>
      </c>
      <c r="C125" s="109">
        <f>'B) D RI'!U127</f>
        <v>770648.37755469768</v>
      </c>
      <c r="D125" s="126">
        <f>'E) Fact soc'!G131/C125</f>
        <v>24.782375294591411</v>
      </c>
      <c r="E125" s="154">
        <f>'H) Péréquation directe'!I136/C125</f>
        <v>11.414411989744391</v>
      </c>
      <c r="F125" s="126">
        <f>'I) Dépenses thématiques'!P125</f>
        <v>-20.687516109871609</v>
      </c>
      <c r="G125" s="154">
        <f t="shared" si="5"/>
        <v>15.509271174464189</v>
      </c>
      <c r="H125" s="365">
        <f t="shared" si="6"/>
        <v>0</v>
      </c>
      <c r="I125" s="66">
        <f t="shared" si="7"/>
        <v>0</v>
      </c>
      <c r="J125" s="41">
        <f t="shared" si="8"/>
        <v>15.509271174464189</v>
      </c>
    </row>
    <row r="126" spans="1:10" x14ac:dyDescent="0.25">
      <c r="A126" s="57">
        <f>'A) Base RI'!A128</f>
        <v>5607</v>
      </c>
      <c r="B126" s="350" t="str">
        <f>'A) Base RI'!B128</f>
        <v>Puidoux</v>
      </c>
      <c r="C126" s="109">
        <f>'B) D RI'!U128</f>
        <v>97147.534937888209</v>
      </c>
      <c r="D126" s="126">
        <f>'E) Fact soc'!G132/C126</f>
        <v>19.54000030818554</v>
      </c>
      <c r="E126" s="154">
        <f>'H) Péréquation directe'!I137/C126</f>
        <v>4.4825591475722737</v>
      </c>
      <c r="F126" s="126">
        <f>'I) Dépenses thématiques'!P126</f>
        <v>-49.062361677790413</v>
      </c>
      <c r="G126" s="154">
        <f t="shared" si="5"/>
        <v>-25.039802222032598</v>
      </c>
      <c r="H126" s="365">
        <f t="shared" si="6"/>
        <v>0</v>
      </c>
      <c r="I126" s="66">
        <f t="shared" si="7"/>
        <v>0</v>
      </c>
      <c r="J126" s="41">
        <f t="shared" si="8"/>
        <v>-25.039802222032598</v>
      </c>
    </row>
    <row r="127" spans="1:10" x14ac:dyDescent="0.25">
      <c r="A127" s="57">
        <f>'A) Base RI'!A129</f>
        <v>5609</v>
      </c>
      <c r="B127" s="350" t="str">
        <f>'A) Base RI'!B129</f>
        <v>Rivaz</v>
      </c>
      <c r="C127" s="109">
        <f>'B) D RI'!U129</f>
        <v>16888.91165354331</v>
      </c>
      <c r="D127" s="126">
        <f>'E) Fact soc'!G133/C127</f>
        <v>17.349873577289166</v>
      </c>
      <c r="E127" s="154">
        <f>'H) Péréquation directe'!I138/C127</f>
        <v>16.722593129150564</v>
      </c>
      <c r="F127" s="126">
        <f>'I) Dépenses thématiques'!P127</f>
        <v>-3.6113064200404787</v>
      </c>
      <c r="G127" s="154">
        <f t="shared" si="5"/>
        <v>30.461160286399249</v>
      </c>
      <c r="H127" s="365">
        <f t="shared" si="6"/>
        <v>0</v>
      </c>
      <c r="I127" s="66">
        <f t="shared" si="7"/>
        <v>0</v>
      </c>
      <c r="J127" s="41">
        <f t="shared" si="8"/>
        <v>30.461160286399249</v>
      </c>
    </row>
    <row r="128" spans="1:10" x14ac:dyDescent="0.25">
      <c r="A128" s="57">
        <f>'A) Base RI'!A130</f>
        <v>5610</v>
      </c>
      <c r="B128" s="350" t="str">
        <f>'A) Base RI'!B130</f>
        <v>St-Saphorin (Lavaux)</v>
      </c>
      <c r="C128" s="109">
        <f>'B) D RI'!U130</f>
        <v>20007.714179104478</v>
      </c>
      <c r="D128" s="126">
        <f>'E) Fact soc'!G134/C128</f>
        <v>18.750788450460398</v>
      </c>
      <c r="E128" s="154">
        <f>'H) Péréquation directe'!I139/C128</f>
        <v>16.845418683504107</v>
      </c>
      <c r="F128" s="126">
        <f>'I) Dépenses thématiques'!P128</f>
        <v>-0.70771637728040704</v>
      </c>
      <c r="G128" s="154">
        <f t="shared" si="5"/>
        <v>34.888490756684099</v>
      </c>
      <c r="H128" s="365">
        <f t="shared" si="6"/>
        <v>0</v>
      </c>
      <c r="I128" s="66">
        <f t="shared" si="7"/>
        <v>0</v>
      </c>
      <c r="J128" s="41">
        <f t="shared" si="8"/>
        <v>34.888490756684099</v>
      </c>
    </row>
    <row r="129" spans="1:10" x14ac:dyDescent="0.25">
      <c r="A129" s="57">
        <f>'A) Base RI'!A131</f>
        <v>5611</v>
      </c>
      <c r="B129" s="350" t="str">
        <f>'A) Base RI'!B131</f>
        <v>Savigny</v>
      </c>
      <c r="C129" s="109">
        <f>'B) D RI'!U131</f>
        <v>115537.42516908211</v>
      </c>
      <c r="D129" s="126">
        <f>'E) Fact soc'!G135/C129</f>
        <v>17.677336597002959</v>
      </c>
      <c r="E129" s="154">
        <f>'H) Péréquation directe'!I140/C129</f>
        <v>5.3960015973878424</v>
      </c>
      <c r="F129" s="126">
        <f>'I) Dépenses thématiques'!P129</f>
        <v>-1.5075168554957599</v>
      </c>
      <c r="G129" s="154">
        <f t="shared" si="5"/>
        <v>21.565821338895041</v>
      </c>
      <c r="H129" s="365">
        <f t="shared" si="6"/>
        <v>0</v>
      </c>
      <c r="I129" s="66">
        <f t="shared" si="7"/>
        <v>0</v>
      </c>
      <c r="J129" s="41">
        <f t="shared" si="8"/>
        <v>21.565821338895041</v>
      </c>
    </row>
    <row r="130" spans="1:10" x14ac:dyDescent="0.25">
      <c r="A130" s="57">
        <f>'A) Base RI'!A132</f>
        <v>5613</v>
      </c>
      <c r="B130" s="350" t="str">
        <f>'A) Base RI'!B132</f>
        <v>Bourg-en-Lavaux</v>
      </c>
      <c r="C130" s="109">
        <f>'B) D RI'!U132</f>
        <v>301872.13311475411</v>
      </c>
      <c r="D130" s="126">
        <f>'E) Fact soc'!G136/C130</f>
        <v>18.564224553740225</v>
      </c>
      <c r="E130" s="154">
        <f>'H) Péréquation directe'!I141/C130</f>
        <v>12.283564818356075</v>
      </c>
      <c r="F130" s="126">
        <f>'I) Dépenses thématiques'!P130</f>
        <v>-10.126168679994882</v>
      </c>
      <c r="G130" s="154">
        <f t="shared" si="5"/>
        <v>20.721620692101418</v>
      </c>
      <c r="H130" s="365">
        <f t="shared" si="6"/>
        <v>0</v>
      </c>
      <c r="I130" s="66">
        <f t="shared" si="7"/>
        <v>0</v>
      </c>
      <c r="J130" s="41">
        <f t="shared" si="8"/>
        <v>20.721620692101418</v>
      </c>
    </row>
    <row r="131" spans="1:10" x14ac:dyDescent="0.25">
      <c r="A131" s="57">
        <f>'A) Base RI'!A133</f>
        <v>5621</v>
      </c>
      <c r="B131" s="350" t="str">
        <f>'A) Base RI'!B133</f>
        <v>Aclens</v>
      </c>
      <c r="C131" s="109">
        <f>'B) D RI'!U133</f>
        <v>26820.105850439882</v>
      </c>
      <c r="D131" s="126">
        <f>'E) Fact soc'!G137/C131</f>
        <v>18.299598406507034</v>
      </c>
      <c r="E131" s="154">
        <f>'H) Péréquation directe'!I142/C131</f>
        <v>16.891421734866398</v>
      </c>
      <c r="F131" s="126">
        <f>'I) Dépenses thématiques'!P131</f>
        <v>-0.96862418315808463</v>
      </c>
      <c r="G131" s="154">
        <f t="shared" si="5"/>
        <v>34.222395958215344</v>
      </c>
      <c r="H131" s="365">
        <f t="shared" si="6"/>
        <v>0</v>
      </c>
      <c r="I131" s="66">
        <f t="shared" si="7"/>
        <v>0</v>
      </c>
      <c r="J131" s="41">
        <f t="shared" si="8"/>
        <v>34.222395958215344</v>
      </c>
    </row>
    <row r="132" spans="1:10" x14ac:dyDescent="0.25">
      <c r="A132" s="57">
        <f>'A) Base RI'!A134</f>
        <v>5622</v>
      </c>
      <c r="B132" s="350" t="str">
        <f>'A) Base RI'!B134</f>
        <v>Bremblens</v>
      </c>
      <c r="C132" s="109">
        <f>'B) D RI'!U134</f>
        <v>32681.756515151512</v>
      </c>
      <c r="D132" s="126">
        <f>'E) Fact soc'!G138/C132</f>
        <v>22.245269666154179</v>
      </c>
      <c r="E132" s="154">
        <f>'H) Péréquation directe'!I143/C132</f>
        <v>16.85353196279334</v>
      </c>
      <c r="F132" s="126">
        <f>'I) Dépenses thématiques'!P132</f>
        <v>0</v>
      </c>
      <c r="G132" s="154">
        <f t="shared" si="5"/>
        <v>39.09880162894752</v>
      </c>
      <c r="H132" s="365">
        <f t="shared" si="6"/>
        <v>0</v>
      </c>
      <c r="I132" s="66">
        <f t="shared" si="7"/>
        <v>0</v>
      </c>
      <c r="J132" s="41">
        <f t="shared" si="8"/>
        <v>39.09880162894752</v>
      </c>
    </row>
    <row r="133" spans="1:10" x14ac:dyDescent="0.25">
      <c r="A133" s="57">
        <f>'A) Base RI'!A135</f>
        <v>5623</v>
      </c>
      <c r="B133" s="350" t="str">
        <f>'A) Base RI'!B135</f>
        <v>Buchillon</v>
      </c>
      <c r="C133" s="109">
        <f>'B) D RI'!U135</f>
        <v>82402.410188679249</v>
      </c>
      <c r="D133" s="126">
        <f>'E) Fact soc'!G139/C133</f>
        <v>40.073041658897061</v>
      </c>
      <c r="E133" s="154">
        <f>'H) Péréquation directe'!I144/C133</f>
        <v>15.344579669324833</v>
      </c>
      <c r="F133" s="126">
        <f>'I) Dépenses thématiques'!P133</f>
        <v>0</v>
      </c>
      <c r="G133" s="154">
        <f t="shared" si="5"/>
        <v>55.417621328221898</v>
      </c>
      <c r="H133" s="365">
        <f t="shared" si="6"/>
        <v>-10.417621328221898</v>
      </c>
      <c r="I133" s="66">
        <f t="shared" si="7"/>
        <v>-858437.10587847442</v>
      </c>
      <c r="J133" s="41">
        <f t="shared" si="8"/>
        <v>45</v>
      </c>
    </row>
    <row r="134" spans="1:10" x14ac:dyDescent="0.25">
      <c r="A134" s="57">
        <f>'A) Base RI'!A136</f>
        <v>5624</v>
      </c>
      <c r="B134" s="350" t="str">
        <f>'A) Base RI'!B136</f>
        <v>Bussigny</v>
      </c>
      <c r="C134" s="109">
        <f>'B) D RI'!U136</f>
        <v>334130.13322580641</v>
      </c>
      <c r="D134" s="126">
        <f>'E) Fact soc'!G140/C134</f>
        <v>18.193325613805882</v>
      </c>
      <c r="E134" s="154">
        <f>'H) Péréquation directe'!I145/C134</f>
        <v>6.0094524324570964</v>
      </c>
      <c r="F134" s="126">
        <f>'I) Dépenses thématiques'!P134</f>
        <v>-68.654274355800752</v>
      </c>
      <c r="G134" s="154">
        <f t="shared" ref="G134:G197" si="9">SUM(D134:F134)</f>
        <v>-44.451496309537774</v>
      </c>
      <c r="H134" s="365">
        <f t="shared" ref="H134:H197" si="10">IF(G134&gt;H$4,H$4-G134,0)</f>
        <v>0</v>
      </c>
      <c r="I134" s="66">
        <f t="shared" ref="I134:I197" si="11">H134*C134</f>
        <v>0</v>
      </c>
      <c r="J134" s="41">
        <f t="shared" ref="J134:J197" si="12">G134+H134</f>
        <v>-44.451496309537774</v>
      </c>
    </row>
    <row r="135" spans="1:10" x14ac:dyDescent="0.25">
      <c r="A135" s="57">
        <f>'A) Base RI'!A137</f>
        <v>5625</v>
      </c>
      <c r="B135" s="350" t="str">
        <f>'A) Base RI'!B137</f>
        <v>Bussy-Chardonney</v>
      </c>
      <c r="C135" s="109">
        <f>'B) D RI'!U137</f>
        <v>13745.926324786325</v>
      </c>
      <c r="D135" s="126">
        <f>'E) Fact soc'!G141/C135</f>
        <v>19.259041736122345</v>
      </c>
      <c r="E135" s="154">
        <f>'H) Péréquation directe'!I146/C135</f>
        <v>10.91134054960129</v>
      </c>
      <c r="F135" s="126">
        <f>'I) Dépenses thématiques'!P135</f>
        <v>-0.27412472350769646</v>
      </c>
      <c r="G135" s="154">
        <f t="shared" si="9"/>
        <v>29.896257562215936</v>
      </c>
      <c r="H135" s="365">
        <f t="shared" si="10"/>
        <v>0</v>
      </c>
      <c r="I135" s="66">
        <f t="shared" si="11"/>
        <v>0</v>
      </c>
      <c r="J135" s="41">
        <f t="shared" si="12"/>
        <v>29.896257562215936</v>
      </c>
    </row>
    <row r="136" spans="1:10" x14ac:dyDescent="0.25">
      <c r="A136" s="57">
        <f>'A) Base RI'!A138</f>
        <v>5627</v>
      </c>
      <c r="B136" s="350" t="str">
        <f>'A) Base RI'!B138</f>
        <v>Chavannes-près-Renens</v>
      </c>
      <c r="C136" s="109">
        <f>'B) D RI'!U138</f>
        <v>171770.86046413501</v>
      </c>
      <c r="D136" s="126">
        <f>'E) Fact soc'!G142/C136</f>
        <v>17.441170311737544</v>
      </c>
      <c r="E136" s="154">
        <f>'H) Péréquation directe'!I147/C136</f>
        <v>-24.914401183876354</v>
      </c>
      <c r="F136" s="126">
        <f>'I) Dépenses thématiques'!P136</f>
        <v>-68.251709560632406</v>
      </c>
      <c r="G136" s="154">
        <f t="shared" si="9"/>
        <v>-75.72494043277122</v>
      </c>
      <c r="H136" s="365">
        <f t="shared" si="10"/>
        <v>0</v>
      </c>
      <c r="I136" s="66">
        <f t="shared" si="11"/>
        <v>0</v>
      </c>
      <c r="J136" s="41">
        <f t="shared" si="12"/>
        <v>-75.72494043277122</v>
      </c>
    </row>
    <row r="137" spans="1:10" x14ac:dyDescent="0.25">
      <c r="A137" s="57">
        <f>'A) Base RI'!A139</f>
        <v>5628</v>
      </c>
      <c r="B137" s="350" t="str">
        <f>'A) Base RI'!B139</f>
        <v>Chigny</v>
      </c>
      <c r="C137" s="109">
        <f>'B) D RI'!U139</f>
        <v>19361.666733870967</v>
      </c>
      <c r="D137" s="126">
        <f>'E) Fact soc'!G143/C137</f>
        <v>17.503966686350928</v>
      </c>
      <c r="E137" s="154">
        <f>'H) Péréquation directe'!I148/C137</f>
        <v>17.028299770560235</v>
      </c>
      <c r="F137" s="126">
        <f>'I) Dépenses thématiques'!P137</f>
        <v>0</v>
      </c>
      <c r="G137" s="154">
        <f t="shared" si="9"/>
        <v>34.532266456911159</v>
      </c>
      <c r="H137" s="365">
        <f t="shared" si="10"/>
        <v>0</v>
      </c>
      <c r="I137" s="66">
        <f t="shared" si="11"/>
        <v>0</v>
      </c>
      <c r="J137" s="41">
        <f t="shared" si="12"/>
        <v>34.532266456911159</v>
      </c>
    </row>
    <row r="138" spans="1:10" x14ac:dyDescent="0.25">
      <c r="A138" s="57">
        <f>'A) Base RI'!A140</f>
        <v>5629</v>
      </c>
      <c r="B138" s="350" t="str">
        <f>'A) Base RI'!B140</f>
        <v>Clarmont</v>
      </c>
      <c r="C138" s="109">
        <f>'B) D RI'!U140</f>
        <v>7536.1791999999996</v>
      </c>
      <c r="D138" s="126">
        <f>'E) Fact soc'!G144/C138</f>
        <v>20.567420076570397</v>
      </c>
      <c r="E138" s="154">
        <f>'H) Péréquation directe'!I149/C138</f>
        <v>15.346769614899594</v>
      </c>
      <c r="F138" s="126">
        <f>'I) Dépenses thématiques'!P138</f>
        <v>-1.4573228402110618</v>
      </c>
      <c r="G138" s="154">
        <f t="shared" si="9"/>
        <v>34.45686685125893</v>
      </c>
      <c r="H138" s="365">
        <f t="shared" si="10"/>
        <v>0</v>
      </c>
      <c r="I138" s="66">
        <f t="shared" si="11"/>
        <v>0</v>
      </c>
      <c r="J138" s="41">
        <f t="shared" si="12"/>
        <v>34.45686685125893</v>
      </c>
    </row>
    <row r="139" spans="1:10" x14ac:dyDescent="0.25">
      <c r="A139" s="57">
        <f>'A) Base RI'!A141</f>
        <v>5631</v>
      </c>
      <c r="B139" s="350" t="str">
        <f>'A) Base RI'!B141</f>
        <v>Denens</v>
      </c>
      <c r="C139" s="109">
        <f>'B) D RI'!U141</f>
        <v>42221.936176470583</v>
      </c>
      <c r="D139" s="126">
        <f>'E) Fact soc'!G145/C139</f>
        <v>22.295375183266362</v>
      </c>
      <c r="E139" s="154">
        <f>'H) Péréquation directe'!I150/C139</f>
        <v>17.010958436461625</v>
      </c>
      <c r="F139" s="126">
        <f>'I) Dépenses thématiques'!P139</f>
        <v>0</v>
      </c>
      <c r="G139" s="154">
        <f t="shared" si="9"/>
        <v>39.306333619727987</v>
      </c>
      <c r="H139" s="365">
        <f t="shared" si="10"/>
        <v>0</v>
      </c>
      <c r="I139" s="66">
        <f t="shared" si="11"/>
        <v>0</v>
      </c>
      <c r="J139" s="41">
        <f t="shared" si="12"/>
        <v>39.306333619727987</v>
      </c>
    </row>
    <row r="140" spans="1:10" x14ac:dyDescent="0.25">
      <c r="A140" s="57">
        <f>'A) Base RI'!A142</f>
        <v>5632</v>
      </c>
      <c r="B140" s="350" t="str">
        <f>'A) Base RI'!B142</f>
        <v>Denges</v>
      </c>
      <c r="C140" s="109">
        <f>'B) D RI'!U142</f>
        <v>67310.066612903232</v>
      </c>
      <c r="D140" s="126">
        <f>'E) Fact soc'!G146/C140</f>
        <v>17.909701632542337</v>
      </c>
      <c r="E140" s="154">
        <f>'H) Péréquation directe'!I151/C140</f>
        <v>12.713909612652827</v>
      </c>
      <c r="F140" s="126">
        <f>'I) Dépenses thématiques'!P140</f>
        <v>0</v>
      </c>
      <c r="G140" s="154">
        <f t="shared" si="9"/>
        <v>30.623611245195164</v>
      </c>
      <c r="H140" s="365">
        <f t="shared" si="10"/>
        <v>0</v>
      </c>
      <c r="I140" s="66">
        <f t="shared" si="11"/>
        <v>0</v>
      </c>
      <c r="J140" s="41">
        <f t="shared" si="12"/>
        <v>30.623611245195164</v>
      </c>
    </row>
    <row r="141" spans="1:10" x14ac:dyDescent="0.25">
      <c r="A141" s="57">
        <f>'A) Base RI'!A143</f>
        <v>5633</v>
      </c>
      <c r="B141" s="350" t="str">
        <f>'A) Base RI'!B143</f>
        <v>Echandens</v>
      </c>
      <c r="C141" s="109">
        <f>'B) D RI'!U143</f>
        <v>139554.44612903227</v>
      </c>
      <c r="D141" s="126">
        <f>'E) Fact soc'!G147/C141</f>
        <v>17.268344150606676</v>
      </c>
      <c r="E141" s="154">
        <f>'H) Péréquation directe'!I152/C141</f>
        <v>13.819989273369544</v>
      </c>
      <c r="F141" s="126">
        <f>'I) Dépenses thématiques'!P141</f>
        <v>-1.7768264950934021</v>
      </c>
      <c r="G141" s="154">
        <f t="shared" si="9"/>
        <v>29.311506928882817</v>
      </c>
      <c r="H141" s="365">
        <f t="shared" si="10"/>
        <v>0</v>
      </c>
      <c r="I141" s="66">
        <f t="shared" si="11"/>
        <v>0</v>
      </c>
      <c r="J141" s="41">
        <f t="shared" si="12"/>
        <v>29.311506928882817</v>
      </c>
    </row>
    <row r="142" spans="1:10" x14ac:dyDescent="0.25">
      <c r="A142" s="57">
        <f>'A) Base RI'!A144</f>
        <v>5634</v>
      </c>
      <c r="B142" s="350" t="str">
        <f>'A) Base RI'!B144</f>
        <v>Echichens</v>
      </c>
      <c r="C142" s="109">
        <f>'B) D RI'!U144</f>
        <v>125699.21529411766</v>
      </c>
      <c r="D142" s="126">
        <f>'E) Fact soc'!G148/C142</f>
        <v>19.181619010143955</v>
      </c>
      <c r="E142" s="154">
        <f>'H) Péréquation directe'!I153/C142</f>
        <v>13.522894056055485</v>
      </c>
      <c r="F142" s="126">
        <f>'I) Dépenses thématiques'!P142</f>
        <v>0</v>
      </c>
      <c r="G142" s="154">
        <f t="shared" si="9"/>
        <v>32.704513066199439</v>
      </c>
      <c r="H142" s="365">
        <f t="shared" si="10"/>
        <v>0</v>
      </c>
      <c r="I142" s="66">
        <f t="shared" si="11"/>
        <v>0</v>
      </c>
      <c r="J142" s="41">
        <f t="shared" si="12"/>
        <v>32.704513066199439</v>
      </c>
    </row>
    <row r="143" spans="1:10" x14ac:dyDescent="0.25">
      <c r="A143" s="57">
        <f>'A) Base RI'!A145</f>
        <v>5635</v>
      </c>
      <c r="B143" s="350" t="str">
        <f>'A) Base RI'!B145</f>
        <v>Ecublens</v>
      </c>
      <c r="C143" s="109">
        <f>'B) D RI'!U145</f>
        <v>424543.31159592536</v>
      </c>
      <c r="D143" s="126">
        <f>'E) Fact soc'!G149/C143</f>
        <v>18.602274820856319</v>
      </c>
      <c r="E143" s="154">
        <f>'H) Péréquation directe'!I154/C143</f>
        <v>-2.5181157174339082</v>
      </c>
      <c r="F143" s="126">
        <f>'I) Dépenses thématiques'!P143</f>
        <v>-18.847228894050136</v>
      </c>
      <c r="G143" s="154">
        <f t="shared" si="9"/>
        <v>-2.7630697906277248</v>
      </c>
      <c r="H143" s="365">
        <f t="shared" si="10"/>
        <v>0</v>
      </c>
      <c r="I143" s="66">
        <f t="shared" si="11"/>
        <v>0</v>
      </c>
      <c r="J143" s="41">
        <f t="shared" si="12"/>
        <v>-2.7630697906277248</v>
      </c>
    </row>
    <row r="144" spans="1:10" x14ac:dyDescent="0.25">
      <c r="A144" s="57">
        <f>'A) Base RI'!A146</f>
        <v>5636</v>
      </c>
      <c r="B144" s="350" t="str">
        <f>'A) Base RI'!B146</f>
        <v>Etoy</v>
      </c>
      <c r="C144" s="109">
        <f>'B) D RI'!U146</f>
        <v>150854.83475409835</v>
      </c>
      <c r="D144" s="126">
        <f>'E) Fact soc'!G150/C144</f>
        <v>32.734471561657791</v>
      </c>
      <c r="E144" s="154">
        <f>'H) Péréquation directe'!I155/C144</f>
        <v>13.793233087732025</v>
      </c>
      <c r="F144" s="126">
        <f>'I) Dépenses thématiques'!P144</f>
        <v>0</v>
      </c>
      <c r="G144" s="154">
        <f t="shared" si="9"/>
        <v>46.527704649389818</v>
      </c>
      <c r="H144" s="365">
        <f t="shared" si="10"/>
        <v>-1.5277046493898183</v>
      </c>
      <c r="I144" s="66">
        <f t="shared" si="11"/>
        <v>-230461.63243676879</v>
      </c>
      <c r="J144" s="41">
        <f t="shared" si="12"/>
        <v>45</v>
      </c>
    </row>
    <row r="145" spans="1:10" x14ac:dyDescent="0.25">
      <c r="A145" s="57">
        <f>'A) Base RI'!A147</f>
        <v>5637</v>
      </c>
      <c r="B145" s="350" t="str">
        <f>'A) Base RI'!B147</f>
        <v>Lavigny</v>
      </c>
      <c r="C145" s="109">
        <f>'B) D RI'!U147</f>
        <v>35788.809619686814</v>
      </c>
      <c r="D145" s="126">
        <f>'E) Fact soc'!G151/C145</f>
        <v>18.992298984498934</v>
      </c>
      <c r="E145" s="154">
        <f>'H) Péréquation directe'!I156/C145</f>
        <v>9.9371324081592203</v>
      </c>
      <c r="F145" s="126">
        <f>'I) Dépenses thématiques'!P145</f>
        <v>-0.41496025470902448</v>
      </c>
      <c r="G145" s="154">
        <f t="shared" si="9"/>
        <v>28.514471137949126</v>
      </c>
      <c r="H145" s="365">
        <f t="shared" si="10"/>
        <v>0</v>
      </c>
      <c r="I145" s="66">
        <f t="shared" si="11"/>
        <v>0</v>
      </c>
      <c r="J145" s="41">
        <f t="shared" si="12"/>
        <v>28.514471137949126</v>
      </c>
    </row>
    <row r="146" spans="1:10" x14ac:dyDescent="0.25">
      <c r="A146" s="57">
        <f>'A) Base RI'!A148</f>
        <v>5638</v>
      </c>
      <c r="B146" s="350" t="str">
        <f>'A) Base RI'!B148</f>
        <v>Lonay</v>
      </c>
      <c r="C146" s="109">
        <f>'B) D RI'!U148</f>
        <v>150874.30218181817</v>
      </c>
      <c r="D146" s="126">
        <f>'E) Fact soc'!G152/C146</f>
        <v>25.454859492949293</v>
      </c>
      <c r="E146" s="154">
        <f>'H) Péréquation directe'!I157/C146</f>
        <v>14.442933583178755</v>
      </c>
      <c r="F146" s="126">
        <f>'I) Dépenses thématiques'!P146</f>
        <v>-8.1687422199622208</v>
      </c>
      <c r="G146" s="154">
        <f t="shared" si="9"/>
        <v>31.729050856165827</v>
      </c>
      <c r="H146" s="365">
        <f t="shared" si="10"/>
        <v>0</v>
      </c>
      <c r="I146" s="66">
        <f t="shared" si="11"/>
        <v>0</v>
      </c>
      <c r="J146" s="41">
        <f t="shared" si="12"/>
        <v>31.729050856165827</v>
      </c>
    </row>
    <row r="147" spans="1:10" x14ac:dyDescent="0.25">
      <c r="A147" s="57">
        <f>'A) Base RI'!A149</f>
        <v>5639</v>
      </c>
      <c r="B147" s="350" t="str">
        <f>'A) Base RI'!B149</f>
        <v>Lully</v>
      </c>
      <c r="C147" s="109">
        <f>'B) D RI'!U149</f>
        <v>41723.705573770494</v>
      </c>
      <c r="D147" s="126">
        <f>'E) Fact soc'!G153/C147</f>
        <v>16.888797583577073</v>
      </c>
      <c r="E147" s="154">
        <f>'H) Péréquation directe'!I158/C147</f>
        <v>16.951708537609367</v>
      </c>
      <c r="F147" s="126">
        <f>'I) Dépenses thématiques'!P147</f>
        <v>0</v>
      </c>
      <c r="G147" s="154">
        <f t="shared" si="9"/>
        <v>33.840506121186436</v>
      </c>
      <c r="H147" s="365">
        <f t="shared" si="10"/>
        <v>0</v>
      </c>
      <c r="I147" s="66">
        <f t="shared" si="11"/>
        <v>0</v>
      </c>
      <c r="J147" s="41">
        <f t="shared" si="12"/>
        <v>33.840506121186436</v>
      </c>
    </row>
    <row r="148" spans="1:10" x14ac:dyDescent="0.25">
      <c r="A148" s="57">
        <f>'A) Base RI'!A150</f>
        <v>5640</v>
      </c>
      <c r="B148" s="350" t="str">
        <f>'A) Base RI'!B150</f>
        <v>Lussy-sur-Morges</v>
      </c>
      <c r="C148" s="109">
        <f>'B) D RI'!U150</f>
        <v>54175.567575757566</v>
      </c>
      <c r="D148" s="126">
        <f>'E) Fact soc'!G154/C148</f>
        <v>26.730975414117978</v>
      </c>
      <c r="E148" s="154">
        <f>'H) Péréquation directe'!I159/C148</f>
        <v>16.340654896867715</v>
      </c>
      <c r="F148" s="126">
        <f>'I) Dépenses thématiques'!P148</f>
        <v>0</v>
      </c>
      <c r="G148" s="154">
        <f t="shared" si="9"/>
        <v>43.071630310985697</v>
      </c>
      <c r="H148" s="365">
        <f t="shared" si="10"/>
        <v>0</v>
      </c>
      <c r="I148" s="66">
        <f t="shared" si="11"/>
        <v>0</v>
      </c>
      <c r="J148" s="41">
        <f t="shared" si="12"/>
        <v>43.071630310985697</v>
      </c>
    </row>
    <row r="149" spans="1:10" x14ac:dyDescent="0.25">
      <c r="A149" s="57">
        <f>'A) Base RI'!A151</f>
        <v>5642</v>
      </c>
      <c r="B149" s="350" t="str">
        <f>'A) Base RI'!B151</f>
        <v>Morges</v>
      </c>
      <c r="C149" s="109">
        <f>'B) D RI'!U151</f>
        <v>781778.61635036487</v>
      </c>
      <c r="D149" s="126">
        <f>'E) Fact soc'!G155/C149</f>
        <v>18.30888586654326</v>
      </c>
      <c r="E149" s="154">
        <f>'H) Péréquation directe'!I160/C149</f>
        <v>5.4262295967205016</v>
      </c>
      <c r="F149" s="126">
        <f>'I) Dépenses thématiques'!P149</f>
        <v>-0.98108527995385508</v>
      </c>
      <c r="G149" s="154">
        <f t="shared" si="9"/>
        <v>22.754030183309904</v>
      </c>
      <c r="H149" s="365">
        <f t="shared" si="10"/>
        <v>0</v>
      </c>
      <c r="I149" s="66">
        <f t="shared" si="11"/>
        <v>0</v>
      </c>
      <c r="J149" s="41">
        <f t="shared" si="12"/>
        <v>22.754030183309904</v>
      </c>
    </row>
    <row r="150" spans="1:10" x14ac:dyDescent="0.25">
      <c r="A150" s="57">
        <f>'A) Base RI'!A152</f>
        <v>5643</v>
      </c>
      <c r="B150" s="350" t="str">
        <f>'A) Base RI'!B152</f>
        <v>Préverenges</v>
      </c>
      <c r="C150" s="109">
        <f>'B) D RI'!U152</f>
        <v>262779.91921874997</v>
      </c>
      <c r="D150" s="126">
        <f>'E) Fact soc'!G156/C150</f>
        <v>17.203668144660504</v>
      </c>
      <c r="E150" s="154">
        <f>'H) Péréquation directe'!I161/C150</f>
        <v>11.431962891331953</v>
      </c>
      <c r="F150" s="126">
        <f>'I) Dépenses thématiques'!P150</f>
        <v>0</v>
      </c>
      <c r="G150" s="154">
        <f t="shared" si="9"/>
        <v>28.635631035992457</v>
      </c>
      <c r="H150" s="365">
        <f t="shared" si="10"/>
        <v>0</v>
      </c>
      <c r="I150" s="66">
        <f t="shared" si="11"/>
        <v>0</v>
      </c>
      <c r="J150" s="41">
        <f t="shared" si="12"/>
        <v>28.635631035992457</v>
      </c>
    </row>
    <row r="151" spans="1:10" x14ac:dyDescent="0.25">
      <c r="A151" s="57">
        <f>'A) Base RI'!A153</f>
        <v>5644</v>
      </c>
      <c r="B151" s="350" t="str">
        <f>'A) Base RI'!B153</f>
        <v>Reverolle</v>
      </c>
      <c r="C151" s="109">
        <f>'B) D RI'!U153</f>
        <v>14128.860263157892</v>
      </c>
      <c r="D151" s="126">
        <f>'E) Fact soc'!G157/C151</f>
        <v>17.352694551901241</v>
      </c>
      <c r="E151" s="154">
        <f>'H) Péréquation directe'!I162/C151</f>
        <v>12.088936931917216</v>
      </c>
      <c r="F151" s="126">
        <f>'I) Dépenses thématiques'!P151</f>
        <v>-1.8135113733400312</v>
      </c>
      <c r="G151" s="154">
        <f t="shared" si="9"/>
        <v>27.628120110478424</v>
      </c>
      <c r="H151" s="365">
        <f t="shared" si="10"/>
        <v>0</v>
      </c>
      <c r="I151" s="66">
        <f t="shared" si="11"/>
        <v>0</v>
      </c>
      <c r="J151" s="41">
        <f t="shared" si="12"/>
        <v>27.628120110478424</v>
      </c>
    </row>
    <row r="152" spans="1:10" x14ac:dyDescent="0.25">
      <c r="A152" s="57">
        <f>'A) Base RI'!A154</f>
        <v>5645</v>
      </c>
      <c r="B152" s="350" t="str">
        <f>'A) Base RI'!B154</f>
        <v>Romanel-sur-Morges</v>
      </c>
      <c r="C152" s="109">
        <f>'B) D RI'!U154</f>
        <v>26355.884598214288</v>
      </c>
      <c r="D152" s="126">
        <f>'E) Fact soc'!G158/C152</f>
        <v>17.80254614010472</v>
      </c>
      <c r="E152" s="154">
        <f>'H) Péréquation directe'!I163/C152</f>
        <v>17.022282298248133</v>
      </c>
      <c r="F152" s="126">
        <f>'I) Dépenses thématiques'!P152</f>
        <v>0</v>
      </c>
      <c r="G152" s="154">
        <f t="shared" si="9"/>
        <v>34.824828438352853</v>
      </c>
      <c r="H152" s="365">
        <f t="shared" si="10"/>
        <v>0</v>
      </c>
      <c r="I152" s="66">
        <f t="shared" si="11"/>
        <v>0</v>
      </c>
      <c r="J152" s="41">
        <f t="shared" si="12"/>
        <v>34.824828438352853</v>
      </c>
    </row>
    <row r="153" spans="1:10" x14ac:dyDescent="0.25">
      <c r="A153" s="57">
        <f>'A) Base RI'!A155</f>
        <v>5646</v>
      </c>
      <c r="B153" s="350" t="str">
        <f>'A) Base RI'!B155</f>
        <v>Saint-Prex</v>
      </c>
      <c r="C153" s="109">
        <f>'B) D RI'!U155</f>
        <v>529776.58672727272</v>
      </c>
      <c r="D153" s="126">
        <f>'E) Fact soc'!G159/C153</f>
        <v>24.874146898484504</v>
      </c>
      <c r="E153" s="154">
        <f>'H) Péréquation directe'!I164/C153</f>
        <v>13.114439568104613</v>
      </c>
      <c r="F153" s="126">
        <f>'I) Dépenses thématiques'!P153</f>
        <v>0</v>
      </c>
      <c r="G153" s="154">
        <f t="shared" si="9"/>
        <v>37.988586466589119</v>
      </c>
      <c r="H153" s="365">
        <f t="shared" si="10"/>
        <v>0</v>
      </c>
      <c r="I153" s="66">
        <f t="shared" si="11"/>
        <v>0</v>
      </c>
      <c r="J153" s="41">
        <f t="shared" si="12"/>
        <v>37.988586466589119</v>
      </c>
    </row>
    <row r="154" spans="1:10" x14ac:dyDescent="0.25">
      <c r="A154" s="57">
        <f>'A) Base RI'!A156</f>
        <v>5648</v>
      </c>
      <c r="B154" s="350" t="str">
        <f>'A) Base RI'!B156</f>
        <v>Saint-Sulpice</v>
      </c>
      <c r="C154" s="109">
        <f>'B) D RI'!U156</f>
        <v>320539.61704545456</v>
      </c>
      <c r="D154" s="126">
        <f>'E) Fact soc'!G160/C154</f>
        <v>24.673945341875179</v>
      </c>
      <c r="E154" s="154">
        <f>'H) Péréquation directe'!I165/C154</f>
        <v>13.555133549666916</v>
      </c>
      <c r="F154" s="126">
        <f>'I) Dépenses thématiques'!P154</f>
        <v>0</v>
      </c>
      <c r="G154" s="154">
        <f t="shared" si="9"/>
        <v>38.229078891542095</v>
      </c>
      <c r="H154" s="365">
        <f t="shared" si="10"/>
        <v>0</v>
      </c>
      <c r="I154" s="66">
        <f t="shared" si="11"/>
        <v>0</v>
      </c>
      <c r="J154" s="41">
        <f t="shared" si="12"/>
        <v>38.229078891542095</v>
      </c>
    </row>
    <row r="155" spans="1:10" x14ac:dyDescent="0.25">
      <c r="A155" s="57">
        <f>'A) Base RI'!A157</f>
        <v>5649</v>
      </c>
      <c r="B155" s="350" t="str">
        <f>'A) Base RI'!B157</f>
        <v>Tolochenaz</v>
      </c>
      <c r="C155" s="109">
        <f>'B) D RI'!U157</f>
        <v>78727.730769230766</v>
      </c>
      <c r="D155" s="126">
        <f>'E) Fact soc'!G161/C155</f>
        <v>20.829322034020468</v>
      </c>
      <c r="E155" s="154">
        <f>'H) Péréquation directe'!I166/C155</f>
        <v>12.526614943010175</v>
      </c>
      <c r="F155" s="126">
        <f>'I) Dépenses thématiques'!P155</f>
        <v>-0.6089502401977035</v>
      </c>
      <c r="G155" s="154">
        <f t="shared" si="9"/>
        <v>32.746986736832945</v>
      </c>
      <c r="H155" s="365">
        <f t="shared" si="10"/>
        <v>0</v>
      </c>
      <c r="I155" s="66">
        <f t="shared" si="11"/>
        <v>0</v>
      </c>
      <c r="J155" s="41">
        <f t="shared" si="12"/>
        <v>32.746986736832945</v>
      </c>
    </row>
    <row r="156" spans="1:10" x14ac:dyDescent="0.25">
      <c r="A156" s="57">
        <f>'A) Base RI'!A158</f>
        <v>5650</v>
      </c>
      <c r="B156" s="350" t="str">
        <f>'A) Base RI'!B158</f>
        <v>Vaux-sur-Morges</v>
      </c>
      <c r="C156" s="109">
        <f>'B) D RI'!U158</f>
        <v>167594.44571428568</v>
      </c>
      <c r="D156" s="126">
        <f>'E) Fact soc'!G162/C156</f>
        <v>44.180616642124285</v>
      </c>
      <c r="E156" s="154">
        <f>'H) Péréquation directe'!I167/C156</f>
        <v>13.048578744827878</v>
      </c>
      <c r="F156" s="126">
        <f>'I) Dépenses thématiques'!P156</f>
        <v>0</v>
      </c>
      <c r="G156" s="154">
        <f t="shared" si="9"/>
        <v>57.229195386952163</v>
      </c>
      <c r="H156" s="365">
        <f t="shared" si="10"/>
        <v>-12.229195386952163</v>
      </c>
      <c r="I156" s="66">
        <f t="shared" si="11"/>
        <v>-2049545.2224079473</v>
      </c>
      <c r="J156" s="41">
        <f t="shared" si="12"/>
        <v>45</v>
      </c>
    </row>
    <row r="157" spans="1:10" x14ac:dyDescent="0.25">
      <c r="A157" s="57">
        <f>'A) Base RI'!A159</f>
        <v>5651</v>
      </c>
      <c r="B157" s="350" t="str">
        <f>'A) Base RI'!B159</f>
        <v>Villars-Sainte-Croix</v>
      </c>
      <c r="C157" s="109">
        <f>'B) D RI'!U159</f>
        <v>39092.930338983046</v>
      </c>
      <c r="D157" s="126">
        <f>'E) Fact soc'!G163/C157</f>
        <v>20.877525942196758</v>
      </c>
      <c r="E157" s="154">
        <f>'H) Péréquation directe'!I168/C157</f>
        <v>16.685649718612012</v>
      </c>
      <c r="F157" s="126">
        <f>'I) Dépenses thématiques'!P157</f>
        <v>0</v>
      </c>
      <c r="G157" s="154">
        <f t="shared" si="9"/>
        <v>37.563175660808767</v>
      </c>
      <c r="H157" s="365">
        <f t="shared" si="10"/>
        <v>0</v>
      </c>
      <c r="I157" s="66">
        <f t="shared" si="11"/>
        <v>0</v>
      </c>
      <c r="J157" s="41">
        <f t="shared" si="12"/>
        <v>37.563175660808767</v>
      </c>
    </row>
    <row r="158" spans="1:10" x14ac:dyDescent="0.25">
      <c r="A158" s="57">
        <f>'A) Base RI'!A160</f>
        <v>5652</v>
      </c>
      <c r="B158" s="350" t="str">
        <f>'A) Base RI'!B160</f>
        <v>Villars-sous-Yens</v>
      </c>
      <c r="C158" s="109">
        <f>'B) D RI'!U160</f>
        <v>21921.455131578947</v>
      </c>
      <c r="D158" s="126">
        <f>'E) Fact soc'!G164/C158</f>
        <v>18.055936393287023</v>
      </c>
      <c r="E158" s="154">
        <f>'H) Péréquation directe'!I169/C158</f>
        <v>10.680303355659959</v>
      </c>
      <c r="F158" s="126">
        <f>'I) Dépenses thématiques'!P158</f>
        <v>-2.3050444713855187</v>
      </c>
      <c r="G158" s="154">
        <f t="shared" si="9"/>
        <v>26.431195277561464</v>
      </c>
      <c r="H158" s="365">
        <f t="shared" si="10"/>
        <v>0</v>
      </c>
      <c r="I158" s="66">
        <f t="shared" si="11"/>
        <v>0</v>
      </c>
      <c r="J158" s="41">
        <f t="shared" si="12"/>
        <v>26.431195277561464</v>
      </c>
    </row>
    <row r="159" spans="1:10" x14ac:dyDescent="0.25">
      <c r="A159" s="57">
        <f>'A) Base RI'!A161</f>
        <v>5653</v>
      </c>
      <c r="B159" s="350" t="str">
        <f>'A) Base RI'!B161</f>
        <v>Vufflens-le-Château</v>
      </c>
      <c r="C159" s="109">
        <f>'B) D RI'!U161</f>
        <v>61105.159227272721</v>
      </c>
      <c r="D159" s="126">
        <f>'E) Fact soc'!G165/C159</f>
        <v>20.923619600132607</v>
      </c>
      <c r="E159" s="154">
        <f>'H) Péréquation directe'!I170/C159</f>
        <v>16.634102134656981</v>
      </c>
      <c r="F159" s="126">
        <f>'I) Dépenses thématiques'!P159</f>
        <v>0</v>
      </c>
      <c r="G159" s="154">
        <f t="shared" si="9"/>
        <v>37.557721734789588</v>
      </c>
      <c r="H159" s="365">
        <f t="shared" si="10"/>
        <v>0</v>
      </c>
      <c r="I159" s="66">
        <f t="shared" si="11"/>
        <v>0</v>
      </c>
      <c r="J159" s="41">
        <f t="shared" si="12"/>
        <v>37.557721734789588</v>
      </c>
    </row>
    <row r="160" spans="1:10" x14ac:dyDescent="0.25">
      <c r="A160" s="57">
        <f>'A) Base RI'!A162</f>
        <v>5654</v>
      </c>
      <c r="B160" s="350" t="str">
        <f>'A) Base RI'!B162</f>
        <v>Vullierens</v>
      </c>
      <c r="C160" s="109">
        <f>'B) D RI'!U162</f>
        <v>17141.735000000001</v>
      </c>
      <c r="D160" s="126">
        <f>'E) Fact soc'!G166/C160</f>
        <v>17.952287230667576</v>
      </c>
      <c r="E160" s="154">
        <f>'H) Péréquation directe'!I171/C160</f>
        <v>11.1209570821194</v>
      </c>
      <c r="F160" s="126">
        <f>'I) Dépenses thématiques'!P160</f>
        <v>-5.936281843216527</v>
      </c>
      <c r="G160" s="154">
        <f t="shared" si="9"/>
        <v>23.136962469570449</v>
      </c>
      <c r="H160" s="365">
        <f t="shared" si="10"/>
        <v>0</v>
      </c>
      <c r="I160" s="66">
        <f t="shared" si="11"/>
        <v>0</v>
      </c>
      <c r="J160" s="41">
        <f t="shared" si="12"/>
        <v>23.136962469570449</v>
      </c>
    </row>
    <row r="161" spans="1:10" x14ac:dyDescent="0.25">
      <c r="A161" s="57">
        <f>'A) Base RI'!A163</f>
        <v>5655</v>
      </c>
      <c r="B161" s="350" t="str">
        <f>'A) Base RI'!B163</f>
        <v>Yens</v>
      </c>
      <c r="C161" s="109">
        <f>'B) D RI'!U163</f>
        <v>83580.564109589031</v>
      </c>
      <c r="D161" s="126">
        <f>'E) Fact soc'!G167/C161</f>
        <v>18.232895340954485</v>
      </c>
      <c r="E161" s="154">
        <f>'H) Péréquation directe'!I172/C161</f>
        <v>15.783526510320563</v>
      </c>
      <c r="F161" s="126">
        <f>'I) Dépenses thématiques'!P161</f>
        <v>0</v>
      </c>
      <c r="G161" s="154">
        <f t="shared" si="9"/>
        <v>34.016421851275048</v>
      </c>
      <c r="H161" s="365">
        <f t="shared" si="10"/>
        <v>0</v>
      </c>
      <c r="I161" s="66">
        <f t="shared" si="11"/>
        <v>0</v>
      </c>
      <c r="J161" s="41">
        <f t="shared" si="12"/>
        <v>34.016421851275048</v>
      </c>
    </row>
    <row r="162" spans="1:10" x14ac:dyDescent="0.25">
      <c r="A162" s="57">
        <f>'A) Base RI'!A164</f>
        <v>5661</v>
      </c>
      <c r="B162" s="350" t="str">
        <f>'A) Base RI'!B164</f>
        <v>Boulens</v>
      </c>
      <c r="C162" s="109">
        <f>'B) D RI'!U164</f>
        <v>9592.9711392405043</v>
      </c>
      <c r="D162" s="126">
        <f>'E) Fact soc'!G168/C162</f>
        <v>17.594297750551402</v>
      </c>
      <c r="E162" s="154">
        <f>'H) Péréquation directe'!I173/C162</f>
        <v>-3.3469283986844367</v>
      </c>
      <c r="F162" s="126">
        <f>'I) Dépenses thématiques'!P162</f>
        <v>-4.4968038671249895</v>
      </c>
      <c r="G162" s="154">
        <f t="shared" si="9"/>
        <v>9.7505654847419763</v>
      </c>
      <c r="H162" s="365">
        <f t="shared" si="10"/>
        <v>0</v>
      </c>
      <c r="I162" s="66">
        <f t="shared" si="11"/>
        <v>0</v>
      </c>
      <c r="J162" s="41">
        <f t="shared" si="12"/>
        <v>9.7505654847419763</v>
      </c>
    </row>
    <row r="163" spans="1:10" x14ac:dyDescent="0.25">
      <c r="A163" s="57">
        <f>'A) Base RI'!A165</f>
        <v>5663</v>
      </c>
      <c r="B163" s="350" t="str">
        <f>'A) Base RI'!B165</f>
        <v>Bussy-sur-Moudon</v>
      </c>
      <c r="C163" s="109">
        <f>'B) D RI'!U165</f>
        <v>5468.4132499999996</v>
      </c>
      <c r="D163" s="126">
        <f>'E) Fact soc'!G169/C163</f>
        <v>17.009987953551313</v>
      </c>
      <c r="E163" s="154">
        <f>'H) Péréquation directe'!I174/C163</f>
        <v>-3.4073648380888129</v>
      </c>
      <c r="F163" s="126">
        <f>'I) Dépenses thématiques'!P163</f>
        <v>-9.7612882376915895</v>
      </c>
      <c r="G163" s="154">
        <f t="shared" si="9"/>
        <v>3.84133487777091</v>
      </c>
      <c r="H163" s="365">
        <f t="shared" si="10"/>
        <v>0</v>
      </c>
      <c r="I163" s="66">
        <f t="shared" si="11"/>
        <v>0</v>
      </c>
      <c r="J163" s="41">
        <f t="shared" si="12"/>
        <v>3.84133487777091</v>
      </c>
    </row>
    <row r="164" spans="1:10" x14ac:dyDescent="0.25">
      <c r="A164" s="57">
        <f>'A) Base RI'!A166</f>
        <v>5665</v>
      </c>
      <c r="B164" s="350" t="str">
        <f>'A) Base RI'!B166</f>
        <v>Chavannes-sur-Moudon</v>
      </c>
      <c r="C164" s="109">
        <f>'B) D RI'!U166</f>
        <v>4982.8790410958891</v>
      </c>
      <c r="D164" s="126">
        <f>'E) Fact soc'!G170/C164</f>
        <v>15.36015891055459</v>
      </c>
      <c r="E164" s="154">
        <f>'H) Péréquation directe'!I175/C164</f>
        <v>-7.6600065413367604</v>
      </c>
      <c r="F164" s="126">
        <f>'I) Dépenses thématiques'!P164</f>
        <v>-1.8591864078873583</v>
      </c>
      <c r="G164" s="154">
        <f t="shared" si="9"/>
        <v>5.8409659613304719</v>
      </c>
      <c r="H164" s="365">
        <f t="shared" si="10"/>
        <v>0</v>
      </c>
      <c r="I164" s="66">
        <f t="shared" si="11"/>
        <v>0</v>
      </c>
      <c r="J164" s="41">
        <f t="shared" si="12"/>
        <v>5.8409659613304719</v>
      </c>
    </row>
    <row r="165" spans="1:10" x14ac:dyDescent="0.25">
      <c r="A165" s="57">
        <f>'A) Base RI'!A167</f>
        <v>5669</v>
      </c>
      <c r="B165" s="350" t="str">
        <f>'A) Base RI'!B167</f>
        <v>Curtilles</v>
      </c>
      <c r="C165" s="109">
        <f>'B) D RI'!U167</f>
        <v>8279.174027777779</v>
      </c>
      <c r="D165" s="126">
        <f>'E) Fact soc'!G171/C165</f>
        <v>15.483692458119899</v>
      </c>
      <c r="E165" s="154">
        <f>'H) Péréquation directe'!I176/C165</f>
        <v>0.84002257732418562</v>
      </c>
      <c r="F165" s="126">
        <f>'I) Dépenses thématiques'!P165</f>
        <v>-4.7297308005681549</v>
      </c>
      <c r="G165" s="154">
        <f t="shared" si="9"/>
        <v>11.593984234875929</v>
      </c>
      <c r="H165" s="365">
        <f t="shared" si="10"/>
        <v>0</v>
      </c>
      <c r="I165" s="66">
        <f t="shared" si="11"/>
        <v>0</v>
      </c>
      <c r="J165" s="41">
        <f t="shared" si="12"/>
        <v>11.593984234875929</v>
      </c>
    </row>
    <row r="166" spans="1:10" x14ac:dyDescent="0.25">
      <c r="A166" s="57">
        <f>'A) Base RI'!A168</f>
        <v>5671</v>
      </c>
      <c r="B166" s="350" t="str">
        <f>'A) Base RI'!B168</f>
        <v>Dompierre</v>
      </c>
      <c r="C166" s="109">
        <f>'B) D RI'!U168</f>
        <v>6672.7971250000001</v>
      </c>
      <c r="D166" s="126">
        <f>'E) Fact soc'!G172/C166</f>
        <v>15.117327408922577</v>
      </c>
      <c r="E166" s="154">
        <f>'H) Péréquation directe'!I177/C166</f>
        <v>-1.1860838615218379</v>
      </c>
      <c r="F166" s="126">
        <f>'I) Dépenses thématiques'!P166</f>
        <v>-6.5528457050664253</v>
      </c>
      <c r="G166" s="154">
        <f t="shared" si="9"/>
        <v>7.3783978423343148</v>
      </c>
      <c r="H166" s="365">
        <f t="shared" si="10"/>
        <v>0</v>
      </c>
      <c r="I166" s="66">
        <f t="shared" si="11"/>
        <v>0</v>
      </c>
      <c r="J166" s="41">
        <f t="shared" si="12"/>
        <v>7.3783978423343148</v>
      </c>
    </row>
    <row r="167" spans="1:10" x14ac:dyDescent="0.25">
      <c r="A167" s="57">
        <f>'A) Base RI'!A169</f>
        <v>5673</v>
      </c>
      <c r="B167" s="350" t="str">
        <f>'A) Base RI'!B169</f>
        <v>Hermenches</v>
      </c>
      <c r="C167" s="109">
        <f>'B) D RI'!U169</f>
        <v>7873.3323555555571</v>
      </c>
      <c r="D167" s="126">
        <f>'E) Fact soc'!G173/C167</f>
        <v>16.739448059143601</v>
      </c>
      <c r="E167" s="154">
        <f>'H) Péréquation directe'!I178/C167</f>
        <v>-12.433067265538517</v>
      </c>
      <c r="F167" s="126">
        <f>'I) Dépenses thématiques'!P167</f>
        <v>-6.9451210160734487</v>
      </c>
      <c r="G167" s="154">
        <f t="shared" si="9"/>
        <v>-2.638740222468364</v>
      </c>
      <c r="H167" s="365">
        <f t="shared" si="10"/>
        <v>0</v>
      </c>
      <c r="I167" s="66">
        <f t="shared" si="11"/>
        <v>0</v>
      </c>
      <c r="J167" s="41">
        <f t="shared" si="12"/>
        <v>-2.638740222468364</v>
      </c>
    </row>
    <row r="168" spans="1:10" x14ac:dyDescent="0.25">
      <c r="A168" s="57">
        <f>'A) Base RI'!A170</f>
        <v>5674</v>
      </c>
      <c r="B168" s="350" t="str">
        <f>'A) Base RI'!B170</f>
        <v>Lovatens</v>
      </c>
      <c r="C168" s="109">
        <f>'B) D RI'!U170</f>
        <v>3776.8391809523814</v>
      </c>
      <c r="D168" s="126">
        <f>'E) Fact soc'!G174/C168</f>
        <v>22.427183263848924</v>
      </c>
      <c r="E168" s="154">
        <f>'H) Péréquation directe'!I179/C168</f>
        <v>-0.97718839927395607</v>
      </c>
      <c r="F168" s="126">
        <f>'I) Dépenses thématiques'!P168</f>
        <v>-0.23133551564211891</v>
      </c>
      <c r="G168" s="154">
        <f t="shared" si="9"/>
        <v>21.218659348932849</v>
      </c>
      <c r="H168" s="365">
        <f t="shared" si="10"/>
        <v>0</v>
      </c>
      <c r="I168" s="66">
        <f t="shared" si="11"/>
        <v>0</v>
      </c>
      <c r="J168" s="41">
        <f t="shared" si="12"/>
        <v>21.218659348932849</v>
      </c>
    </row>
    <row r="169" spans="1:10" x14ac:dyDescent="0.25">
      <c r="A169" s="57">
        <f>'A) Base RI'!A171</f>
        <v>5675</v>
      </c>
      <c r="B169" s="350" t="str">
        <f>'A) Base RI'!B171</f>
        <v>Lucens</v>
      </c>
      <c r="C169" s="109">
        <f>'B) D RI'!U171</f>
        <v>92926.657086941384</v>
      </c>
      <c r="D169" s="126">
        <f>'E) Fact soc'!G175/C169</f>
        <v>17.487133629262189</v>
      </c>
      <c r="E169" s="154">
        <f>'H) Péréquation directe'!I180/C169</f>
        <v>-12.545796966657417</v>
      </c>
      <c r="F169" s="126">
        <f>'I) Dépenses thématiques'!P169</f>
        <v>-3.8736654902999845</v>
      </c>
      <c r="G169" s="154">
        <f t="shared" si="9"/>
        <v>1.067671172304788</v>
      </c>
      <c r="H169" s="365">
        <f t="shared" si="10"/>
        <v>0</v>
      </c>
      <c r="I169" s="66">
        <f t="shared" si="11"/>
        <v>0</v>
      </c>
      <c r="J169" s="41">
        <f t="shared" si="12"/>
        <v>1.067671172304788</v>
      </c>
    </row>
    <row r="170" spans="1:10" x14ac:dyDescent="0.25">
      <c r="A170" s="57">
        <f>'A) Base RI'!A172</f>
        <v>5678</v>
      </c>
      <c r="B170" s="350" t="str">
        <f>'A) Base RI'!B172</f>
        <v>Moudon</v>
      </c>
      <c r="C170" s="109">
        <f>'B) D RI'!U172</f>
        <v>123116.47720000001</v>
      </c>
      <c r="D170" s="126">
        <f>'E) Fact soc'!G176/C170</f>
        <v>18.379640781872141</v>
      </c>
      <c r="E170" s="154">
        <f>'H) Péréquation directe'!I181/C170</f>
        <v>-27.552430054654184</v>
      </c>
      <c r="F170" s="126">
        <f>'I) Dépenses thématiques'!P170</f>
        <v>-158.12953906228057</v>
      </c>
      <c r="G170" s="154">
        <f t="shared" si="9"/>
        <v>-167.30232833506261</v>
      </c>
      <c r="H170" s="365">
        <f t="shared" si="10"/>
        <v>0</v>
      </c>
      <c r="I170" s="66">
        <f t="shared" si="11"/>
        <v>0</v>
      </c>
      <c r="J170" s="41">
        <f t="shared" si="12"/>
        <v>-167.30232833506261</v>
      </c>
    </row>
    <row r="171" spans="1:10" x14ac:dyDescent="0.25">
      <c r="A171" s="57">
        <f>'A) Base RI'!A173</f>
        <v>5680</v>
      </c>
      <c r="B171" s="350" t="str">
        <f>'A) Base RI'!B173</f>
        <v>Ogens</v>
      </c>
      <c r="C171" s="109">
        <f>'B) D RI'!U173</f>
        <v>8504.3488034188031</v>
      </c>
      <c r="D171" s="126">
        <f>'E) Fact soc'!G177/C171</f>
        <v>17.437901912177477</v>
      </c>
      <c r="E171" s="154">
        <f>'H) Péréquation directe'!I182/C171</f>
        <v>1.3745294625166735</v>
      </c>
      <c r="F171" s="126">
        <f>'I) Dépenses thématiques'!P171</f>
        <v>-4.9157029238652594</v>
      </c>
      <c r="G171" s="154">
        <f t="shared" si="9"/>
        <v>13.89672845082889</v>
      </c>
      <c r="H171" s="365">
        <f t="shared" si="10"/>
        <v>0</v>
      </c>
      <c r="I171" s="66">
        <f t="shared" si="11"/>
        <v>0</v>
      </c>
      <c r="J171" s="41">
        <f t="shared" si="12"/>
        <v>13.89672845082889</v>
      </c>
    </row>
    <row r="172" spans="1:10" x14ac:dyDescent="0.25">
      <c r="A172" s="57">
        <f>'A) Base RI'!A174</f>
        <v>5683</v>
      </c>
      <c r="B172" s="350" t="str">
        <f>'A) Base RI'!B174</f>
        <v>Prévonloup</v>
      </c>
      <c r="C172" s="109">
        <f>'B) D RI'!U174</f>
        <v>4128.5685135135127</v>
      </c>
      <c r="D172" s="126">
        <f>'E) Fact soc'!G178/C172</f>
        <v>15.117327408922577</v>
      </c>
      <c r="E172" s="154">
        <f>'H) Péréquation directe'!I183/C172</f>
        <v>-3.1037516813844288</v>
      </c>
      <c r="F172" s="126">
        <f>'I) Dépenses thématiques'!P172</f>
        <v>-9.1441834150315646</v>
      </c>
      <c r="G172" s="154">
        <f t="shared" si="9"/>
        <v>2.8693923125065837</v>
      </c>
      <c r="H172" s="365">
        <f t="shared" si="10"/>
        <v>0</v>
      </c>
      <c r="I172" s="66">
        <f t="shared" si="11"/>
        <v>0</v>
      </c>
      <c r="J172" s="41">
        <f t="shared" si="12"/>
        <v>2.8693923125065837</v>
      </c>
    </row>
    <row r="173" spans="1:10" x14ac:dyDescent="0.25">
      <c r="A173" s="57">
        <f>'A) Base RI'!A175</f>
        <v>5684</v>
      </c>
      <c r="B173" s="350" t="str">
        <f>'A) Base RI'!B175</f>
        <v>Rossenges</v>
      </c>
      <c r="C173" s="109">
        <f>'B) D RI'!U175</f>
        <v>2119.9519999999998</v>
      </c>
      <c r="D173" s="126">
        <f>'E) Fact soc'!G179/C173</f>
        <v>15.117327408922577</v>
      </c>
      <c r="E173" s="154">
        <f>'H) Péréquation directe'!I184/C173</f>
        <v>11.962003981574544</v>
      </c>
      <c r="F173" s="126">
        <f>'I) Dépenses thématiques'!P173</f>
        <v>0</v>
      </c>
      <c r="G173" s="154">
        <f t="shared" si="9"/>
        <v>27.079331390497121</v>
      </c>
      <c r="H173" s="365">
        <f t="shared" si="10"/>
        <v>0</v>
      </c>
      <c r="I173" s="66">
        <f t="shared" si="11"/>
        <v>0</v>
      </c>
      <c r="J173" s="41">
        <f t="shared" si="12"/>
        <v>27.079331390497121</v>
      </c>
    </row>
    <row r="174" spans="1:10" x14ac:dyDescent="0.25">
      <c r="A174" s="57">
        <f>'A) Base RI'!A176</f>
        <v>5688</v>
      </c>
      <c r="B174" s="350" t="str">
        <f>'A) Base RI'!B176</f>
        <v>Syens</v>
      </c>
      <c r="C174" s="109">
        <f>'B) D RI'!U176</f>
        <v>4845.4007936507942</v>
      </c>
      <c r="D174" s="126">
        <f>'E) Fact soc'!G180/C174</f>
        <v>19.565483695238925</v>
      </c>
      <c r="E174" s="154">
        <f>'H) Péréquation directe'!I185/C174</f>
        <v>7.74395152630838</v>
      </c>
      <c r="F174" s="126">
        <f>'I) Dépenses thématiques'!P174</f>
        <v>-5.6676749770469499</v>
      </c>
      <c r="G174" s="154">
        <f t="shared" si="9"/>
        <v>21.641760244500354</v>
      </c>
      <c r="H174" s="365">
        <f t="shared" si="10"/>
        <v>0</v>
      </c>
      <c r="I174" s="66">
        <f t="shared" si="11"/>
        <v>0</v>
      </c>
      <c r="J174" s="41">
        <f t="shared" si="12"/>
        <v>21.641760244500354</v>
      </c>
    </row>
    <row r="175" spans="1:10" x14ac:dyDescent="0.25">
      <c r="A175" s="57">
        <f>'A) Base RI'!A177</f>
        <v>5690</v>
      </c>
      <c r="B175" s="350" t="str">
        <f>'A) Base RI'!B177</f>
        <v>Villars-le-Comte</v>
      </c>
      <c r="C175" s="109">
        <f>'B) D RI'!U177</f>
        <v>3252.2851315789467</v>
      </c>
      <c r="D175" s="126">
        <f>'E) Fact soc'!G181/C175</f>
        <v>15.53953055054361</v>
      </c>
      <c r="E175" s="154">
        <f>'H) Péréquation directe'!I186/C175</f>
        <v>-8.3833597281076386</v>
      </c>
      <c r="F175" s="126">
        <f>'I) Dépenses thématiques'!P175</f>
        <v>-3.4450937349806594E-2</v>
      </c>
      <c r="G175" s="154">
        <f t="shared" si="9"/>
        <v>7.1217198850861649</v>
      </c>
      <c r="H175" s="365">
        <f t="shared" si="10"/>
        <v>0</v>
      </c>
      <c r="I175" s="66">
        <f t="shared" si="11"/>
        <v>0</v>
      </c>
      <c r="J175" s="41">
        <f t="shared" si="12"/>
        <v>7.1217198850861649</v>
      </c>
    </row>
    <row r="176" spans="1:10" x14ac:dyDescent="0.25">
      <c r="A176" s="57">
        <f>'A) Base RI'!A178</f>
        <v>5692</v>
      </c>
      <c r="B176" s="350" t="str">
        <f>'A) Base RI'!B178</f>
        <v>Vucherens</v>
      </c>
      <c r="C176" s="109">
        <f>'B) D RI'!U178</f>
        <v>16993.232405063292</v>
      </c>
      <c r="D176" s="126">
        <f>'E) Fact soc'!G182/C176</f>
        <v>19.219703774894505</v>
      </c>
      <c r="E176" s="154">
        <f>'H) Péréquation directe'!I187/C176</f>
        <v>3.5000306293940677</v>
      </c>
      <c r="F176" s="126">
        <f>'I) Dépenses thématiques'!P176</f>
        <v>-0.68482101179569888</v>
      </c>
      <c r="G176" s="154">
        <f t="shared" si="9"/>
        <v>22.034913392492875</v>
      </c>
      <c r="H176" s="365">
        <f t="shared" si="10"/>
        <v>0</v>
      </c>
      <c r="I176" s="66">
        <f t="shared" si="11"/>
        <v>0</v>
      </c>
      <c r="J176" s="41">
        <f t="shared" si="12"/>
        <v>22.034913392492875</v>
      </c>
    </row>
    <row r="177" spans="1:10" x14ac:dyDescent="0.25">
      <c r="A177" s="57">
        <f>'A) Base RI'!A179</f>
        <v>5693</v>
      </c>
      <c r="B177" s="350" t="str">
        <f>'A) Base RI'!B179</f>
        <v>Montanaire</v>
      </c>
      <c r="C177" s="109">
        <f>'B) D RI'!U179</f>
        <v>63585.08152777778</v>
      </c>
      <c r="D177" s="126">
        <f>'E) Fact soc'!G183/C177</f>
        <v>17.424035468043719</v>
      </c>
      <c r="E177" s="154">
        <f>'H) Péréquation directe'!I188/C177</f>
        <v>-7.0397025023138964</v>
      </c>
      <c r="F177" s="126">
        <f>'I) Dépenses thématiques'!P177</f>
        <v>-27.863737659636719</v>
      </c>
      <c r="G177" s="154">
        <f t="shared" si="9"/>
        <v>-17.479404693906897</v>
      </c>
      <c r="H177" s="365">
        <f t="shared" si="10"/>
        <v>0</v>
      </c>
      <c r="I177" s="66">
        <f t="shared" si="11"/>
        <v>0</v>
      </c>
      <c r="J177" s="41">
        <f t="shared" si="12"/>
        <v>-17.479404693906897</v>
      </c>
    </row>
    <row r="178" spans="1:10" x14ac:dyDescent="0.25">
      <c r="A178" s="57">
        <f>'A) Base RI'!A180</f>
        <v>5701</v>
      </c>
      <c r="B178" s="350" t="str">
        <f>'A) Base RI'!B180</f>
        <v>Arnex-sur-Nyon</v>
      </c>
      <c r="C178" s="109">
        <f>'B) D RI'!U180</f>
        <v>15270.610714285714</v>
      </c>
      <c r="D178" s="126">
        <f>'E) Fact soc'!G184/C178</f>
        <v>23.835848223301728</v>
      </c>
      <c r="E178" s="154">
        <f>'H) Péréquation directe'!I189/C178</f>
        <v>16.673317712288849</v>
      </c>
      <c r="F178" s="126">
        <f>'I) Dépenses thématiques'!P178</f>
        <v>0</v>
      </c>
      <c r="G178" s="154">
        <f t="shared" si="9"/>
        <v>40.509165935590573</v>
      </c>
      <c r="H178" s="365">
        <f t="shared" si="10"/>
        <v>0</v>
      </c>
      <c r="I178" s="66">
        <f t="shared" si="11"/>
        <v>0</v>
      </c>
      <c r="J178" s="41">
        <f t="shared" si="12"/>
        <v>40.509165935590573</v>
      </c>
    </row>
    <row r="179" spans="1:10" x14ac:dyDescent="0.25">
      <c r="A179" s="57">
        <f>'A) Base RI'!A181</f>
        <v>5702</v>
      </c>
      <c r="B179" s="350" t="str">
        <f>'A) Base RI'!B181</f>
        <v>Arzier-Le Muids</v>
      </c>
      <c r="C179" s="109">
        <f>'B) D RI'!U181</f>
        <v>153872.87421874999</v>
      </c>
      <c r="D179" s="126">
        <f>'E) Fact soc'!G185/C179</f>
        <v>19.558002598899947</v>
      </c>
      <c r="E179" s="154">
        <f>'H) Péréquation directe'!I190/C179</f>
        <v>14.426569441593637</v>
      </c>
      <c r="F179" s="126">
        <f>'I) Dépenses thématiques'!P179</f>
        <v>-4.3762135631914694</v>
      </c>
      <c r="G179" s="154">
        <f t="shared" si="9"/>
        <v>29.608358477302112</v>
      </c>
      <c r="H179" s="365">
        <f t="shared" si="10"/>
        <v>0</v>
      </c>
      <c r="I179" s="66">
        <f t="shared" si="11"/>
        <v>0</v>
      </c>
      <c r="J179" s="41">
        <f t="shared" si="12"/>
        <v>29.608358477302112</v>
      </c>
    </row>
    <row r="180" spans="1:10" x14ac:dyDescent="0.25">
      <c r="A180" s="57">
        <f>'A) Base RI'!A182</f>
        <v>5703</v>
      </c>
      <c r="B180" s="350" t="str">
        <f>'A) Base RI'!B182</f>
        <v>Bassins</v>
      </c>
      <c r="C180" s="109">
        <f>'B) D RI'!U182</f>
        <v>52372.205915492945</v>
      </c>
      <c r="D180" s="126">
        <f>'E) Fact soc'!G186/C180</f>
        <v>17.129632851432561</v>
      </c>
      <c r="E180" s="154">
        <f>'H) Péréquation directe'!I191/C180</f>
        <v>12.176514633207344</v>
      </c>
      <c r="F180" s="126">
        <f>'I) Dépenses thématiques'!P180</f>
        <v>-1.7031725563672289</v>
      </c>
      <c r="G180" s="154">
        <f t="shared" si="9"/>
        <v>27.602974928272676</v>
      </c>
      <c r="H180" s="365">
        <f t="shared" si="10"/>
        <v>0</v>
      </c>
      <c r="I180" s="66">
        <f t="shared" si="11"/>
        <v>0</v>
      </c>
      <c r="J180" s="41">
        <f t="shared" si="12"/>
        <v>27.602974928272676</v>
      </c>
    </row>
    <row r="181" spans="1:10" x14ac:dyDescent="0.25">
      <c r="A181" s="57">
        <f>'A) Base RI'!A183</f>
        <v>5704</v>
      </c>
      <c r="B181" s="350" t="str">
        <f>'A) Base RI'!B183</f>
        <v>Begnins</v>
      </c>
      <c r="C181" s="109">
        <f>'B) D RI'!U183</f>
        <v>118306.82039800995</v>
      </c>
      <c r="D181" s="126">
        <f>'E) Fact soc'!G187/C181</f>
        <v>20.865200555853178</v>
      </c>
      <c r="E181" s="154">
        <f>'H) Péréquation directe'!I192/C181</f>
        <v>15.061027719031612</v>
      </c>
      <c r="F181" s="126">
        <f>'I) Dépenses thématiques'!P181</f>
        <v>0</v>
      </c>
      <c r="G181" s="154">
        <f t="shared" si="9"/>
        <v>35.926228274884792</v>
      </c>
      <c r="H181" s="365">
        <f t="shared" si="10"/>
        <v>0</v>
      </c>
      <c r="I181" s="66">
        <f t="shared" si="11"/>
        <v>0</v>
      </c>
      <c r="J181" s="41">
        <f t="shared" si="12"/>
        <v>35.926228274884792</v>
      </c>
    </row>
    <row r="182" spans="1:10" x14ac:dyDescent="0.25">
      <c r="A182" s="57">
        <f>'A) Base RI'!A184</f>
        <v>5705</v>
      </c>
      <c r="B182" s="350" t="str">
        <f>'A) Base RI'!B184</f>
        <v>Bogis-Bossey</v>
      </c>
      <c r="C182" s="109">
        <f>'B) D RI'!U184</f>
        <v>49610.676285714275</v>
      </c>
      <c r="D182" s="126">
        <f>'E) Fact soc'!G188/C182</f>
        <v>18.199968964673214</v>
      </c>
      <c r="E182" s="154">
        <f>'H) Péréquation directe'!I193/C182</f>
        <v>16.93345799296053</v>
      </c>
      <c r="F182" s="126">
        <f>'I) Dépenses thématiques'!P182</f>
        <v>0</v>
      </c>
      <c r="G182" s="154">
        <f t="shared" si="9"/>
        <v>35.133426957633745</v>
      </c>
      <c r="H182" s="365">
        <f t="shared" si="10"/>
        <v>0</v>
      </c>
      <c r="I182" s="66">
        <f t="shared" si="11"/>
        <v>0</v>
      </c>
      <c r="J182" s="41">
        <f t="shared" si="12"/>
        <v>35.133426957633745</v>
      </c>
    </row>
    <row r="183" spans="1:10" x14ac:dyDescent="0.25">
      <c r="A183" s="57">
        <f>'A) Base RI'!A185</f>
        <v>5706</v>
      </c>
      <c r="B183" s="350" t="str">
        <f>'A) Base RI'!B185</f>
        <v>Borex</v>
      </c>
      <c r="C183" s="109">
        <f>'B) D RI'!U185</f>
        <v>68211.153151515144</v>
      </c>
      <c r="D183" s="126">
        <f>'E) Fact soc'!G189/C183</f>
        <v>19.92690745011938</v>
      </c>
      <c r="E183" s="154">
        <f>'H) Péréquation directe'!I194/C183</f>
        <v>16.525105896718078</v>
      </c>
      <c r="F183" s="126">
        <f>'I) Dépenses thématiques'!P183</f>
        <v>0</v>
      </c>
      <c r="G183" s="154">
        <f t="shared" si="9"/>
        <v>36.452013346837461</v>
      </c>
      <c r="H183" s="365">
        <f t="shared" si="10"/>
        <v>0</v>
      </c>
      <c r="I183" s="66">
        <f t="shared" si="11"/>
        <v>0</v>
      </c>
      <c r="J183" s="41">
        <f t="shared" si="12"/>
        <v>36.452013346837461</v>
      </c>
    </row>
    <row r="184" spans="1:10" x14ac:dyDescent="0.25">
      <c r="A184" s="57">
        <f>'A) Base RI'!A186</f>
        <v>5707</v>
      </c>
      <c r="B184" s="350" t="str">
        <f>'A) Base RI'!B186</f>
        <v>Chavannes-de-Bogis</v>
      </c>
      <c r="C184" s="109">
        <f>'B) D RI'!U186</f>
        <v>101262.00960451979</v>
      </c>
      <c r="D184" s="126">
        <f>'E) Fact soc'!G190/C184</f>
        <v>26.644461282493094</v>
      </c>
      <c r="E184" s="154">
        <f>'H) Péréquation directe'!I195/C184</f>
        <v>15.889873961222261</v>
      </c>
      <c r="F184" s="126">
        <f>'I) Dépenses thématiques'!P184</f>
        <v>0</v>
      </c>
      <c r="G184" s="154">
        <f t="shared" si="9"/>
        <v>42.534335243715354</v>
      </c>
      <c r="H184" s="365">
        <f t="shared" si="10"/>
        <v>0</v>
      </c>
      <c r="I184" s="66">
        <f t="shared" si="11"/>
        <v>0</v>
      </c>
      <c r="J184" s="41">
        <f t="shared" si="12"/>
        <v>42.534335243715354</v>
      </c>
    </row>
    <row r="185" spans="1:10" x14ac:dyDescent="0.25">
      <c r="A185" s="57">
        <f>'A) Base RI'!A187</f>
        <v>5708</v>
      </c>
      <c r="B185" s="350" t="str">
        <f>'A) Base RI'!B187</f>
        <v>Chavannes-des-Bois</v>
      </c>
      <c r="C185" s="109">
        <f>'B) D RI'!U187</f>
        <v>66077.93781420766</v>
      </c>
      <c r="D185" s="126">
        <f>'E) Fact soc'!G191/C185</f>
        <v>23.226741160713914</v>
      </c>
      <c r="E185" s="154">
        <f>'H) Péréquation directe'!I196/C185</f>
        <v>16.493382292541209</v>
      </c>
      <c r="F185" s="126">
        <f>'I) Dépenses thématiques'!P185</f>
        <v>0</v>
      </c>
      <c r="G185" s="154">
        <f t="shared" si="9"/>
        <v>39.720123453255127</v>
      </c>
      <c r="H185" s="365">
        <f t="shared" si="10"/>
        <v>0</v>
      </c>
      <c r="I185" s="66">
        <f t="shared" si="11"/>
        <v>0</v>
      </c>
      <c r="J185" s="41">
        <f t="shared" si="12"/>
        <v>39.720123453255127</v>
      </c>
    </row>
    <row r="186" spans="1:10" x14ac:dyDescent="0.25">
      <c r="A186" s="57">
        <f>'A) Base RI'!A188</f>
        <v>5709</v>
      </c>
      <c r="B186" s="350" t="str">
        <f>'A) Base RI'!B188</f>
        <v>Chéserex</v>
      </c>
      <c r="C186" s="109">
        <f>'B) D RI'!U188</f>
        <v>141681.04461538463</v>
      </c>
      <c r="D186" s="126">
        <f>'E) Fact soc'!G192/C186</f>
        <v>30.957757107598724</v>
      </c>
      <c r="E186" s="154">
        <f>'H) Péréquation directe'!I197/C186</f>
        <v>15.259661490684124</v>
      </c>
      <c r="F186" s="126">
        <f>'I) Dépenses thématiques'!P186</f>
        <v>0</v>
      </c>
      <c r="G186" s="154">
        <f t="shared" si="9"/>
        <v>46.217418598282848</v>
      </c>
      <c r="H186" s="365">
        <f t="shared" si="10"/>
        <v>-1.2174185982828476</v>
      </c>
      <c r="I186" s="66">
        <f t="shared" si="11"/>
        <v>-172485.13873891113</v>
      </c>
      <c r="J186" s="41">
        <f t="shared" si="12"/>
        <v>45</v>
      </c>
    </row>
    <row r="187" spans="1:10" x14ac:dyDescent="0.25">
      <c r="A187" s="57">
        <f>'A) Base RI'!A189</f>
        <v>5710</v>
      </c>
      <c r="B187" s="350" t="str">
        <f>'A) Base RI'!B189</f>
        <v>Coinsins</v>
      </c>
      <c r="C187" s="109">
        <f>'B) D RI'!U189</f>
        <v>77522.491219512216</v>
      </c>
      <c r="D187" s="126">
        <f>'E) Fact soc'!G193/C187</f>
        <v>27.234167476594273</v>
      </c>
      <c r="E187" s="154">
        <f>'H) Péréquation directe'!I198/C187</f>
        <v>14.974035398716083</v>
      </c>
      <c r="F187" s="126">
        <f>'I) Dépenses thématiques'!P187</f>
        <v>0</v>
      </c>
      <c r="G187" s="154">
        <f t="shared" si="9"/>
        <v>42.208202875310356</v>
      </c>
      <c r="H187" s="365">
        <f t="shared" si="10"/>
        <v>0</v>
      </c>
      <c r="I187" s="66">
        <f t="shared" si="11"/>
        <v>0</v>
      </c>
      <c r="J187" s="41">
        <f t="shared" si="12"/>
        <v>42.208202875310356</v>
      </c>
    </row>
    <row r="188" spans="1:10" x14ac:dyDescent="0.25">
      <c r="A188" s="57">
        <f>'A) Base RI'!A190</f>
        <v>5711</v>
      </c>
      <c r="B188" s="350" t="str">
        <f>'A) Base RI'!B190</f>
        <v>Commugny</v>
      </c>
      <c r="C188" s="109">
        <f>'B) D RI'!U190</f>
        <v>249621.80260458836</v>
      </c>
      <c r="D188" s="126">
        <f>'E) Fact soc'!G194/C188</f>
        <v>26.760679186868543</v>
      </c>
      <c r="E188" s="154">
        <f>'H) Péréquation directe'!I199/C188</f>
        <v>14.503456658602945</v>
      </c>
      <c r="F188" s="126">
        <f>'I) Dépenses thématiques'!P188</f>
        <v>0</v>
      </c>
      <c r="G188" s="154">
        <f t="shared" si="9"/>
        <v>41.264135845471486</v>
      </c>
      <c r="H188" s="365">
        <f t="shared" si="10"/>
        <v>0</v>
      </c>
      <c r="I188" s="66">
        <f t="shared" si="11"/>
        <v>0</v>
      </c>
      <c r="J188" s="41">
        <f t="shared" si="12"/>
        <v>41.264135845471486</v>
      </c>
    </row>
    <row r="189" spans="1:10" x14ac:dyDescent="0.25">
      <c r="A189" s="57">
        <f>'A) Base RI'!A191</f>
        <v>5712</v>
      </c>
      <c r="B189" s="350" t="str">
        <f>'A) Base RI'!B191</f>
        <v>Coppet</v>
      </c>
      <c r="C189" s="109">
        <f>'B) D RI'!U191</f>
        <v>316866.86955974839</v>
      </c>
      <c r="D189" s="126">
        <f>'E) Fact soc'!G195/C189</f>
        <v>29.189851968205094</v>
      </c>
      <c r="E189" s="154">
        <f>'H) Péréquation directe'!I200/C189</f>
        <v>14.296259749408899</v>
      </c>
      <c r="F189" s="126">
        <f>'I) Dépenses thématiques'!P189</f>
        <v>0</v>
      </c>
      <c r="G189" s="154">
        <f t="shared" si="9"/>
        <v>43.486111717613994</v>
      </c>
      <c r="H189" s="365">
        <f t="shared" si="10"/>
        <v>0</v>
      </c>
      <c r="I189" s="66">
        <f t="shared" si="11"/>
        <v>0</v>
      </c>
      <c r="J189" s="41">
        <f t="shared" si="12"/>
        <v>43.486111717613994</v>
      </c>
    </row>
    <row r="190" spans="1:10" x14ac:dyDescent="0.25">
      <c r="A190" s="57">
        <f>'A) Base RI'!A192</f>
        <v>5713</v>
      </c>
      <c r="B190" s="350" t="str">
        <f>'A) Base RI'!B192</f>
        <v>Crans-près-Céligny</v>
      </c>
      <c r="C190" s="109">
        <f>'B) D RI'!U192</f>
        <v>229285.72754716981</v>
      </c>
      <c r="D190" s="126">
        <f>'E) Fact soc'!G196/C190</f>
        <v>29.138949021146807</v>
      </c>
      <c r="E190" s="154">
        <f>'H) Péréquation directe'!I201/C190</f>
        <v>14.59411705207993</v>
      </c>
      <c r="F190" s="126">
        <f>'I) Dépenses thématiques'!P190</f>
        <v>-0.34868899660433073</v>
      </c>
      <c r="G190" s="154">
        <f t="shared" si="9"/>
        <v>43.384377076622407</v>
      </c>
      <c r="H190" s="365">
        <f t="shared" si="10"/>
        <v>0</v>
      </c>
      <c r="I190" s="66">
        <f t="shared" si="11"/>
        <v>0</v>
      </c>
      <c r="J190" s="41">
        <f t="shared" si="12"/>
        <v>43.384377076622407</v>
      </c>
    </row>
    <row r="191" spans="1:10" x14ac:dyDescent="0.25">
      <c r="A191" s="57">
        <f>'A) Base RI'!A193</f>
        <v>5714</v>
      </c>
      <c r="B191" s="350" t="str">
        <f>'A) Base RI'!B193</f>
        <v>Crassier</v>
      </c>
      <c r="C191" s="109">
        <f>'B) D RI'!U193</f>
        <v>82427.7421875</v>
      </c>
      <c r="D191" s="126">
        <f>'E) Fact soc'!G197/C191</f>
        <v>21.34051597510383</v>
      </c>
      <c r="E191" s="154">
        <f>'H) Péréquation directe'!I202/C191</f>
        <v>16.191012548137305</v>
      </c>
      <c r="F191" s="126">
        <f>'I) Dépenses thématiques'!P191</f>
        <v>0</v>
      </c>
      <c r="G191" s="154">
        <f t="shared" si="9"/>
        <v>37.531528523241136</v>
      </c>
      <c r="H191" s="365">
        <f t="shared" si="10"/>
        <v>0</v>
      </c>
      <c r="I191" s="66">
        <f t="shared" si="11"/>
        <v>0</v>
      </c>
      <c r="J191" s="41">
        <f t="shared" si="12"/>
        <v>37.531528523241136</v>
      </c>
    </row>
    <row r="192" spans="1:10" x14ac:dyDescent="0.25">
      <c r="A192" s="57">
        <f>'A) Base RI'!A194</f>
        <v>5715</v>
      </c>
      <c r="B192" s="350" t="str">
        <f>'A) Base RI'!B194</f>
        <v>Duillier</v>
      </c>
      <c r="C192" s="109">
        <f>'B) D RI'!U194</f>
        <v>64112.353030303027</v>
      </c>
      <c r="D192" s="126">
        <f>'E) Fact soc'!G198/C192</f>
        <v>20.169914932054958</v>
      </c>
      <c r="E192" s="154">
        <f>'H) Péréquation directe'!I203/C192</f>
        <v>16.741447923090789</v>
      </c>
      <c r="F192" s="126">
        <f>'I) Dépenses thématiques'!P192</f>
        <v>0</v>
      </c>
      <c r="G192" s="154">
        <f t="shared" si="9"/>
        <v>36.911362855145747</v>
      </c>
      <c r="H192" s="365">
        <f t="shared" si="10"/>
        <v>0</v>
      </c>
      <c r="I192" s="66">
        <f t="shared" si="11"/>
        <v>0</v>
      </c>
      <c r="J192" s="41">
        <f t="shared" si="12"/>
        <v>36.911362855145747</v>
      </c>
    </row>
    <row r="193" spans="1:10" x14ac:dyDescent="0.25">
      <c r="A193" s="57">
        <f>'A) Base RI'!A195</f>
        <v>5716</v>
      </c>
      <c r="B193" s="350" t="str">
        <f>'A) Base RI'!B195</f>
        <v>Eysins</v>
      </c>
      <c r="C193" s="109">
        <f>'B) D RI'!U195</f>
        <v>93259.046229508182</v>
      </c>
      <c r="D193" s="126">
        <f>'E) Fact soc'!G199/C193</f>
        <v>25.348678021402556</v>
      </c>
      <c r="E193" s="154">
        <f>'H) Péréquation directe'!I204/C193</f>
        <v>15.588936453454624</v>
      </c>
      <c r="F193" s="126">
        <f>'I) Dépenses thématiques'!P193</f>
        <v>0</v>
      </c>
      <c r="G193" s="154">
        <f t="shared" si="9"/>
        <v>40.937614474857178</v>
      </c>
      <c r="H193" s="365">
        <f t="shared" si="10"/>
        <v>0</v>
      </c>
      <c r="I193" s="66">
        <f t="shared" si="11"/>
        <v>0</v>
      </c>
      <c r="J193" s="41">
        <f t="shared" si="12"/>
        <v>40.937614474857178</v>
      </c>
    </row>
    <row r="194" spans="1:10" x14ac:dyDescent="0.25">
      <c r="A194" s="57">
        <f>'A) Base RI'!A196</f>
        <v>5717</v>
      </c>
      <c r="B194" s="350" t="str">
        <f>'A) Base RI'!B196</f>
        <v>Founex</v>
      </c>
      <c r="C194" s="109">
        <f>'B) D RI'!U196</f>
        <v>359686.500877193</v>
      </c>
      <c r="D194" s="126">
        <f>'E) Fact soc'!G200/C194</f>
        <v>27.972201857940401</v>
      </c>
      <c r="E194" s="154">
        <f>'H) Péréquation directe'!I205/C194</f>
        <v>14.034611445829936</v>
      </c>
      <c r="F194" s="126">
        <f>'I) Dépenses thématiques'!P194</f>
        <v>0</v>
      </c>
      <c r="G194" s="154">
        <f t="shared" si="9"/>
        <v>42.006813303770336</v>
      </c>
      <c r="H194" s="365">
        <f t="shared" si="10"/>
        <v>0</v>
      </c>
      <c r="I194" s="66">
        <f t="shared" si="11"/>
        <v>0</v>
      </c>
      <c r="J194" s="41">
        <f t="shared" si="12"/>
        <v>42.006813303770336</v>
      </c>
    </row>
    <row r="195" spans="1:10" x14ac:dyDescent="0.25">
      <c r="A195" s="57">
        <f>'A) Base RI'!A197</f>
        <v>5718</v>
      </c>
      <c r="B195" s="350" t="str">
        <f>'A) Base RI'!B197</f>
        <v>Genolier</v>
      </c>
      <c r="C195" s="109">
        <f>'B) D RI'!U197</f>
        <v>194551.61054545455</v>
      </c>
      <c r="D195" s="126">
        <f>'E) Fact soc'!G201/C195</f>
        <v>28.137629026907241</v>
      </c>
      <c r="E195" s="154">
        <f>'H) Péréquation directe'!I206/C195</f>
        <v>14.784206209171456</v>
      </c>
      <c r="F195" s="126">
        <f>'I) Dépenses thématiques'!P195</f>
        <v>0</v>
      </c>
      <c r="G195" s="154">
        <f t="shared" si="9"/>
        <v>42.921835236078699</v>
      </c>
      <c r="H195" s="365">
        <f t="shared" si="10"/>
        <v>0</v>
      </c>
      <c r="I195" s="66">
        <f t="shared" si="11"/>
        <v>0</v>
      </c>
      <c r="J195" s="41">
        <f t="shared" si="12"/>
        <v>42.921835236078699</v>
      </c>
    </row>
    <row r="196" spans="1:10" x14ac:dyDescent="0.25">
      <c r="A196" s="57">
        <f>'A) Base RI'!A198</f>
        <v>5719</v>
      </c>
      <c r="B196" s="350" t="str">
        <f>'A) Base RI'!B198</f>
        <v>Gingins</v>
      </c>
      <c r="C196" s="109">
        <f>'B) D RI'!U198</f>
        <v>90011.711578947361</v>
      </c>
      <c r="D196" s="126">
        <f>'E) Fact soc'!G202/C196</f>
        <v>25.833016741677667</v>
      </c>
      <c r="E196" s="154">
        <f>'H) Péréquation directe'!I207/C196</f>
        <v>16.02393487082848</v>
      </c>
      <c r="F196" s="126">
        <f>'I) Dépenses thématiques'!P196</f>
        <v>0</v>
      </c>
      <c r="G196" s="154">
        <f t="shared" si="9"/>
        <v>41.856951612506151</v>
      </c>
      <c r="H196" s="365">
        <f t="shared" si="10"/>
        <v>0</v>
      </c>
      <c r="I196" s="66">
        <f t="shared" si="11"/>
        <v>0</v>
      </c>
      <c r="J196" s="41">
        <f t="shared" si="12"/>
        <v>41.856951612506151</v>
      </c>
    </row>
    <row r="197" spans="1:10" x14ac:dyDescent="0.25">
      <c r="A197" s="57">
        <f>'A) Base RI'!A199</f>
        <v>5720</v>
      </c>
      <c r="B197" s="350" t="str">
        <f>'A) Base RI'!B199</f>
        <v>Givrins</v>
      </c>
      <c r="C197" s="109">
        <f>'B) D RI'!U199</f>
        <v>73631.281876138426</v>
      </c>
      <c r="D197" s="126">
        <f>'E) Fact soc'!G203/C197</f>
        <v>21.927198161939717</v>
      </c>
      <c r="E197" s="154">
        <f>'H) Péréquation directe'!I208/C197</f>
        <v>16.605635564919041</v>
      </c>
      <c r="F197" s="126">
        <f>'I) Dépenses thématiques'!P197</f>
        <v>-1.8409437858040768E-2</v>
      </c>
      <c r="G197" s="154">
        <f t="shared" si="9"/>
        <v>38.514424289000715</v>
      </c>
      <c r="H197" s="365">
        <f t="shared" si="10"/>
        <v>0</v>
      </c>
      <c r="I197" s="66">
        <f t="shared" si="11"/>
        <v>0</v>
      </c>
      <c r="J197" s="41">
        <f t="shared" si="12"/>
        <v>38.514424289000715</v>
      </c>
    </row>
    <row r="198" spans="1:10" x14ac:dyDescent="0.25">
      <c r="A198" s="57">
        <f>'A) Base RI'!A200</f>
        <v>5721</v>
      </c>
      <c r="B198" s="350" t="str">
        <f>'A) Base RI'!B200</f>
        <v>Gland</v>
      </c>
      <c r="C198" s="109">
        <f>'B) D RI'!U200</f>
        <v>541149.08192000003</v>
      </c>
      <c r="D198" s="126">
        <f>'E) Fact soc'!G204/C198</f>
        <v>18.481303549362778</v>
      </c>
      <c r="E198" s="154">
        <f>'H) Péréquation directe'!I209/C198</f>
        <v>3.8429367979879006</v>
      </c>
      <c r="F198" s="126">
        <f>'I) Dépenses thématiques'!P198</f>
        <v>0</v>
      </c>
      <c r="G198" s="154">
        <f t="shared" ref="G198:G261" si="13">SUM(D198:F198)</f>
        <v>22.324240347350678</v>
      </c>
      <c r="H198" s="365">
        <f t="shared" ref="H198:H261" si="14">IF(G198&gt;H$4,H$4-G198,0)</f>
        <v>0</v>
      </c>
      <c r="I198" s="66">
        <f t="shared" ref="I198:I261" si="15">H198*C198</f>
        <v>0</v>
      </c>
      <c r="J198" s="41">
        <f t="shared" ref="J198:J261" si="16">G198+H198</f>
        <v>22.324240347350678</v>
      </c>
    </row>
    <row r="199" spans="1:10" x14ac:dyDescent="0.25">
      <c r="A199" s="57">
        <f>'A) Base RI'!A201</f>
        <v>5722</v>
      </c>
      <c r="B199" s="350" t="str">
        <f>'A) Base RI'!B201</f>
        <v>Grens</v>
      </c>
      <c r="C199" s="109">
        <f>'B) D RI'!U201</f>
        <v>20499.342258064513</v>
      </c>
      <c r="D199" s="126">
        <f>'E) Fact soc'!G205/C199</f>
        <v>24.294671132035898</v>
      </c>
      <c r="E199" s="154">
        <f>'H) Péréquation directe'!I210/C199</f>
        <v>16.99345324203254</v>
      </c>
      <c r="F199" s="126">
        <f>'I) Dépenses thématiques'!P199</f>
        <v>0</v>
      </c>
      <c r="G199" s="154">
        <f t="shared" si="13"/>
        <v>41.288124374068438</v>
      </c>
      <c r="H199" s="365">
        <f t="shared" si="14"/>
        <v>0</v>
      </c>
      <c r="I199" s="66">
        <f t="shared" si="15"/>
        <v>0</v>
      </c>
      <c r="J199" s="41">
        <f t="shared" si="16"/>
        <v>41.288124374068438</v>
      </c>
    </row>
    <row r="200" spans="1:10" x14ac:dyDescent="0.25">
      <c r="A200" s="57">
        <f>'A) Base RI'!A202</f>
        <v>5723</v>
      </c>
      <c r="B200" s="350" t="str">
        <f>'A) Base RI'!B202</f>
        <v>Mies</v>
      </c>
      <c r="C200" s="109">
        <f>'B) D RI'!U202</f>
        <v>621558.82755102031</v>
      </c>
      <c r="D200" s="126">
        <f>'E) Fact soc'!G206/C200</f>
        <v>37.987099308214383</v>
      </c>
      <c r="E200" s="154">
        <f>'H) Péréquation directe'!I211/C200</f>
        <v>13.368832764580413</v>
      </c>
      <c r="F200" s="126">
        <f>'I) Dépenses thématiques'!P200</f>
        <v>0</v>
      </c>
      <c r="G200" s="154">
        <f t="shared" si="13"/>
        <v>51.355932072794793</v>
      </c>
      <c r="H200" s="365">
        <f t="shared" si="14"/>
        <v>-6.3559320727947934</v>
      </c>
      <c r="I200" s="66">
        <f t="shared" si="15"/>
        <v>-3950585.6871602582</v>
      </c>
      <c r="J200" s="41">
        <f t="shared" si="16"/>
        <v>45</v>
      </c>
    </row>
    <row r="201" spans="1:10" x14ac:dyDescent="0.25">
      <c r="A201" s="57">
        <f>'A) Base RI'!A203</f>
        <v>5724</v>
      </c>
      <c r="B201" s="350" t="str">
        <f>'A) Base RI'!B203</f>
        <v>Nyon</v>
      </c>
      <c r="C201" s="109">
        <f>'B) D RI'!U203</f>
        <v>1418675.3806683479</v>
      </c>
      <c r="D201" s="126">
        <f>'E) Fact soc'!G207/C201</f>
        <v>23.103612439786815</v>
      </c>
      <c r="E201" s="154">
        <f>'H) Péréquation directe'!I212/C201</f>
        <v>7.6261666712886207</v>
      </c>
      <c r="F201" s="126">
        <f>'I) Dépenses thématiques'!P201</f>
        <v>0</v>
      </c>
      <c r="G201" s="154">
        <f t="shared" si="13"/>
        <v>30.729779111075437</v>
      </c>
      <c r="H201" s="365">
        <f t="shared" si="14"/>
        <v>0</v>
      </c>
      <c r="I201" s="66">
        <f t="shared" si="15"/>
        <v>0</v>
      </c>
      <c r="J201" s="41">
        <f t="shared" si="16"/>
        <v>30.729779111075437</v>
      </c>
    </row>
    <row r="202" spans="1:10" x14ac:dyDescent="0.25">
      <c r="A202" s="57">
        <f>'A) Base RI'!A204</f>
        <v>5725</v>
      </c>
      <c r="B202" s="350" t="str">
        <f>'A) Base RI'!B204</f>
        <v>Prangins</v>
      </c>
      <c r="C202" s="109">
        <f>'B) D RI'!U204</f>
        <v>319840.55765306117</v>
      </c>
      <c r="D202" s="126">
        <f>'E) Fact soc'!G208/C202</f>
        <v>23.530221654324496</v>
      </c>
      <c r="E202" s="154">
        <f>'H) Péréquation directe'!I213/C202</f>
        <v>13.655026192906679</v>
      </c>
      <c r="F202" s="126">
        <f>'I) Dépenses thématiques'!P202</f>
        <v>0</v>
      </c>
      <c r="G202" s="154">
        <f t="shared" si="13"/>
        <v>37.185247847231174</v>
      </c>
      <c r="H202" s="365">
        <f t="shared" si="14"/>
        <v>0</v>
      </c>
      <c r="I202" s="66">
        <f t="shared" si="15"/>
        <v>0</v>
      </c>
      <c r="J202" s="41">
        <f t="shared" si="16"/>
        <v>37.185247847231174</v>
      </c>
    </row>
    <row r="203" spans="1:10" x14ac:dyDescent="0.25">
      <c r="A203" s="57">
        <f>'A) Base RI'!A205</f>
        <v>5726</v>
      </c>
      <c r="B203" s="350" t="str">
        <f>'A) Base RI'!B205</f>
        <v>La Rippe</v>
      </c>
      <c r="C203" s="109">
        <f>'B) D RI'!U205</f>
        <v>62420.845692307696</v>
      </c>
      <c r="D203" s="126">
        <f>'E) Fact soc'!G209/C203</f>
        <v>17.054708161437802</v>
      </c>
      <c r="E203" s="154">
        <f>'H) Péréquation directe'!I214/C203</f>
        <v>16.563793568380479</v>
      </c>
      <c r="F203" s="126">
        <f>'I) Dépenses thématiques'!P203</f>
        <v>-0.4357682554929499</v>
      </c>
      <c r="G203" s="154">
        <f t="shared" si="13"/>
        <v>33.182733474325325</v>
      </c>
      <c r="H203" s="365">
        <f t="shared" si="14"/>
        <v>0</v>
      </c>
      <c r="I203" s="66">
        <f t="shared" si="15"/>
        <v>0</v>
      </c>
      <c r="J203" s="41">
        <f t="shared" si="16"/>
        <v>33.182733474325325</v>
      </c>
    </row>
    <row r="204" spans="1:10" x14ac:dyDescent="0.25">
      <c r="A204" s="57">
        <f>'A) Base RI'!A206</f>
        <v>5727</v>
      </c>
      <c r="B204" s="350" t="str">
        <f>'A) Base RI'!B206</f>
        <v>Saint-Cergue</v>
      </c>
      <c r="C204" s="109">
        <f>'B) D RI'!U206</f>
        <v>94126.01979797981</v>
      </c>
      <c r="D204" s="126">
        <f>'E) Fact soc'!G210/C204</f>
        <v>18.992295412274061</v>
      </c>
      <c r="E204" s="154">
        <f>'H) Péréquation directe'!I215/C204</f>
        <v>8.9543945135646261</v>
      </c>
      <c r="F204" s="126">
        <f>'I) Dépenses thématiques'!P204</f>
        <v>-7.1594170211756314</v>
      </c>
      <c r="G204" s="154">
        <f t="shared" si="13"/>
        <v>20.787272904663055</v>
      </c>
      <c r="H204" s="365">
        <f t="shared" si="14"/>
        <v>0</v>
      </c>
      <c r="I204" s="66">
        <f t="shared" si="15"/>
        <v>0</v>
      </c>
      <c r="J204" s="41">
        <f t="shared" si="16"/>
        <v>20.787272904663055</v>
      </c>
    </row>
    <row r="205" spans="1:10" x14ac:dyDescent="0.25">
      <c r="A205" s="57">
        <f>'A) Base RI'!A207</f>
        <v>5728</v>
      </c>
      <c r="B205" s="350" t="str">
        <f>'A) Base RI'!B207</f>
        <v>Signy-Avenex</v>
      </c>
      <c r="C205" s="109">
        <f>'B) D RI'!U207</f>
        <v>33547.613749999997</v>
      </c>
      <c r="D205" s="126">
        <f>'E) Fact soc'!G211/C205</f>
        <v>24.328170334432862</v>
      </c>
      <c r="E205" s="154">
        <f>'H) Péréquation directe'!I216/C205</f>
        <v>16.816569952314019</v>
      </c>
      <c r="F205" s="126">
        <f>'I) Dépenses thématiques'!P205</f>
        <v>0</v>
      </c>
      <c r="G205" s="154">
        <f t="shared" si="13"/>
        <v>41.144740286746881</v>
      </c>
      <c r="H205" s="365">
        <f t="shared" si="14"/>
        <v>0</v>
      </c>
      <c r="I205" s="66">
        <f t="shared" si="15"/>
        <v>0</v>
      </c>
      <c r="J205" s="41">
        <f t="shared" si="16"/>
        <v>41.144740286746881</v>
      </c>
    </row>
    <row r="206" spans="1:10" x14ac:dyDescent="0.25">
      <c r="A206" s="57">
        <f>'A) Base RI'!A208</f>
        <v>5729</v>
      </c>
      <c r="B206" s="350" t="str">
        <f>'A) Base RI'!B208</f>
        <v>Tannay</v>
      </c>
      <c r="C206" s="109">
        <f>'B) D RI'!U208</f>
        <v>141635.67650273221</v>
      </c>
      <c r="D206" s="126">
        <f>'E) Fact soc'!G212/C206</f>
        <v>26.885589587284631</v>
      </c>
      <c r="E206" s="154">
        <f>'H) Péréquation directe'!I217/C206</f>
        <v>15.256672332163003</v>
      </c>
      <c r="F206" s="126">
        <f>'I) Dépenses thématiques'!P206</f>
        <v>0</v>
      </c>
      <c r="G206" s="154">
        <f t="shared" si="13"/>
        <v>42.142261919447634</v>
      </c>
      <c r="H206" s="365">
        <f t="shared" si="14"/>
        <v>0</v>
      </c>
      <c r="I206" s="66">
        <f t="shared" si="15"/>
        <v>0</v>
      </c>
      <c r="J206" s="41">
        <f t="shared" si="16"/>
        <v>42.142261919447634</v>
      </c>
    </row>
    <row r="207" spans="1:10" x14ac:dyDescent="0.25">
      <c r="A207" s="57">
        <f>'A) Base RI'!A209</f>
        <v>5730</v>
      </c>
      <c r="B207" s="350" t="str">
        <f>'A) Base RI'!B209</f>
        <v>Trélex</v>
      </c>
      <c r="C207" s="109">
        <f>'B) D RI'!U209</f>
        <v>125167.38524366473</v>
      </c>
      <c r="D207" s="126">
        <f>'E) Fact soc'!G213/C207</f>
        <v>24.070165307811262</v>
      </c>
      <c r="E207" s="154">
        <f>'H) Péréquation directe'!I218/C207</f>
        <v>15.433050534864202</v>
      </c>
      <c r="F207" s="126">
        <f>'I) Dépenses thématiques'!P207</f>
        <v>0</v>
      </c>
      <c r="G207" s="154">
        <f t="shared" si="13"/>
        <v>39.503215842675466</v>
      </c>
      <c r="H207" s="365">
        <f t="shared" si="14"/>
        <v>0</v>
      </c>
      <c r="I207" s="66">
        <f t="shared" si="15"/>
        <v>0</v>
      </c>
      <c r="J207" s="41">
        <f t="shared" si="16"/>
        <v>39.503215842675466</v>
      </c>
    </row>
    <row r="208" spans="1:10" x14ac:dyDescent="0.25">
      <c r="A208" s="57">
        <f>'A) Base RI'!A210</f>
        <v>5731</v>
      </c>
      <c r="B208" s="350" t="str">
        <f>'A) Base RI'!B210</f>
        <v>Le Vaud</v>
      </c>
      <c r="C208" s="109">
        <f>'B) D RI'!U210</f>
        <v>47266.974133333322</v>
      </c>
      <c r="D208" s="126">
        <f>'E) Fact soc'!G214/C208</f>
        <v>18.076788693780905</v>
      </c>
      <c r="E208" s="154">
        <f>'H) Péréquation directe'!I219/C208</f>
        <v>10.160268619043435</v>
      </c>
      <c r="F208" s="126">
        <f>'I) Dépenses thématiques'!P208</f>
        <v>-1.3994129082840143</v>
      </c>
      <c r="G208" s="154">
        <f t="shared" si="13"/>
        <v>26.837644404540328</v>
      </c>
      <c r="H208" s="365">
        <f t="shared" si="14"/>
        <v>0</v>
      </c>
      <c r="I208" s="66">
        <f t="shared" si="15"/>
        <v>0</v>
      </c>
      <c r="J208" s="41">
        <f t="shared" si="16"/>
        <v>26.837644404540328</v>
      </c>
    </row>
    <row r="209" spans="1:10" x14ac:dyDescent="0.25">
      <c r="A209" s="57">
        <f>'A) Base RI'!A211</f>
        <v>5732</v>
      </c>
      <c r="B209" s="350" t="str">
        <f>'A) Base RI'!B211</f>
        <v>Vich</v>
      </c>
      <c r="C209" s="109">
        <f>'B) D RI'!U211</f>
        <v>76343.818235294122</v>
      </c>
      <c r="D209" s="126">
        <f>'E) Fact soc'!G215/C209</f>
        <v>24.645104421875079</v>
      </c>
      <c r="E209" s="154">
        <f>'H) Péréquation directe'!I220/C209</f>
        <v>16.444090227648218</v>
      </c>
      <c r="F209" s="126">
        <f>'I) Dépenses thématiques'!P209</f>
        <v>0</v>
      </c>
      <c r="G209" s="154">
        <f t="shared" si="13"/>
        <v>41.089194649523293</v>
      </c>
      <c r="H209" s="365">
        <f t="shared" si="14"/>
        <v>0</v>
      </c>
      <c r="I209" s="66">
        <f t="shared" si="15"/>
        <v>0</v>
      </c>
      <c r="J209" s="41">
        <f t="shared" si="16"/>
        <v>41.089194649523293</v>
      </c>
    </row>
    <row r="210" spans="1:10" x14ac:dyDescent="0.25">
      <c r="A210" s="57">
        <f>'A) Base RI'!A212</f>
        <v>5741</v>
      </c>
      <c r="B210" s="350" t="str">
        <f>'A) Base RI'!B212</f>
        <v>L'Abergement</v>
      </c>
      <c r="C210" s="109">
        <f>'B) D RI'!U212</f>
        <v>6474.3855761316872</v>
      </c>
      <c r="D210" s="126">
        <f>'E) Fact soc'!G216/C210</f>
        <v>18.120918216317587</v>
      </c>
      <c r="E210" s="154">
        <f>'H) Péréquation directe'!I221/C210</f>
        <v>-2.6295468200554959</v>
      </c>
      <c r="F210" s="126">
        <f>'I) Dépenses thématiques'!P210</f>
        <v>-7.6275297668690705</v>
      </c>
      <c r="G210" s="154">
        <f t="shared" si="13"/>
        <v>7.863841629393022</v>
      </c>
      <c r="H210" s="365">
        <f t="shared" si="14"/>
        <v>0</v>
      </c>
      <c r="I210" s="66">
        <f t="shared" si="15"/>
        <v>0</v>
      </c>
      <c r="J210" s="41">
        <f t="shared" si="16"/>
        <v>7.863841629393022</v>
      </c>
    </row>
    <row r="211" spans="1:10" x14ac:dyDescent="0.25">
      <c r="A211" s="57">
        <f>'A) Base RI'!A213</f>
        <v>5742</v>
      </c>
      <c r="B211" s="350" t="str">
        <f>'A) Base RI'!B213</f>
        <v>Agiez</v>
      </c>
      <c r="C211" s="109">
        <f>'B) D RI'!U213</f>
        <v>8406.0221052631568</v>
      </c>
      <c r="D211" s="126">
        <f>'E) Fact soc'!G217/C211</f>
        <v>20.842612733816846</v>
      </c>
      <c r="E211" s="154">
        <f>'H) Péréquation directe'!I222/C211</f>
        <v>2.0259143923412402</v>
      </c>
      <c r="F211" s="126">
        <f>'I) Dépenses thématiques'!P211</f>
        <v>-1.4678735203400157</v>
      </c>
      <c r="G211" s="154">
        <f t="shared" si="13"/>
        <v>21.400653605818068</v>
      </c>
      <c r="H211" s="365">
        <f t="shared" si="14"/>
        <v>0</v>
      </c>
      <c r="I211" s="66">
        <f t="shared" si="15"/>
        <v>0</v>
      </c>
      <c r="J211" s="41">
        <f t="shared" si="16"/>
        <v>21.400653605818068</v>
      </c>
    </row>
    <row r="212" spans="1:10" x14ac:dyDescent="0.25">
      <c r="A212" s="57">
        <f>'A) Base RI'!A214</f>
        <v>5743</v>
      </c>
      <c r="B212" s="350" t="str">
        <f>'A) Base RI'!B214</f>
        <v>Arnex-sur-Orbe</v>
      </c>
      <c r="C212" s="109">
        <f>'B) D RI'!U214</f>
        <v>16157.310890410963</v>
      </c>
      <c r="D212" s="126">
        <f>'E) Fact soc'!G218/C212</f>
        <v>16.515436299270569</v>
      </c>
      <c r="E212" s="154">
        <f>'H) Péréquation directe'!I223/C212</f>
        <v>-1.4626429348901728</v>
      </c>
      <c r="F212" s="126">
        <f>'I) Dépenses thématiques'!P212</f>
        <v>-1.5514372222393242</v>
      </c>
      <c r="G212" s="154">
        <f t="shared" si="13"/>
        <v>13.501356142141072</v>
      </c>
      <c r="H212" s="365">
        <f t="shared" si="14"/>
        <v>0</v>
      </c>
      <c r="I212" s="66">
        <f t="shared" si="15"/>
        <v>0</v>
      </c>
      <c r="J212" s="41">
        <f t="shared" si="16"/>
        <v>13.501356142141072</v>
      </c>
    </row>
    <row r="213" spans="1:10" x14ac:dyDescent="0.25">
      <c r="A213" s="57">
        <f>'A) Base RI'!A215</f>
        <v>5744</v>
      </c>
      <c r="B213" s="350" t="str">
        <f>'A) Base RI'!B215</f>
        <v>Ballaigues</v>
      </c>
      <c r="C213" s="109">
        <f>'B) D RI'!U215</f>
        <v>67876.800151515155</v>
      </c>
      <c r="D213" s="126">
        <f>'E) Fact soc'!G219/C213</f>
        <v>24.140982896113844</v>
      </c>
      <c r="E213" s="154">
        <f>'H) Péréquation directe'!I224/C213</f>
        <v>16.525952494617574</v>
      </c>
      <c r="F213" s="126">
        <f>'I) Dépenses thématiques'!P213</f>
        <v>-10.985031790620624</v>
      </c>
      <c r="G213" s="154">
        <f t="shared" si="13"/>
        <v>29.681903600110793</v>
      </c>
      <c r="H213" s="365">
        <f t="shared" si="14"/>
        <v>0</v>
      </c>
      <c r="I213" s="66">
        <f t="shared" si="15"/>
        <v>0</v>
      </c>
      <c r="J213" s="41">
        <f t="shared" si="16"/>
        <v>29.681903600110793</v>
      </c>
    </row>
    <row r="214" spans="1:10" x14ac:dyDescent="0.25">
      <c r="A214" s="57">
        <f>'A) Base RI'!A216</f>
        <v>5745</v>
      </c>
      <c r="B214" s="350" t="str">
        <f>'A) Base RI'!B216</f>
        <v>Baulmes</v>
      </c>
      <c r="C214" s="109">
        <f>'B) D RI'!U216</f>
        <v>26708.244230769233</v>
      </c>
      <c r="D214" s="126">
        <f>'E) Fact soc'!G220/C214</f>
        <v>18.23358335899043</v>
      </c>
      <c r="E214" s="154">
        <f>'H) Péréquation directe'!I225/C214</f>
        <v>-4.7573175898328355</v>
      </c>
      <c r="F214" s="126">
        <f>'I) Dépenses thématiques'!P214</f>
        <v>-13.022923007556944</v>
      </c>
      <c r="G214" s="154">
        <f t="shared" si="13"/>
        <v>0.45334276160065023</v>
      </c>
      <c r="H214" s="365">
        <f t="shared" si="14"/>
        <v>0</v>
      </c>
      <c r="I214" s="66">
        <f t="shared" si="15"/>
        <v>0</v>
      </c>
      <c r="J214" s="41">
        <f t="shared" si="16"/>
        <v>0.45334276160065023</v>
      </c>
    </row>
    <row r="215" spans="1:10" x14ac:dyDescent="0.25">
      <c r="A215" s="57">
        <f>'A) Base RI'!A217</f>
        <v>5746</v>
      </c>
      <c r="B215" s="350" t="str">
        <f>'A) Base RI'!B217</f>
        <v>Bavois</v>
      </c>
      <c r="C215" s="109">
        <f>'B) D RI'!U217</f>
        <v>26575.73502283105</v>
      </c>
      <c r="D215" s="126">
        <f>'E) Fact soc'!G221/C215</f>
        <v>17.263402012353222</v>
      </c>
      <c r="E215" s="154">
        <f>'H) Péréquation directe'!I226/C215</f>
        <v>2.5522737888814011</v>
      </c>
      <c r="F215" s="126">
        <f>'I) Dépenses thématiques'!P215</f>
        <v>-41.231276106246739</v>
      </c>
      <c r="G215" s="154">
        <f t="shared" si="13"/>
        <v>-21.415600305012116</v>
      </c>
      <c r="H215" s="365">
        <f t="shared" si="14"/>
        <v>0</v>
      </c>
      <c r="I215" s="66">
        <f t="shared" si="15"/>
        <v>0</v>
      </c>
      <c r="J215" s="41">
        <f t="shared" si="16"/>
        <v>-21.415600305012116</v>
      </c>
    </row>
    <row r="216" spans="1:10" x14ac:dyDescent="0.25">
      <c r="A216" s="57">
        <f>'A) Base RI'!A218</f>
        <v>5747</v>
      </c>
      <c r="B216" s="350" t="str">
        <f>'A) Base RI'!B218</f>
        <v>Bofflens</v>
      </c>
      <c r="C216" s="109">
        <f>'B) D RI'!U218</f>
        <v>5307.8250724637683</v>
      </c>
      <c r="D216" s="126">
        <f>'E) Fact soc'!G222/C216</f>
        <v>16.51758549929519</v>
      </c>
      <c r="E216" s="154">
        <f>'H) Péréquation directe'!I227/C216</f>
        <v>3.8306097618888915</v>
      </c>
      <c r="F216" s="126">
        <f>'I) Dépenses thématiques'!P216</f>
        <v>-1.0846504250217406</v>
      </c>
      <c r="G216" s="154">
        <f t="shared" si="13"/>
        <v>19.263544836162339</v>
      </c>
      <c r="H216" s="365">
        <f t="shared" si="14"/>
        <v>0</v>
      </c>
      <c r="I216" s="66">
        <f t="shared" si="15"/>
        <v>0</v>
      </c>
      <c r="J216" s="41">
        <f t="shared" si="16"/>
        <v>19.263544836162339</v>
      </c>
    </row>
    <row r="217" spans="1:10" x14ac:dyDescent="0.25">
      <c r="A217" s="57">
        <f>'A) Base RI'!A219</f>
        <v>5748</v>
      </c>
      <c r="B217" s="350" t="str">
        <f>'A) Base RI'!B219</f>
        <v>Bretonnières</v>
      </c>
      <c r="C217" s="109">
        <f>'B) D RI'!U219</f>
        <v>7260.9913888888877</v>
      </c>
      <c r="D217" s="126">
        <f>'E) Fact soc'!G223/C217</f>
        <v>18.838773772479684</v>
      </c>
      <c r="E217" s="154">
        <f>'H) Péréquation directe'!I228/C217</f>
        <v>2.6933782607943813</v>
      </c>
      <c r="F217" s="126">
        <f>'I) Dépenses thématiques'!P217</f>
        <v>-0.49538678830503768</v>
      </c>
      <c r="G217" s="154">
        <f t="shared" si="13"/>
        <v>21.036765244969029</v>
      </c>
      <c r="H217" s="365">
        <f t="shared" si="14"/>
        <v>0</v>
      </c>
      <c r="I217" s="66">
        <f t="shared" si="15"/>
        <v>0</v>
      </c>
      <c r="J217" s="41">
        <f t="shared" si="16"/>
        <v>21.036765244969029</v>
      </c>
    </row>
    <row r="218" spans="1:10" x14ac:dyDescent="0.25">
      <c r="A218" s="57">
        <f>'A) Base RI'!A220</f>
        <v>5749</v>
      </c>
      <c r="B218" s="350" t="str">
        <f>'A) Base RI'!B220</f>
        <v>Chavornay</v>
      </c>
      <c r="C218" s="109">
        <f>'B) D RI'!U220</f>
        <v>132615.92523493644</v>
      </c>
      <c r="D218" s="126">
        <f>'E) Fact soc'!G224/C218</f>
        <v>19.477249597571454</v>
      </c>
      <c r="E218" s="154">
        <f>'H) Péréquation directe'!I229/C218</f>
        <v>-7.379422532678598</v>
      </c>
      <c r="F218" s="126">
        <f>'I) Dépenses thématiques'!P218</f>
        <v>-125.16979877232789</v>
      </c>
      <c r="G218" s="154">
        <f t="shared" si="13"/>
        <v>-113.07197170743504</v>
      </c>
      <c r="H218" s="365">
        <f t="shared" si="14"/>
        <v>0</v>
      </c>
      <c r="I218" s="66">
        <f t="shared" si="15"/>
        <v>0</v>
      </c>
      <c r="J218" s="41">
        <f t="shared" si="16"/>
        <v>-113.07197170743504</v>
      </c>
    </row>
    <row r="219" spans="1:10" x14ac:dyDescent="0.25">
      <c r="A219" s="57">
        <f>'A) Base RI'!A221</f>
        <v>5750</v>
      </c>
      <c r="B219" s="350" t="str">
        <f>'A) Base RI'!B221</f>
        <v>Les Clées</v>
      </c>
      <c r="C219" s="109">
        <f>'B) D RI'!U221</f>
        <v>4790.0727916666665</v>
      </c>
      <c r="D219" s="126">
        <f>'E) Fact soc'!G225/C219</f>
        <v>17.469404400236915</v>
      </c>
      <c r="E219" s="154">
        <f>'H) Péréquation directe'!I230/C219</f>
        <v>-1.7834608308868614</v>
      </c>
      <c r="F219" s="126">
        <f>'I) Dépenses thématiques'!P219</f>
        <v>-4.9753393551603606</v>
      </c>
      <c r="G219" s="154">
        <f t="shared" si="13"/>
        <v>10.710604214189694</v>
      </c>
      <c r="H219" s="365">
        <f t="shared" si="14"/>
        <v>0</v>
      </c>
      <c r="I219" s="66">
        <f t="shared" si="15"/>
        <v>0</v>
      </c>
      <c r="J219" s="41">
        <f t="shared" si="16"/>
        <v>10.710604214189694</v>
      </c>
    </row>
    <row r="220" spans="1:10" x14ac:dyDescent="0.25">
      <c r="A220" s="57">
        <f>'A) Base RI'!A222</f>
        <v>5752</v>
      </c>
      <c r="B220" s="350" t="str">
        <f>'A) Base RI'!B222</f>
        <v>Croy</v>
      </c>
      <c r="C220" s="109">
        <f>'B) D RI'!U222</f>
        <v>9213.5061196911174</v>
      </c>
      <c r="D220" s="126">
        <f>'E) Fact soc'!G226/C220</f>
        <v>17.642864885938991</v>
      </c>
      <c r="E220" s="154">
        <f>'H) Péréquation directe'!I231/C220</f>
        <v>2.0126205479933768E-2</v>
      </c>
      <c r="F220" s="126">
        <f>'I) Dépenses thématiques'!P220</f>
        <v>-56.479711843403251</v>
      </c>
      <c r="G220" s="154">
        <f t="shared" si="13"/>
        <v>-38.816720751984327</v>
      </c>
      <c r="H220" s="365">
        <f t="shared" si="14"/>
        <v>0</v>
      </c>
      <c r="I220" s="66">
        <f t="shared" si="15"/>
        <v>0</v>
      </c>
      <c r="J220" s="41">
        <f t="shared" si="16"/>
        <v>-38.816720751984327</v>
      </c>
    </row>
    <row r="221" spans="1:10" x14ac:dyDescent="0.25">
      <c r="A221" s="57">
        <f>'A) Base RI'!A223</f>
        <v>5754</v>
      </c>
      <c r="B221" s="350" t="str">
        <f>'A) Base RI'!B223</f>
        <v>Juriens</v>
      </c>
      <c r="C221" s="109">
        <f>'B) D RI'!U223</f>
        <v>7202.565316455697</v>
      </c>
      <c r="D221" s="126">
        <f>'E) Fact soc'!G227/C221</f>
        <v>17.325116481472783</v>
      </c>
      <c r="E221" s="154">
        <f>'H) Péréquation directe'!I232/C221</f>
        <v>-7.7222849368436286</v>
      </c>
      <c r="F221" s="126">
        <f>'I) Dépenses thématiques'!P221</f>
        <v>-4.5352469342062589</v>
      </c>
      <c r="G221" s="154">
        <f t="shared" si="13"/>
        <v>5.0675846104228954</v>
      </c>
      <c r="H221" s="365">
        <f t="shared" si="14"/>
        <v>0</v>
      </c>
      <c r="I221" s="66">
        <f t="shared" si="15"/>
        <v>0</v>
      </c>
      <c r="J221" s="41">
        <f t="shared" si="16"/>
        <v>5.0675846104228954</v>
      </c>
    </row>
    <row r="222" spans="1:10" x14ac:dyDescent="0.25">
      <c r="A222" s="57">
        <f>'A) Base RI'!A224</f>
        <v>5755</v>
      </c>
      <c r="B222" s="350" t="str">
        <f>'A) Base RI'!B224</f>
        <v>Lignerolle</v>
      </c>
      <c r="C222" s="109">
        <f>'B) D RI'!U224</f>
        <v>9116.1979107142852</v>
      </c>
      <c r="D222" s="126">
        <f>'E) Fact soc'!G228/C222</f>
        <v>19.465217328404851</v>
      </c>
      <c r="E222" s="154">
        <f>'H) Péréquation directe'!I233/C222</f>
        <v>-11.426401201942936</v>
      </c>
      <c r="F222" s="126">
        <f>'I) Dépenses thématiques'!P222</f>
        <v>-12.7144444719641</v>
      </c>
      <c r="G222" s="154">
        <f t="shared" si="13"/>
        <v>-4.6756283455021848</v>
      </c>
      <c r="H222" s="365">
        <f t="shared" si="14"/>
        <v>0</v>
      </c>
      <c r="I222" s="66">
        <f t="shared" si="15"/>
        <v>0</v>
      </c>
      <c r="J222" s="41">
        <f t="shared" si="16"/>
        <v>-4.6756283455021848</v>
      </c>
    </row>
    <row r="223" spans="1:10" x14ac:dyDescent="0.25">
      <c r="A223" s="57">
        <f>'A) Base RI'!A225</f>
        <v>5756</v>
      </c>
      <c r="B223" s="350" t="str">
        <f>'A) Base RI'!B225</f>
        <v>Montcherand</v>
      </c>
      <c r="C223" s="109">
        <f>'B) D RI'!U225</f>
        <v>14643.939999999999</v>
      </c>
      <c r="D223" s="126">
        <f>'E) Fact soc'!G229/C223</f>
        <v>19.442687592042692</v>
      </c>
      <c r="E223" s="154">
        <f>'H) Péréquation directe'!I234/C223</f>
        <v>6.3224310232720375</v>
      </c>
      <c r="F223" s="126">
        <f>'I) Dépenses thématiques'!P223</f>
        <v>-0.22126218668497027</v>
      </c>
      <c r="G223" s="154">
        <f t="shared" si="13"/>
        <v>25.543856428629759</v>
      </c>
      <c r="H223" s="365">
        <f t="shared" si="14"/>
        <v>0</v>
      </c>
      <c r="I223" s="66">
        <f t="shared" si="15"/>
        <v>0</v>
      </c>
      <c r="J223" s="41">
        <f t="shared" si="16"/>
        <v>25.543856428629759</v>
      </c>
    </row>
    <row r="224" spans="1:10" x14ac:dyDescent="0.25">
      <c r="A224" s="57">
        <f>'A) Base RI'!A226</f>
        <v>5757</v>
      </c>
      <c r="B224" s="350" t="str">
        <f>'A) Base RI'!B226</f>
        <v>Orbe</v>
      </c>
      <c r="C224" s="109">
        <f>'B) D RI'!U226</f>
        <v>219459.11337837842</v>
      </c>
      <c r="D224" s="126">
        <f>'E) Fact soc'!G230/C224</f>
        <v>19.855206957389029</v>
      </c>
      <c r="E224" s="154">
        <f>'H) Péréquation directe'!I235/C224</f>
        <v>-2.9890677166999238</v>
      </c>
      <c r="F224" s="126">
        <f>'I) Dépenses thématiques'!P224</f>
        <v>-377.4378089019479</v>
      </c>
      <c r="G224" s="154">
        <f t="shared" si="13"/>
        <v>-360.5716696612588</v>
      </c>
      <c r="H224" s="365">
        <f t="shared" si="14"/>
        <v>0</v>
      </c>
      <c r="I224" s="66">
        <f t="shared" si="15"/>
        <v>0</v>
      </c>
      <c r="J224" s="41">
        <f t="shared" si="16"/>
        <v>-360.5716696612588</v>
      </c>
    </row>
    <row r="225" spans="1:10" x14ac:dyDescent="0.25">
      <c r="A225" s="57">
        <f>'A) Base RI'!A227</f>
        <v>5758</v>
      </c>
      <c r="B225" s="350" t="str">
        <f>'A) Base RI'!B227</f>
        <v>La Praz</v>
      </c>
      <c r="C225" s="109">
        <f>'B) D RI'!U227</f>
        <v>3792.6817536813919</v>
      </c>
      <c r="D225" s="126">
        <f>'E) Fact soc'!G231/C225</f>
        <v>16.655612289887603</v>
      </c>
      <c r="E225" s="154">
        <f>'H) Péréquation directe'!I236/C225</f>
        <v>-10.038599245720647</v>
      </c>
      <c r="F225" s="126">
        <f>'I) Dépenses thématiques'!P225</f>
        <v>-4.4182530050407678</v>
      </c>
      <c r="G225" s="154">
        <f t="shared" si="13"/>
        <v>2.1987600391261886</v>
      </c>
      <c r="H225" s="365">
        <f t="shared" si="14"/>
        <v>0</v>
      </c>
      <c r="I225" s="66">
        <f t="shared" si="15"/>
        <v>0</v>
      </c>
      <c r="J225" s="41">
        <f t="shared" si="16"/>
        <v>2.1987600391261886</v>
      </c>
    </row>
    <row r="226" spans="1:10" x14ac:dyDescent="0.25">
      <c r="A226" s="57">
        <f>'A) Base RI'!A228</f>
        <v>5759</v>
      </c>
      <c r="B226" s="350" t="str">
        <f>'A) Base RI'!B228</f>
        <v>Premier</v>
      </c>
      <c r="C226" s="109">
        <f>'B) D RI'!U228</f>
        <v>4689.5245679012341</v>
      </c>
      <c r="D226" s="126">
        <f>'E) Fact soc'!G232/C226</f>
        <v>15.788457276018795</v>
      </c>
      <c r="E226" s="154">
        <f>'H) Péréquation directe'!I237/C226</f>
        <v>-8.6982115796489463</v>
      </c>
      <c r="F226" s="126">
        <f>'I) Dépenses thématiques'!P226</f>
        <v>-5.9248820075340181</v>
      </c>
      <c r="G226" s="154">
        <f t="shared" si="13"/>
        <v>1.1653636888358303</v>
      </c>
      <c r="H226" s="365">
        <f t="shared" si="14"/>
        <v>0</v>
      </c>
      <c r="I226" s="66">
        <f t="shared" si="15"/>
        <v>0</v>
      </c>
      <c r="J226" s="41">
        <f t="shared" si="16"/>
        <v>1.1653636888358303</v>
      </c>
    </row>
    <row r="227" spans="1:10" x14ac:dyDescent="0.25">
      <c r="A227" s="57">
        <f>'A) Base RI'!A229</f>
        <v>5760</v>
      </c>
      <c r="B227" s="350" t="str">
        <f>'A) Base RI'!B229</f>
        <v>Rances</v>
      </c>
      <c r="C227" s="109">
        <f>'B) D RI'!U229</f>
        <v>13227.609572649571</v>
      </c>
      <c r="D227" s="126">
        <f>'E) Fact soc'!G233/C227</f>
        <v>23.231480945924879</v>
      </c>
      <c r="E227" s="154">
        <f>'H) Péréquation directe'!I238/C227</f>
        <v>0.23316799043038958</v>
      </c>
      <c r="F227" s="126">
        <f>'I) Dépenses thématiques'!P227</f>
        <v>-9.3465718501819897</v>
      </c>
      <c r="G227" s="154">
        <f t="shared" si="13"/>
        <v>14.118077086173278</v>
      </c>
      <c r="H227" s="365">
        <f t="shared" si="14"/>
        <v>0</v>
      </c>
      <c r="I227" s="66">
        <f t="shared" si="15"/>
        <v>0</v>
      </c>
      <c r="J227" s="41">
        <f t="shared" si="16"/>
        <v>14.118077086173278</v>
      </c>
    </row>
    <row r="228" spans="1:10" x14ac:dyDescent="0.25">
      <c r="A228" s="57">
        <f>'A) Base RI'!A230</f>
        <v>5761</v>
      </c>
      <c r="B228" s="350" t="str">
        <f>'A) Base RI'!B230</f>
        <v>Romainmôtier-Envy</v>
      </c>
      <c r="C228" s="109">
        <f>'B) D RI'!U230</f>
        <v>12165.915592105261</v>
      </c>
      <c r="D228" s="126">
        <f>'E) Fact soc'!G234/C228</f>
        <v>21.202965554237718</v>
      </c>
      <c r="E228" s="154">
        <f>'H) Péréquation directe'!I239/C228</f>
        <v>-9.4232433269932123</v>
      </c>
      <c r="F228" s="126">
        <f>'I) Dépenses thématiques'!P228</f>
        <v>-13.669306738162739</v>
      </c>
      <c r="G228" s="154">
        <f t="shared" si="13"/>
        <v>-1.8895845109182332</v>
      </c>
      <c r="H228" s="365">
        <f t="shared" si="14"/>
        <v>0</v>
      </c>
      <c r="I228" s="66">
        <f t="shared" si="15"/>
        <v>0</v>
      </c>
      <c r="J228" s="41">
        <f t="shared" si="16"/>
        <v>-1.8895845109182332</v>
      </c>
    </row>
    <row r="229" spans="1:10" x14ac:dyDescent="0.25">
      <c r="A229" s="57">
        <f>'A) Base RI'!A231</f>
        <v>5762</v>
      </c>
      <c r="B229" s="350" t="str">
        <f>'A) Base RI'!B231</f>
        <v>Sergey</v>
      </c>
      <c r="C229" s="109">
        <f>'B) D RI'!U231</f>
        <v>3586.5485897435897</v>
      </c>
      <c r="D229" s="126">
        <f>'E) Fact soc'!G235/C229</f>
        <v>16.267859709474795</v>
      </c>
      <c r="E229" s="154">
        <f>'H) Péréquation directe'!I240/C229</f>
        <v>-3.691331006941744</v>
      </c>
      <c r="F229" s="126">
        <f>'I) Dépenses thématiques'!P229</f>
        <v>-1.7097762273871893</v>
      </c>
      <c r="G229" s="154">
        <f t="shared" si="13"/>
        <v>10.86675247514586</v>
      </c>
      <c r="H229" s="365">
        <f t="shared" si="14"/>
        <v>0</v>
      </c>
      <c r="I229" s="66">
        <f t="shared" si="15"/>
        <v>0</v>
      </c>
      <c r="J229" s="41">
        <f t="shared" si="16"/>
        <v>10.86675247514586</v>
      </c>
    </row>
    <row r="230" spans="1:10" x14ac:dyDescent="0.25">
      <c r="A230" s="57">
        <f>'A) Base RI'!A232</f>
        <v>5763</v>
      </c>
      <c r="B230" s="350" t="str">
        <f>'A) Base RI'!B232</f>
        <v>Valeyres-sous-Rances</v>
      </c>
      <c r="C230" s="109">
        <f>'B) D RI'!U232</f>
        <v>16085.850769230768</v>
      </c>
      <c r="D230" s="126">
        <f>'E) Fact soc'!G236/C230</f>
        <v>18.216646538213748</v>
      </c>
      <c r="E230" s="154">
        <f>'H) Péréquation directe'!I241/C230</f>
        <v>2.2700696889694756</v>
      </c>
      <c r="F230" s="126">
        <f>'I) Dépenses thématiques'!P230</f>
        <v>-1.6244548721602519</v>
      </c>
      <c r="G230" s="154">
        <f t="shared" si="13"/>
        <v>18.862261355022969</v>
      </c>
      <c r="H230" s="365">
        <f t="shared" si="14"/>
        <v>0</v>
      </c>
      <c r="I230" s="66">
        <f t="shared" si="15"/>
        <v>0</v>
      </c>
      <c r="J230" s="41">
        <f t="shared" si="16"/>
        <v>18.862261355022969</v>
      </c>
    </row>
    <row r="231" spans="1:10" x14ac:dyDescent="0.25">
      <c r="A231" s="57">
        <f>'A) Base RI'!A233</f>
        <v>5764</v>
      </c>
      <c r="B231" s="350" t="str">
        <f>'A) Base RI'!B233</f>
        <v>Vallorbe</v>
      </c>
      <c r="C231" s="109">
        <f>'B) D RI'!U233</f>
        <v>84513.608378378369</v>
      </c>
      <c r="D231" s="126">
        <f>'E) Fact soc'!G237/C231</f>
        <v>25.252439214409488</v>
      </c>
      <c r="E231" s="154">
        <f>'H) Péréquation directe'!I242/C231</f>
        <v>-16.914173817136419</v>
      </c>
      <c r="F231" s="126">
        <f>'I) Dépenses thématiques'!P231</f>
        <v>-169.36758554782995</v>
      </c>
      <c r="G231" s="154">
        <f t="shared" si="13"/>
        <v>-161.02932015055688</v>
      </c>
      <c r="H231" s="365">
        <f t="shared" si="14"/>
        <v>0</v>
      </c>
      <c r="I231" s="66">
        <f t="shared" si="15"/>
        <v>0</v>
      </c>
      <c r="J231" s="41">
        <f t="shared" si="16"/>
        <v>-161.02932015055688</v>
      </c>
    </row>
    <row r="232" spans="1:10" x14ac:dyDescent="0.25">
      <c r="A232" s="57">
        <f>'A) Base RI'!A234</f>
        <v>5765</v>
      </c>
      <c r="B232" s="350" t="str">
        <f>'A) Base RI'!B234</f>
        <v>Vaulion</v>
      </c>
      <c r="C232" s="109">
        <f>'B) D RI'!U234</f>
        <v>10199.027160493826</v>
      </c>
      <c r="D232" s="126">
        <f>'E) Fact soc'!G238/C232</f>
        <v>17.039619083558211</v>
      </c>
      <c r="E232" s="154">
        <f>'H) Péréquation directe'!I243/C232</f>
        <v>-17.225330344528277</v>
      </c>
      <c r="F232" s="126">
        <f>'I) Dépenses thématiques'!P232</f>
        <v>-11.088062407492094</v>
      </c>
      <c r="G232" s="154">
        <f t="shared" si="13"/>
        <v>-11.273773668462161</v>
      </c>
      <c r="H232" s="365">
        <f t="shared" si="14"/>
        <v>0</v>
      </c>
      <c r="I232" s="66">
        <f t="shared" si="15"/>
        <v>0</v>
      </c>
      <c r="J232" s="41">
        <f t="shared" si="16"/>
        <v>-11.273773668462161</v>
      </c>
    </row>
    <row r="233" spans="1:10" x14ac:dyDescent="0.25">
      <c r="A233" s="57">
        <f>'A) Base RI'!A235</f>
        <v>5766</v>
      </c>
      <c r="B233" s="350" t="str">
        <f>'A) Base RI'!B235</f>
        <v>Vuiteboeuf</v>
      </c>
      <c r="C233" s="109">
        <f>'B) D RI'!U235</f>
        <v>13023.960575139146</v>
      </c>
      <c r="D233" s="126">
        <f>'E) Fact soc'!G239/C233</f>
        <v>17.293655019596198</v>
      </c>
      <c r="E233" s="154">
        <f>'H) Péréquation directe'!I244/C233</f>
        <v>-7.4930361778012822</v>
      </c>
      <c r="F233" s="126">
        <f>'I) Dépenses thématiques'!P233</f>
        <v>-8.7033139224619784</v>
      </c>
      <c r="G233" s="154">
        <f t="shared" si="13"/>
        <v>1.0973049193329363</v>
      </c>
      <c r="H233" s="365">
        <f t="shared" si="14"/>
        <v>0</v>
      </c>
      <c r="I233" s="66">
        <f t="shared" si="15"/>
        <v>0</v>
      </c>
      <c r="J233" s="41">
        <f t="shared" si="16"/>
        <v>1.0973049193329363</v>
      </c>
    </row>
    <row r="234" spans="1:10" x14ac:dyDescent="0.25">
      <c r="A234" s="57">
        <f>'A) Base RI'!A236</f>
        <v>5785</v>
      </c>
      <c r="B234" s="350" t="str">
        <f>'A) Base RI'!B236</f>
        <v>Corcelles-le-Jorat</v>
      </c>
      <c r="C234" s="109">
        <f>'B) D RI'!U236</f>
        <v>12275.22831168831</v>
      </c>
      <c r="D234" s="126">
        <f>'E) Fact soc'!G240/C234</f>
        <v>16.726482815115038</v>
      </c>
      <c r="E234" s="154">
        <f>'H) Péréquation directe'!I245/C234</f>
        <v>1.9454769680610591</v>
      </c>
      <c r="F234" s="126">
        <f>'I) Dépenses thématiques'!P234</f>
        <v>-5.5487222298237935</v>
      </c>
      <c r="G234" s="154">
        <f t="shared" si="13"/>
        <v>13.123237553352302</v>
      </c>
      <c r="H234" s="365">
        <f t="shared" si="14"/>
        <v>0</v>
      </c>
      <c r="I234" s="66">
        <f t="shared" si="15"/>
        <v>0</v>
      </c>
      <c r="J234" s="41">
        <f t="shared" si="16"/>
        <v>13.123237553352302</v>
      </c>
    </row>
    <row r="235" spans="1:10" x14ac:dyDescent="0.25">
      <c r="A235" s="57">
        <f>'A) Base RI'!A237</f>
        <v>5788</v>
      </c>
      <c r="B235" s="350" t="str">
        <f>'A) Base RI'!B237</f>
        <v>Essertes</v>
      </c>
      <c r="C235" s="109">
        <f>'B) D RI'!U237</f>
        <v>9663.2152777777756</v>
      </c>
      <c r="D235" s="126">
        <f>'E) Fact soc'!G241/C235</f>
        <v>16.536591039687298</v>
      </c>
      <c r="E235" s="154">
        <f>'H) Péréquation directe'!I246/C235</f>
        <v>3.5886617081618897</v>
      </c>
      <c r="F235" s="126">
        <f>'I) Dépenses thématiques'!P235</f>
        <v>-0.23960770702464948</v>
      </c>
      <c r="G235" s="154">
        <f t="shared" si="13"/>
        <v>19.885645040824539</v>
      </c>
      <c r="H235" s="365">
        <f t="shared" si="14"/>
        <v>0</v>
      </c>
      <c r="I235" s="66">
        <f t="shared" si="15"/>
        <v>0</v>
      </c>
      <c r="J235" s="41">
        <f t="shared" si="16"/>
        <v>19.885645040824539</v>
      </c>
    </row>
    <row r="236" spans="1:10" x14ac:dyDescent="0.25">
      <c r="A236" s="57">
        <f>'A) Base RI'!A238</f>
        <v>5790</v>
      </c>
      <c r="B236" s="350" t="str">
        <f>'A) Base RI'!B238</f>
        <v>Maracon</v>
      </c>
      <c r="C236" s="109">
        <f>'B) D RI'!U238</f>
        <v>12077.747368421051</v>
      </c>
      <c r="D236" s="126">
        <f>'E) Fact soc'!G242/C236</f>
        <v>17.613405450662672</v>
      </c>
      <c r="E236" s="154">
        <f>'H) Péréquation directe'!I247/C236</f>
        <v>-0.62387835980873396</v>
      </c>
      <c r="F236" s="126">
        <f>'I) Dépenses thématiques'!P236</f>
        <v>-5.2653499201227509</v>
      </c>
      <c r="G236" s="154">
        <f t="shared" si="13"/>
        <v>11.724177170731185</v>
      </c>
      <c r="H236" s="365">
        <f t="shared" si="14"/>
        <v>0</v>
      </c>
      <c r="I236" s="66">
        <f t="shared" si="15"/>
        <v>0</v>
      </c>
      <c r="J236" s="41">
        <f t="shared" si="16"/>
        <v>11.724177170731185</v>
      </c>
    </row>
    <row r="237" spans="1:10" x14ac:dyDescent="0.25">
      <c r="A237" s="57">
        <f>'A) Base RI'!A239</f>
        <v>5792</v>
      </c>
      <c r="B237" s="350" t="str">
        <f>'A) Base RI'!B239</f>
        <v>Montpreveyres</v>
      </c>
      <c r="C237" s="109">
        <f>'B) D RI'!U239</f>
        <v>15670.869999999999</v>
      </c>
      <c r="D237" s="126">
        <f>'E) Fact soc'!G243/C237</f>
        <v>19.417677357585291</v>
      </c>
      <c r="E237" s="154">
        <f>'H) Péréquation directe'!I248/C237</f>
        <v>-3.9098507465008012</v>
      </c>
      <c r="F237" s="126">
        <f>'I) Dépenses thématiques'!P237</f>
        <v>-13.492325781501005</v>
      </c>
      <c r="G237" s="154">
        <f t="shared" si="13"/>
        <v>2.015500829583484</v>
      </c>
      <c r="H237" s="365">
        <f t="shared" si="14"/>
        <v>0</v>
      </c>
      <c r="I237" s="66">
        <f t="shared" si="15"/>
        <v>0</v>
      </c>
      <c r="J237" s="41">
        <f t="shared" si="16"/>
        <v>2.015500829583484</v>
      </c>
    </row>
    <row r="238" spans="1:10" x14ac:dyDescent="0.25">
      <c r="A238" s="57">
        <f>'A) Base RI'!A240</f>
        <v>5798</v>
      </c>
      <c r="B238" s="350" t="str">
        <f>'A) Base RI'!B240</f>
        <v>Ropraz</v>
      </c>
      <c r="C238" s="109">
        <f>'B) D RI'!U240</f>
        <v>10971.989935483871</v>
      </c>
      <c r="D238" s="126">
        <f>'E) Fact soc'!G244/C238</f>
        <v>17.042263097360994</v>
      </c>
      <c r="E238" s="154">
        <f>'H) Péréquation directe'!I249/C238</f>
        <v>-4.5007997052436597</v>
      </c>
      <c r="F238" s="126">
        <f>'I) Dépenses thématiques'!P238</f>
        <v>-1.2432288159783684</v>
      </c>
      <c r="G238" s="154">
        <f t="shared" si="13"/>
        <v>11.298234576138967</v>
      </c>
      <c r="H238" s="365">
        <f t="shared" si="14"/>
        <v>0</v>
      </c>
      <c r="I238" s="66">
        <f t="shared" si="15"/>
        <v>0</v>
      </c>
      <c r="J238" s="41">
        <f t="shared" si="16"/>
        <v>11.298234576138967</v>
      </c>
    </row>
    <row r="239" spans="1:10" x14ac:dyDescent="0.25">
      <c r="A239" s="57">
        <f>'A) Base RI'!A241</f>
        <v>5799</v>
      </c>
      <c r="B239" s="350" t="str">
        <f>'A) Base RI'!B241</f>
        <v>Servion</v>
      </c>
      <c r="C239" s="109">
        <f>'B) D RI'!U241</f>
        <v>60598.657971014502</v>
      </c>
      <c r="D239" s="126">
        <f>'E) Fact soc'!G245/C239</f>
        <v>17.191301886379076</v>
      </c>
      <c r="E239" s="154">
        <f>'H) Péréquation directe'!I250/C239</f>
        <v>3.7101399025316479</v>
      </c>
      <c r="F239" s="126">
        <f>'I) Dépenses thématiques'!P239</f>
        <v>-17.946653427682623</v>
      </c>
      <c r="G239" s="154">
        <f t="shared" si="13"/>
        <v>2.9547883612281005</v>
      </c>
      <c r="H239" s="365">
        <f t="shared" si="14"/>
        <v>0</v>
      </c>
      <c r="I239" s="66">
        <f t="shared" si="15"/>
        <v>0</v>
      </c>
      <c r="J239" s="41">
        <f t="shared" si="16"/>
        <v>2.9547883612281005</v>
      </c>
    </row>
    <row r="240" spans="1:10" x14ac:dyDescent="0.25">
      <c r="A240" s="57">
        <f>'A) Base RI'!A242</f>
        <v>5803</v>
      </c>
      <c r="B240" s="350" t="str">
        <f>'A) Base RI'!B242</f>
        <v>Vulliens</v>
      </c>
      <c r="C240" s="109">
        <f>'B) D RI'!U242</f>
        <v>14215.08564102564</v>
      </c>
      <c r="D240" s="126">
        <f>'E) Fact soc'!G246/C240</f>
        <v>20.653208583840506</v>
      </c>
      <c r="E240" s="154">
        <f>'H) Péréquation directe'!I251/C240</f>
        <v>3.7986167576930185</v>
      </c>
      <c r="F240" s="126">
        <f>'I) Dépenses thématiques'!P240</f>
        <v>-1.5391342011218669</v>
      </c>
      <c r="G240" s="154">
        <f t="shared" si="13"/>
        <v>22.912691140411656</v>
      </c>
      <c r="H240" s="365">
        <f t="shared" si="14"/>
        <v>0</v>
      </c>
      <c r="I240" s="66">
        <f t="shared" si="15"/>
        <v>0</v>
      </c>
      <c r="J240" s="41">
        <f t="shared" si="16"/>
        <v>22.912691140411656</v>
      </c>
    </row>
    <row r="241" spans="1:10" x14ac:dyDescent="0.25">
      <c r="A241" s="57">
        <f>'A) Base RI'!A243</f>
        <v>5804</v>
      </c>
      <c r="B241" s="350" t="str">
        <f>'A) Base RI'!B243</f>
        <v>Jorat-Menthue</v>
      </c>
      <c r="C241" s="109">
        <f>'B) D RI'!U243</f>
        <v>48554.511111111118</v>
      </c>
      <c r="D241" s="126">
        <f>'E) Fact soc'!G247/C241</f>
        <v>16.495567936293188</v>
      </c>
      <c r="E241" s="154">
        <f>'H) Péréquation directe'!I252/C241</f>
        <v>3.7701222608202007</v>
      </c>
      <c r="F241" s="126">
        <f>'I) Dépenses thématiques'!P241</f>
        <v>-6.7308852678425835</v>
      </c>
      <c r="G241" s="154">
        <f t="shared" si="13"/>
        <v>13.534804929270805</v>
      </c>
      <c r="H241" s="365">
        <f t="shared" si="14"/>
        <v>0</v>
      </c>
      <c r="I241" s="66">
        <f t="shared" si="15"/>
        <v>0</v>
      </c>
      <c r="J241" s="41">
        <f t="shared" si="16"/>
        <v>13.534804929270805</v>
      </c>
    </row>
    <row r="242" spans="1:10" x14ac:dyDescent="0.25">
      <c r="A242" s="57">
        <f>'A) Base RI'!A244</f>
        <v>5805</v>
      </c>
      <c r="B242" s="350" t="str">
        <f>'A) Base RI'!B244</f>
        <v>Oron</v>
      </c>
      <c r="C242" s="109">
        <f>'B) D RI'!U244</f>
        <v>147104.2625559947</v>
      </c>
      <c r="D242" s="126">
        <f>'E) Fact soc'!G248/C242</f>
        <v>17.992704285503528</v>
      </c>
      <c r="E242" s="154">
        <f>'H) Péréquation directe'!I253/C242</f>
        <v>-7.4291946158172495</v>
      </c>
      <c r="F242" s="126">
        <f>'I) Dépenses thématiques'!P242</f>
        <v>0</v>
      </c>
      <c r="G242" s="154">
        <f t="shared" si="13"/>
        <v>10.56350966968628</v>
      </c>
      <c r="H242" s="365">
        <f t="shared" si="14"/>
        <v>0</v>
      </c>
      <c r="I242" s="66">
        <f t="shared" si="15"/>
        <v>0</v>
      </c>
      <c r="J242" s="41">
        <f t="shared" si="16"/>
        <v>10.56350966968628</v>
      </c>
    </row>
    <row r="243" spans="1:10" x14ac:dyDescent="0.25">
      <c r="A243" s="57">
        <f>'A) Base RI'!A245</f>
        <v>5806</v>
      </c>
      <c r="B243" s="350" t="str">
        <f>'A) Base RI'!B245</f>
        <v>Jorat-Mézières</v>
      </c>
      <c r="C243" s="109">
        <f>'B) D RI'!U245</f>
        <v>90980.17</v>
      </c>
      <c r="D243" s="126">
        <f>'E) Fact soc'!G249/C243</f>
        <v>18.61746595559709</v>
      </c>
      <c r="E243" s="154">
        <f>'H) Péréquation directe'!I254/C243</f>
        <v>1.5960772094043292</v>
      </c>
      <c r="F243" s="126">
        <f>'I) Dépenses thématiques'!P243</f>
        <v>-2.9221019697894879</v>
      </c>
      <c r="G243" s="154">
        <f t="shared" si="13"/>
        <v>17.291441195211931</v>
      </c>
      <c r="H243" s="365">
        <f t="shared" si="14"/>
        <v>0</v>
      </c>
      <c r="I243" s="66">
        <f t="shared" si="15"/>
        <v>0</v>
      </c>
      <c r="J243" s="41">
        <f t="shared" si="16"/>
        <v>17.291441195211931</v>
      </c>
    </row>
    <row r="244" spans="1:10" x14ac:dyDescent="0.25">
      <c r="A244" s="57">
        <f>'A) Base RI'!A246</f>
        <v>5812</v>
      </c>
      <c r="B244" s="350" t="str">
        <f>'A) Base RI'!B246</f>
        <v>Champtauroz</v>
      </c>
      <c r="C244" s="109">
        <f>'B) D RI'!U246</f>
        <v>2326.5760389610391</v>
      </c>
      <c r="D244" s="126">
        <f>'E) Fact soc'!G250/C244</f>
        <v>19.290240667470314</v>
      </c>
      <c r="E244" s="154">
        <f>'H) Péréquation directe'!I255/C244</f>
        <v>-22.918476400154354</v>
      </c>
      <c r="F244" s="126">
        <f>'I) Dépenses thématiques'!P244</f>
        <v>-18.516701950615122</v>
      </c>
      <c r="G244" s="154">
        <f t="shared" si="13"/>
        <v>-22.144937683299162</v>
      </c>
      <c r="H244" s="365">
        <f t="shared" si="14"/>
        <v>0</v>
      </c>
      <c r="I244" s="66">
        <f t="shared" si="15"/>
        <v>0</v>
      </c>
      <c r="J244" s="41">
        <f t="shared" si="16"/>
        <v>-22.144937683299162</v>
      </c>
    </row>
    <row r="245" spans="1:10" x14ac:dyDescent="0.25">
      <c r="A245" s="57">
        <f>'A) Base RI'!A247</f>
        <v>5813</v>
      </c>
      <c r="B245" s="350" t="str">
        <f>'A) Base RI'!B247</f>
        <v>Chevroux</v>
      </c>
      <c r="C245" s="109">
        <f>'B) D RI'!U247</f>
        <v>11503.329976190478</v>
      </c>
      <c r="D245" s="126">
        <f>'E) Fact soc'!G251/C245</f>
        <v>17.920404871426037</v>
      </c>
      <c r="E245" s="154">
        <f>'H) Péréquation directe'!I256/C245</f>
        <v>0.19715323573815383</v>
      </c>
      <c r="F245" s="126">
        <f>'I) Dépenses thématiques'!P245</f>
        <v>-3.2405051745794653</v>
      </c>
      <c r="G245" s="154">
        <f t="shared" si="13"/>
        <v>14.877052932584725</v>
      </c>
      <c r="H245" s="365">
        <f t="shared" si="14"/>
        <v>0</v>
      </c>
      <c r="I245" s="66">
        <f t="shared" si="15"/>
        <v>0</v>
      </c>
      <c r="J245" s="41">
        <f t="shared" si="16"/>
        <v>14.877052932584725</v>
      </c>
    </row>
    <row r="246" spans="1:10" x14ac:dyDescent="0.25">
      <c r="A246" s="57">
        <f>'A) Base RI'!A248</f>
        <v>5816</v>
      </c>
      <c r="B246" s="350" t="str">
        <f>'A) Base RI'!B248</f>
        <v>Corcelles-près-Payerne</v>
      </c>
      <c r="C246" s="109">
        <f>'B) D RI'!U248</f>
        <v>56641.066845238092</v>
      </c>
      <c r="D246" s="126">
        <f>'E) Fact soc'!G252/C246</f>
        <v>17.34658335399515</v>
      </c>
      <c r="E246" s="154">
        <f>'H) Péréquation directe'!I257/C246</f>
        <v>-10.321387457399277</v>
      </c>
      <c r="F246" s="126">
        <f>'I) Dépenses thématiques'!P246</f>
        <v>-5.7257348413325406</v>
      </c>
      <c r="G246" s="154">
        <f t="shared" si="13"/>
        <v>1.2994610552633326</v>
      </c>
      <c r="H246" s="365">
        <f t="shared" si="14"/>
        <v>0</v>
      </c>
      <c r="I246" s="66">
        <f t="shared" si="15"/>
        <v>0</v>
      </c>
      <c r="J246" s="41">
        <f t="shared" si="16"/>
        <v>1.2994610552633326</v>
      </c>
    </row>
    <row r="247" spans="1:10" x14ac:dyDescent="0.25">
      <c r="A247" s="57">
        <f>'A) Base RI'!A249</f>
        <v>5817</v>
      </c>
      <c r="B247" s="350" t="str">
        <f>'A) Base RI'!B249</f>
        <v>Grandcour</v>
      </c>
      <c r="C247" s="109">
        <f>'B) D RI'!U249</f>
        <v>20990.550314465407</v>
      </c>
      <c r="D247" s="126">
        <f>'E) Fact soc'!G253/C247</f>
        <v>16.939983529264243</v>
      </c>
      <c r="E247" s="154">
        <f>'H) Péréquation directe'!I258/C247</f>
        <v>-8.2948770425314624</v>
      </c>
      <c r="F247" s="126">
        <f>'I) Dépenses thématiques'!P247</f>
        <v>-5.0089743382083434</v>
      </c>
      <c r="G247" s="154">
        <f t="shared" si="13"/>
        <v>3.6361321485244371</v>
      </c>
      <c r="H247" s="365">
        <f t="shared" si="14"/>
        <v>0</v>
      </c>
      <c r="I247" s="66">
        <f t="shared" si="15"/>
        <v>0</v>
      </c>
      <c r="J247" s="41">
        <f t="shared" si="16"/>
        <v>3.6361321485244371</v>
      </c>
    </row>
    <row r="248" spans="1:10" x14ac:dyDescent="0.25">
      <c r="A248" s="57">
        <f>'A) Base RI'!A250</f>
        <v>5819</v>
      </c>
      <c r="B248" s="350" t="str">
        <f>'A) Base RI'!B250</f>
        <v>Henniez</v>
      </c>
      <c r="C248" s="109">
        <f>'B) D RI'!U250</f>
        <v>14949.743880597016</v>
      </c>
      <c r="D248" s="126">
        <f>'E) Fact soc'!G254/C248</f>
        <v>16.720976621342569</v>
      </c>
      <c r="E248" s="154">
        <f>'H) Péréquation directe'!I259/C248</f>
        <v>16.140087115956362</v>
      </c>
      <c r="F248" s="126">
        <f>'I) Dépenses thématiques'!P248</f>
        <v>-2.0485893088532712</v>
      </c>
      <c r="G248" s="154">
        <f t="shared" si="13"/>
        <v>30.812474428445665</v>
      </c>
      <c r="H248" s="365">
        <f t="shared" si="14"/>
        <v>0</v>
      </c>
      <c r="I248" s="66">
        <f t="shared" si="15"/>
        <v>0</v>
      </c>
      <c r="J248" s="41">
        <f t="shared" si="16"/>
        <v>30.812474428445665</v>
      </c>
    </row>
    <row r="249" spans="1:10" x14ac:dyDescent="0.25">
      <c r="A249" s="57">
        <f>'A) Base RI'!A251</f>
        <v>5821</v>
      </c>
      <c r="B249" s="350" t="str">
        <f>'A) Base RI'!B251</f>
        <v>Missy</v>
      </c>
      <c r="C249" s="109">
        <f>'B) D RI'!U251</f>
        <v>7776.2584722222218</v>
      </c>
      <c r="D249" s="126">
        <f>'E) Fact soc'!G255/C249</f>
        <v>17.598990032269665</v>
      </c>
      <c r="E249" s="154">
        <f>'H) Péréquation directe'!I260/C249</f>
        <v>-8.5816951378123498</v>
      </c>
      <c r="F249" s="126">
        <f>'I) Dépenses thématiques'!P249</f>
        <v>-7.1259002603531147</v>
      </c>
      <c r="G249" s="154">
        <f t="shared" si="13"/>
        <v>1.8913946341042003</v>
      </c>
      <c r="H249" s="365">
        <f t="shared" si="14"/>
        <v>0</v>
      </c>
      <c r="I249" s="66">
        <f t="shared" si="15"/>
        <v>0</v>
      </c>
      <c r="J249" s="41">
        <f t="shared" si="16"/>
        <v>1.8913946341042003</v>
      </c>
    </row>
    <row r="250" spans="1:10" x14ac:dyDescent="0.25">
      <c r="A250" s="57">
        <f>'A) Base RI'!A252</f>
        <v>5822</v>
      </c>
      <c r="B250" s="350" t="str">
        <f>'A) Base RI'!B252</f>
        <v>Payerne</v>
      </c>
      <c r="C250" s="109">
        <f>'B) D RI'!U252</f>
        <v>231493.6713333333</v>
      </c>
      <c r="D250" s="126">
        <f>'E) Fact soc'!G256/C250</f>
        <v>18.338161787268881</v>
      </c>
      <c r="E250" s="154">
        <f>'H) Péréquation directe'!I261/C250</f>
        <v>-18.575167274079487</v>
      </c>
      <c r="F250" s="126">
        <f>'I) Dépenses thématiques'!P250</f>
        <v>-5.6183526874246796</v>
      </c>
      <c r="G250" s="154">
        <f t="shared" si="13"/>
        <v>-5.8553581742352856</v>
      </c>
      <c r="H250" s="365">
        <f t="shared" si="14"/>
        <v>0</v>
      </c>
      <c r="I250" s="66">
        <f t="shared" si="15"/>
        <v>0</v>
      </c>
      <c r="J250" s="41">
        <f t="shared" si="16"/>
        <v>-5.8553581742352856</v>
      </c>
    </row>
    <row r="251" spans="1:10" x14ac:dyDescent="0.25">
      <c r="A251" s="57">
        <f>'A) Base RI'!A253</f>
        <v>5827</v>
      </c>
      <c r="B251" s="350" t="str">
        <f>'A) Base RI'!B253</f>
        <v>Trey</v>
      </c>
      <c r="C251" s="109">
        <f>'B) D RI'!U253</f>
        <v>6204.9173749999991</v>
      </c>
      <c r="D251" s="126">
        <f>'E) Fact soc'!G257/C251</f>
        <v>21.017071561438389</v>
      </c>
      <c r="E251" s="154">
        <f>'H) Péréquation directe'!I262/C251</f>
        <v>-8.2586314648404873</v>
      </c>
      <c r="F251" s="126">
        <f>'I) Dépenses thématiques'!P251</f>
        <v>-7.8345127750978314</v>
      </c>
      <c r="G251" s="154">
        <f t="shared" si="13"/>
        <v>4.9239273215000701</v>
      </c>
      <c r="H251" s="365">
        <f t="shared" si="14"/>
        <v>0</v>
      </c>
      <c r="I251" s="66">
        <f t="shared" si="15"/>
        <v>0</v>
      </c>
      <c r="J251" s="41">
        <f t="shared" si="16"/>
        <v>4.9239273215000701</v>
      </c>
    </row>
    <row r="252" spans="1:10" x14ac:dyDescent="0.25">
      <c r="A252" s="57">
        <f>'A) Base RI'!A254</f>
        <v>5828</v>
      </c>
      <c r="B252" s="350" t="str">
        <f>'A) Base RI'!B254</f>
        <v>Treytorrens (Payerne)</v>
      </c>
      <c r="C252" s="109">
        <f>'B) D RI'!U254</f>
        <v>2352.5354761904764</v>
      </c>
      <c r="D252" s="126">
        <f>'E) Fact soc'!G258/C252</f>
        <v>17.306369849353363</v>
      </c>
      <c r="E252" s="154">
        <f>'H) Péréquation directe'!I263/C252</f>
        <v>-29.539519863243797</v>
      </c>
      <c r="F252" s="126">
        <f>'I) Dépenses thématiques'!P252</f>
        <v>-19.863222924635537</v>
      </c>
      <c r="G252" s="154">
        <f t="shared" si="13"/>
        <v>-32.096372938525974</v>
      </c>
      <c r="H252" s="365">
        <f t="shared" si="14"/>
        <v>0</v>
      </c>
      <c r="I252" s="66">
        <f t="shared" si="15"/>
        <v>0</v>
      </c>
      <c r="J252" s="41">
        <f t="shared" si="16"/>
        <v>-32.096372938525974</v>
      </c>
    </row>
    <row r="253" spans="1:10" x14ac:dyDescent="0.25">
      <c r="A253" s="57">
        <f>'A) Base RI'!A255</f>
        <v>5830</v>
      </c>
      <c r="B253" s="350" t="str">
        <f>'A) Base RI'!B255</f>
        <v>Villarzel</v>
      </c>
      <c r="C253" s="109">
        <f>'B) D RI'!U255</f>
        <v>9737.3892405063307</v>
      </c>
      <c r="D253" s="126">
        <f>'E) Fact soc'!G259/C253</f>
        <v>18.055206782276297</v>
      </c>
      <c r="E253" s="154">
        <f>'H) Péréquation directe'!I264/C253</f>
        <v>-9.7014416788656437</v>
      </c>
      <c r="F253" s="126">
        <f>'I) Dépenses thématiques'!P253</f>
        <v>-10.317263664978165</v>
      </c>
      <c r="G253" s="154">
        <f t="shared" si="13"/>
        <v>-1.963498561567512</v>
      </c>
      <c r="H253" s="365">
        <f t="shared" si="14"/>
        <v>0</v>
      </c>
      <c r="I253" s="66">
        <f t="shared" si="15"/>
        <v>0</v>
      </c>
      <c r="J253" s="41">
        <f t="shared" si="16"/>
        <v>-1.963498561567512</v>
      </c>
    </row>
    <row r="254" spans="1:10" x14ac:dyDescent="0.25">
      <c r="A254" s="57">
        <f>'A) Base RI'!A256</f>
        <v>5831</v>
      </c>
      <c r="B254" s="350" t="str">
        <f>'A) Base RI'!B256</f>
        <v>Valbroye</v>
      </c>
      <c r="C254" s="109">
        <f>'B) D RI'!U256</f>
        <v>75142.69210045661</v>
      </c>
      <c r="D254" s="126">
        <f>'E) Fact soc'!G260/C254</f>
        <v>17.385225726594967</v>
      </c>
      <c r="E254" s="154">
        <f>'H) Péréquation directe'!I265/C254</f>
        <v>-8.4286952267840771</v>
      </c>
      <c r="F254" s="126">
        <f>'I) Dépenses thématiques'!P254</f>
        <v>-10.415451986277667</v>
      </c>
      <c r="G254" s="154">
        <f t="shared" si="13"/>
        <v>-1.4589214864667763</v>
      </c>
      <c r="H254" s="365">
        <f t="shared" si="14"/>
        <v>0</v>
      </c>
      <c r="I254" s="66">
        <f t="shared" si="15"/>
        <v>0</v>
      </c>
      <c r="J254" s="41">
        <f t="shared" si="16"/>
        <v>-1.4589214864667763</v>
      </c>
    </row>
    <row r="255" spans="1:10" x14ac:dyDescent="0.25">
      <c r="A255" s="57">
        <f>'A) Base RI'!A257</f>
        <v>5841</v>
      </c>
      <c r="B255" s="350" t="str">
        <f>'A) Base RI'!B257</f>
        <v>Château-d'Oex</v>
      </c>
      <c r="C255" s="109">
        <f>'B) D RI'!U257</f>
        <v>106457.35927710844</v>
      </c>
      <c r="D255" s="126">
        <f>'E) Fact soc'!G261/C255</f>
        <v>20.60221501054053</v>
      </c>
      <c r="E255" s="154">
        <f>'H) Péréquation directe'!I266/C255</f>
        <v>-3.9944108898196049</v>
      </c>
      <c r="F255" s="126">
        <f>'I) Dépenses thématiques'!P255</f>
        <v>-18.259211911150789</v>
      </c>
      <c r="G255" s="154">
        <f t="shared" si="13"/>
        <v>-1.6514077904298645</v>
      </c>
      <c r="H255" s="365">
        <f t="shared" si="14"/>
        <v>0</v>
      </c>
      <c r="I255" s="66">
        <f t="shared" si="15"/>
        <v>0</v>
      </c>
      <c r="J255" s="41">
        <f t="shared" si="16"/>
        <v>-1.6514077904298645</v>
      </c>
    </row>
    <row r="256" spans="1:10" x14ac:dyDescent="0.25">
      <c r="A256" s="57">
        <f>'A) Base RI'!A258</f>
        <v>5842</v>
      </c>
      <c r="B256" s="350" t="str">
        <f>'A) Base RI'!B258</f>
        <v>Rossinière</v>
      </c>
      <c r="C256" s="109">
        <f>'B) D RI'!U258</f>
        <v>13519.399629629628</v>
      </c>
      <c r="D256" s="126">
        <f>'E) Fact soc'!G262/C256</f>
        <v>22.989376310173643</v>
      </c>
      <c r="E256" s="154">
        <f>'H) Péréquation directe'!I267/C256</f>
        <v>-6.8891241530326717</v>
      </c>
      <c r="F256" s="126">
        <f>'I) Dépenses thématiques'!P256</f>
        <v>-14.917724676514968</v>
      </c>
      <c r="G256" s="154">
        <f t="shared" si="13"/>
        <v>1.1825274806260033</v>
      </c>
      <c r="H256" s="365">
        <f t="shared" si="14"/>
        <v>0</v>
      </c>
      <c r="I256" s="66">
        <f t="shared" si="15"/>
        <v>0</v>
      </c>
      <c r="J256" s="41">
        <f t="shared" si="16"/>
        <v>1.1825274806260033</v>
      </c>
    </row>
    <row r="257" spans="1:10" x14ac:dyDescent="0.25">
      <c r="A257" s="57">
        <f>'A) Base RI'!A259</f>
        <v>5843</v>
      </c>
      <c r="B257" s="350" t="str">
        <f>'A) Base RI'!B259</f>
        <v>Rougemont</v>
      </c>
      <c r="C257" s="109">
        <f>'B) D RI'!U259</f>
        <v>88213.430628019312</v>
      </c>
      <c r="D257" s="126">
        <f>'E) Fact soc'!G263/C257</f>
        <v>36.410938269558422</v>
      </c>
      <c r="E257" s="154">
        <f>'H) Péréquation directe'!I268/C257</f>
        <v>16.008758048780482</v>
      </c>
      <c r="F257" s="126">
        <f>'I) Dépenses thématiques'!P257</f>
        <v>-11.156154366813825</v>
      </c>
      <c r="G257" s="154">
        <f t="shared" si="13"/>
        <v>41.263541951525085</v>
      </c>
      <c r="H257" s="365">
        <f t="shared" si="14"/>
        <v>0</v>
      </c>
      <c r="I257" s="66">
        <f t="shared" si="15"/>
        <v>0</v>
      </c>
      <c r="J257" s="41">
        <f t="shared" si="16"/>
        <v>41.263541951525085</v>
      </c>
    </row>
    <row r="258" spans="1:10" x14ac:dyDescent="0.25">
      <c r="A258" s="57">
        <f>'A) Base RI'!A260</f>
        <v>5851</v>
      </c>
      <c r="B258" s="350" t="str">
        <f>'A) Base RI'!B260</f>
        <v>Allaman</v>
      </c>
      <c r="C258" s="109">
        <f>'B) D RI'!U260</f>
        <v>26900.629237536661</v>
      </c>
      <c r="D258" s="126">
        <f>'E) Fact soc'!G264/C258</f>
        <v>33.791491792704498</v>
      </c>
      <c r="E258" s="154">
        <f>'H) Péréquation directe'!I269/C258</f>
        <v>16.878065485700052</v>
      </c>
      <c r="F258" s="126">
        <f>'I) Dépenses thématiques'!P258</f>
        <v>0</v>
      </c>
      <c r="G258" s="154">
        <f t="shared" si="13"/>
        <v>50.669557278404554</v>
      </c>
      <c r="H258" s="365">
        <f t="shared" si="14"/>
        <v>-5.6695572784045538</v>
      </c>
      <c r="I258" s="66">
        <f t="shared" si="15"/>
        <v>-152514.65828733833</v>
      </c>
      <c r="J258" s="41">
        <f t="shared" si="16"/>
        <v>45</v>
      </c>
    </row>
    <row r="259" spans="1:10" x14ac:dyDescent="0.25">
      <c r="A259" s="57">
        <f>'A) Base RI'!A261</f>
        <v>5852</v>
      </c>
      <c r="B259" s="350" t="str">
        <f>'A) Base RI'!B261</f>
        <v>Bursinel</v>
      </c>
      <c r="C259" s="109">
        <f>'B) D RI'!U261</f>
        <v>29922.291297709922</v>
      </c>
      <c r="D259" s="126">
        <f>'E) Fact soc'!G265/C259</f>
        <v>17.608480089070913</v>
      </c>
      <c r="E259" s="154">
        <f>'H) Péréquation directe'!I270/C259</f>
        <v>16.891630081537201</v>
      </c>
      <c r="F259" s="126">
        <f>'I) Dépenses thématiques'!P259</f>
        <v>-1.1515203355358217</v>
      </c>
      <c r="G259" s="154">
        <f t="shared" si="13"/>
        <v>33.348589835072289</v>
      </c>
      <c r="H259" s="365">
        <f t="shared" si="14"/>
        <v>0</v>
      </c>
      <c r="I259" s="66">
        <f t="shared" si="15"/>
        <v>0</v>
      </c>
      <c r="J259" s="41">
        <f t="shared" si="16"/>
        <v>33.348589835072289</v>
      </c>
    </row>
    <row r="260" spans="1:10" x14ac:dyDescent="0.25">
      <c r="A260" s="57">
        <f>'A) Base RI'!A262</f>
        <v>5853</v>
      </c>
      <c r="B260" s="350" t="str">
        <f>'A) Base RI'!B262</f>
        <v>Bursins</v>
      </c>
      <c r="C260" s="109">
        <f>'B) D RI'!U262</f>
        <v>40543.223380281692</v>
      </c>
      <c r="D260" s="126">
        <f>'E) Fact soc'!G266/C260</f>
        <v>19.815300069197932</v>
      </c>
      <c r="E260" s="154">
        <f>'H) Péréquation directe'!I271/C260</f>
        <v>16.943902865492319</v>
      </c>
      <c r="F260" s="126">
        <f>'I) Dépenses thématiques'!P260</f>
        <v>-0.82478418378143648</v>
      </c>
      <c r="G260" s="154">
        <f t="shared" si="13"/>
        <v>35.934418750908812</v>
      </c>
      <c r="H260" s="365">
        <f t="shared" si="14"/>
        <v>0</v>
      </c>
      <c r="I260" s="66">
        <f t="shared" si="15"/>
        <v>0</v>
      </c>
      <c r="J260" s="41">
        <f t="shared" si="16"/>
        <v>35.934418750908812</v>
      </c>
    </row>
    <row r="261" spans="1:10" x14ac:dyDescent="0.25">
      <c r="A261" s="57">
        <f>'A) Base RI'!A263</f>
        <v>5854</v>
      </c>
      <c r="B261" s="350" t="str">
        <f>'A) Base RI'!B263</f>
        <v>Burtigny</v>
      </c>
      <c r="C261" s="109">
        <f>'B) D RI'!U263</f>
        <v>10577.787833333332</v>
      </c>
      <c r="D261" s="126">
        <f>'E) Fact soc'!G267/C261</f>
        <v>17.681858899572788</v>
      </c>
      <c r="E261" s="154">
        <f>'H) Péréquation directe'!I272/C261</f>
        <v>1.735009100279149</v>
      </c>
      <c r="F261" s="126">
        <f>'I) Dépenses thématiques'!P261</f>
        <v>-2.7396030784513608</v>
      </c>
      <c r="G261" s="154">
        <f t="shared" si="13"/>
        <v>16.677264921400578</v>
      </c>
      <c r="H261" s="365">
        <f t="shared" si="14"/>
        <v>0</v>
      </c>
      <c r="I261" s="66">
        <f t="shared" si="15"/>
        <v>0</v>
      </c>
      <c r="J261" s="41">
        <f t="shared" si="16"/>
        <v>16.677264921400578</v>
      </c>
    </row>
    <row r="262" spans="1:10" x14ac:dyDescent="0.25">
      <c r="A262" s="57">
        <f>'A) Base RI'!A264</f>
        <v>5855</v>
      </c>
      <c r="B262" s="350" t="str">
        <f>'A) Base RI'!B264</f>
        <v>Dully</v>
      </c>
      <c r="C262" s="109">
        <f>'B) D RI'!U264</f>
        <v>79387.772653061227</v>
      </c>
      <c r="D262" s="126">
        <f>'E) Fact soc'!G268/C262</f>
        <v>32.08366602043921</v>
      </c>
      <c r="E262" s="154">
        <f>'H) Péréquation directe'!I273/C262</f>
        <v>15.48686174520153</v>
      </c>
      <c r="F262" s="126">
        <f>'I) Dépenses thématiques'!P262</f>
        <v>0</v>
      </c>
      <c r="G262" s="154">
        <f t="shared" ref="G262:G313" si="17">SUM(D262:F262)</f>
        <v>47.57052776564074</v>
      </c>
      <c r="H262" s="365">
        <f t="shared" ref="H262:H313" si="18">IF(G262&gt;H$4,H$4-G262,0)</f>
        <v>-2.5705277656407404</v>
      </c>
      <c r="I262" s="66">
        <f t="shared" ref="I262:I313" si="19">H262*C262</f>
        <v>-204068.47385706854</v>
      </c>
      <c r="J262" s="41">
        <f t="shared" ref="J262:J313" si="20">G262+H262</f>
        <v>45</v>
      </c>
    </row>
    <row r="263" spans="1:10" x14ac:dyDescent="0.25">
      <c r="A263" s="57">
        <f>'A) Base RI'!A265</f>
        <v>5856</v>
      </c>
      <c r="B263" s="350" t="str">
        <f>'A) Base RI'!B265</f>
        <v>Essertines-sur-Rolle</v>
      </c>
      <c r="C263" s="109">
        <f>'B) D RI'!U265</f>
        <v>31862.802285067875</v>
      </c>
      <c r="D263" s="126">
        <f>'E) Fact soc'!G269/C263</f>
        <v>16.919351270047564</v>
      </c>
      <c r="E263" s="154">
        <f>'H) Péréquation directe'!I274/C263</f>
        <v>16.656128706768644</v>
      </c>
      <c r="F263" s="126">
        <f>'I) Dépenses thématiques'!P263</f>
        <v>0</v>
      </c>
      <c r="G263" s="154">
        <f t="shared" si="17"/>
        <v>33.575479976816212</v>
      </c>
      <c r="H263" s="365">
        <f t="shared" si="18"/>
        <v>0</v>
      </c>
      <c r="I263" s="66">
        <f t="shared" si="19"/>
        <v>0</v>
      </c>
      <c r="J263" s="41">
        <f t="shared" si="20"/>
        <v>33.575479976816212</v>
      </c>
    </row>
    <row r="264" spans="1:10" x14ac:dyDescent="0.25">
      <c r="A264" s="57">
        <f>'A) Base RI'!A266</f>
        <v>5857</v>
      </c>
      <c r="B264" s="350" t="str">
        <f>'A) Base RI'!B266</f>
        <v>Gilly</v>
      </c>
      <c r="C264" s="109">
        <f>'B) D RI'!U266</f>
        <v>62540.44560606061</v>
      </c>
      <c r="D264" s="126">
        <f>'E) Fact soc'!G270/C264</f>
        <v>23.346562906248899</v>
      </c>
      <c r="E264" s="154">
        <f>'H) Péréquation directe'!I275/C264</f>
        <v>15.961151508754329</v>
      </c>
      <c r="F264" s="126">
        <f>'I) Dépenses thématiques'!P264</f>
        <v>0</v>
      </c>
      <c r="G264" s="154">
        <f t="shared" si="17"/>
        <v>39.307714415003225</v>
      </c>
      <c r="H264" s="365">
        <f t="shared" si="18"/>
        <v>0</v>
      </c>
      <c r="I264" s="66">
        <f t="shared" si="19"/>
        <v>0</v>
      </c>
      <c r="J264" s="41">
        <f t="shared" si="20"/>
        <v>39.307714415003225</v>
      </c>
    </row>
    <row r="265" spans="1:10" x14ac:dyDescent="0.25">
      <c r="A265" s="57">
        <f>'A) Base RI'!A267</f>
        <v>5858</v>
      </c>
      <c r="B265" s="350" t="str">
        <f>'A) Base RI'!B267</f>
        <v>Luins</v>
      </c>
      <c r="C265" s="109">
        <f>'B) D RI'!U267</f>
        <v>35045.301944444444</v>
      </c>
      <c r="D265" s="126">
        <f>'E) Fact soc'!G271/C265</f>
        <v>15.194451628656909</v>
      </c>
      <c r="E265" s="154">
        <f>'H) Péréquation directe'!I276/C265</f>
        <v>17.039061124144713</v>
      </c>
      <c r="F265" s="126">
        <f>'I) Dépenses thématiques'!P265</f>
        <v>0</v>
      </c>
      <c r="G265" s="154">
        <f t="shared" si="17"/>
        <v>32.233512752801623</v>
      </c>
      <c r="H265" s="365">
        <f t="shared" si="18"/>
        <v>0</v>
      </c>
      <c r="I265" s="66">
        <f t="shared" si="19"/>
        <v>0</v>
      </c>
      <c r="J265" s="41">
        <f t="shared" si="20"/>
        <v>32.233512752801623</v>
      </c>
    </row>
    <row r="266" spans="1:10" x14ac:dyDescent="0.25">
      <c r="A266" s="57">
        <f>'A) Base RI'!A268</f>
        <v>5859</v>
      </c>
      <c r="B266" s="350" t="str">
        <f>'A) Base RI'!B268</f>
        <v>Mont-sur-Rolle</v>
      </c>
      <c r="C266" s="109">
        <f>'B) D RI'!U268</f>
        <v>130430.38093750003</v>
      </c>
      <c r="D266" s="126">
        <f>'E) Fact soc'!G272/C266</f>
        <v>17.80728639300407</v>
      </c>
      <c r="E266" s="154">
        <f>'H) Péréquation directe'!I277/C266</f>
        <v>13.658995554465699</v>
      </c>
      <c r="F266" s="126">
        <f>'I) Dépenses thématiques'!P266</f>
        <v>0</v>
      </c>
      <c r="G266" s="154">
        <f t="shared" si="17"/>
        <v>31.466281947469767</v>
      </c>
      <c r="H266" s="365">
        <f t="shared" si="18"/>
        <v>0</v>
      </c>
      <c r="I266" s="66">
        <f t="shared" si="19"/>
        <v>0</v>
      </c>
      <c r="J266" s="41">
        <f t="shared" si="20"/>
        <v>31.466281947469767</v>
      </c>
    </row>
    <row r="267" spans="1:10" x14ac:dyDescent="0.25">
      <c r="A267" s="57">
        <f>'A) Base RI'!A269</f>
        <v>5860</v>
      </c>
      <c r="B267" s="350" t="str">
        <f>'A) Base RI'!B269</f>
        <v>Perroy</v>
      </c>
      <c r="C267" s="109">
        <f>'B) D RI'!U269</f>
        <v>92749.778038461533</v>
      </c>
      <c r="D267" s="126">
        <f>'E) Fact soc'!G273/C267</f>
        <v>20.151582956251922</v>
      </c>
      <c r="E267" s="154">
        <f>'H) Péréquation directe'!I278/C267</f>
        <v>15.63856213442986</v>
      </c>
      <c r="F267" s="126">
        <f>'I) Dépenses thématiques'!P267</f>
        <v>0</v>
      </c>
      <c r="G267" s="154">
        <f t="shared" si="17"/>
        <v>35.790145090681783</v>
      </c>
      <c r="H267" s="365">
        <f t="shared" si="18"/>
        <v>0</v>
      </c>
      <c r="I267" s="66">
        <f t="shared" si="19"/>
        <v>0</v>
      </c>
      <c r="J267" s="41">
        <f t="shared" si="20"/>
        <v>35.790145090681783</v>
      </c>
    </row>
    <row r="268" spans="1:10" x14ac:dyDescent="0.25">
      <c r="A268" s="57">
        <f>'A) Base RI'!A270</f>
        <v>5861</v>
      </c>
      <c r="B268" s="350" t="str">
        <f>'A) Base RI'!B270</f>
        <v>Rolle</v>
      </c>
      <c r="C268" s="109">
        <f>'B) D RI'!U270</f>
        <v>834788.40991596645</v>
      </c>
      <c r="D268" s="126">
        <f>'E) Fact soc'!G274/C268</f>
        <v>31.456800726291164</v>
      </c>
      <c r="E268" s="154">
        <f>'H) Péréquation directe'!I279/C268</f>
        <v>13.126804488025186</v>
      </c>
      <c r="F268" s="126">
        <f>'I) Dépenses thématiques'!P268</f>
        <v>0</v>
      </c>
      <c r="G268" s="154">
        <f t="shared" si="17"/>
        <v>44.58360521431635</v>
      </c>
      <c r="H268" s="365">
        <f t="shared" si="18"/>
        <v>0</v>
      </c>
      <c r="I268" s="66">
        <f t="shared" si="19"/>
        <v>0</v>
      </c>
      <c r="J268" s="41">
        <f t="shared" si="20"/>
        <v>44.58360521431635</v>
      </c>
    </row>
    <row r="269" spans="1:10" x14ac:dyDescent="0.25">
      <c r="A269" s="57">
        <f>'A) Base RI'!A271</f>
        <v>5862</v>
      </c>
      <c r="B269" s="350" t="str">
        <f>'A) Base RI'!B271</f>
        <v>Tartegnin</v>
      </c>
      <c r="C269" s="109">
        <f>'B) D RI'!U271</f>
        <v>8301.4215873015874</v>
      </c>
      <c r="D269" s="126">
        <f>'E) Fact soc'!G275/C269</f>
        <v>18.428136251837145</v>
      </c>
      <c r="E269" s="154">
        <f>'H) Péréquation directe'!I280/C269</f>
        <v>7.8964072756946413</v>
      </c>
      <c r="F269" s="126">
        <f>'I) Dépenses thématiques'!P269</f>
        <v>0</v>
      </c>
      <c r="G269" s="154">
        <f t="shared" si="17"/>
        <v>26.324543527531787</v>
      </c>
      <c r="H269" s="365">
        <f t="shared" si="18"/>
        <v>0</v>
      </c>
      <c r="I269" s="66">
        <f t="shared" si="19"/>
        <v>0</v>
      </c>
      <c r="J269" s="41">
        <f t="shared" si="20"/>
        <v>26.324543527531787</v>
      </c>
    </row>
    <row r="270" spans="1:10" x14ac:dyDescent="0.25">
      <c r="A270" s="57">
        <f>'A) Base RI'!A272</f>
        <v>5863</v>
      </c>
      <c r="B270" s="350" t="str">
        <f>'A) Base RI'!B272</f>
        <v>Vinzel</v>
      </c>
      <c r="C270" s="109">
        <f>'B) D RI'!U272</f>
        <v>24528.370999999999</v>
      </c>
      <c r="D270" s="126">
        <f>'E) Fact soc'!G276/C270</f>
        <v>20.109266840170186</v>
      </c>
      <c r="E270" s="154">
        <f>'H) Péréquation directe'!I281/C270</f>
        <v>16.723108966086805</v>
      </c>
      <c r="F270" s="126">
        <f>'I) Dépenses thématiques'!P270</f>
        <v>0</v>
      </c>
      <c r="G270" s="154">
        <f t="shared" si="17"/>
        <v>36.832375806256991</v>
      </c>
      <c r="H270" s="365">
        <f t="shared" si="18"/>
        <v>0</v>
      </c>
      <c r="I270" s="66">
        <f t="shared" si="19"/>
        <v>0</v>
      </c>
      <c r="J270" s="41">
        <f t="shared" si="20"/>
        <v>36.832375806256991</v>
      </c>
    </row>
    <row r="271" spans="1:10" x14ac:dyDescent="0.25">
      <c r="A271" s="57">
        <f>'A) Base RI'!A273</f>
        <v>5871</v>
      </c>
      <c r="B271" s="350" t="str">
        <f>'A) Base RI'!B273</f>
        <v>L'Abbaye</v>
      </c>
      <c r="C271" s="109">
        <f>'B) D RI'!U273</f>
        <v>48996.378091415252</v>
      </c>
      <c r="D271" s="126">
        <f>'E) Fact soc'!G277/C271</f>
        <v>21.10698391888856</v>
      </c>
      <c r="E271" s="154">
        <f>'H) Péréquation directe'!I282/C271</f>
        <v>5.8356912924620561</v>
      </c>
      <c r="F271" s="126">
        <f>'I) Dépenses thématiques'!P271</f>
        <v>-4.9182559043187615</v>
      </c>
      <c r="G271" s="154">
        <f t="shared" si="17"/>
        <v>22.024419307031852</v>
      </c>
      <c r="H271" s="365">
        <f t="shared" si="18"/>
        <v>0</v>
      </c>
      <c r="I271" s="66">
        <f t="shared" si="19"/>
        <v>0</v>
      </c>
      <c r="J271" s="41">
        <f t="shared" si="20"/>
        <v>22.024419307031852</v>
      </c>
    </row>
    <row r="272" spans="1:10" x14ac:dyDescent="0.25">
      <c r="A272" s="57">
        <f>'A) Base RI'!A274</f>
        <v>5872</v>
      </c>
      <c r="B272" s="350" t="str">
        <f>'A) Base RI'!B274</f>
        <v>Le Chenit</v>
      </c>
      <c r="C272" s="109">
        <f>'B) D RI'!U274</f>
        <v>315523.99059233442</v>
      </c>
      <c r="D272" s="126">
        <f>'E) Fact soc'!G278/C272</f>
        <v>24.718662584610829</v>
      </c>
      <c r="E272" s="154">
        <f>'H) Péréquation directe'!I283/C272</f>
        <v>13.173958248691568</v>
      </c>
      <c r="F272" s="126">
        <f>'I) Dépenses thématiques'!P272</f>
        <v>-4.1162368675760321</v>
      </c>
      <c r="G272" s="154">
        <f t="shared" si="17"/>
        <v>33.77638396572636</v>
      </c>
      <c r="H272" s="365">
        <f t="shared" si="18"/>
        <v>0</v>
      </c>
      <c r="I272" s="66">
        <f t="shared" si="19"/>
        <v>0</v>
      </c>
      <c r="J272" s="41">
        <f t="shared" si="20"/>
        <v>33.77638396572636</v>
      </c>
    </row>
    <row r="273" spans="1:10" x14ac:dyDescent="0.25">
      <c r="A273" s="57">
        <f>'A) Base RI'!A275</f>
        <v>5873</v>
      </c>
      <c r="B273" s="350" t="str">
        <f>'A) Base RI'!B275</f>
        <v>Le Lieu</v>
      </c>
      <c r="C273" s="109">
        <f>'B) D RI'!U275</f>
        <v>30587.067025641027</v>
      </c>
      <c r="D273" s="126">
        <f>'E) Fact soc'!G279/C273</f>
        <v>24.939074284756089</v>
      </c>
      <c r="E273" s="154">
        <f>'H) Péréquation directe'!I284/C273</f>
        <v>11.052173669360117</v>
      </c>
      <c r="F273" s="126">
        <f>'I) Dépenses thématiques'!P273</f>
        <v>-30.764855296113268</v>
      </c>
      <c r="G273" s="154">
        <f t="shared" si="17"/>
        <v>5.2263926580029363</v>
      </c>
      <c r="H273" s="365">
        <f t="shared" si="18"/>
        <v>0</v>
      </c>
      <c r="I273" s="66">
        <f t="shared" si="19"/>
        <v>0</v>
      </c>
      <c r="J273" s="41">
        <f t="shared" si="20"/>
        <v>5.2263926580029363</v>
      </c>
    </row>
    <row r="274" spans="1:10" x14ac:dyDescent="0.25">
      <c r="A274" s="57">
        <f>'A) Base RI'!A276</f>
        <v>5881</v>
      </c>
      <c r="B274" s="350" t="str">
        <f>'A) Base RI'!B276</f>
        <v>Blonay</v>
      </c>
      <c r="C274" s="109">
        <f>'B) D RI'!U276</f>
        <v>332407.86157142854</v>
      </c>
      <c r="D274" s="126">
        <f>'E) Fact soc'!G280/C274</f>
        <v>19.404308794571264</v>
      </c>
      <c r="E274" s="154">
        <f>'H) Péréquation directe'!I285/C274</f>
        <v>11.481846700353055</v>
      </c>
      <c r="F274" s="126">
        <f>'I) Dépenses thématiques'!P274</f>
        <v>-2.7281619358235423</v>
      </c>
      <c r="G274" s="154">
        <f t="shared" si="17"/>
        <v>28.157993559100774</v>
      </c>
      <c r="H274" s="365">
        <f t="shared" si="18"/>
        <v>0</v>
      </c>
      <c r="I274" s="66">
        <f t="shared" si="19"/>
        <v>0</v>
      </c>
      <c r="J274" s="41">
        <f t="shared" si="20"/>
        <v>28.157993559100774</v>
      </c>
    </row>
    <row r="275" spans="1:10" x14ac:dyDescent="0.25">
      <c r="A275" s="57">
        <f>'A) Base RI'!A277</f>
        <v>5882</v>
      </c>
      <c r="B275" s="350" t="str">
        <f>'A) Base RI'!B277</f>
        <v>Chardonne</v>
      </c>
      <c r="C275" s="109">
        <f>'B) D RI'!U277</f>
        <v>151089.46617647054</v>
      </c>
      <c r="D275" s="126">
        <f>'E) Fact soc'!G281/C275</f>
        <v>19.107245007121627</v>
      </c>
      <c r="E275" s="154">
        <f>'H) Péréquation directe'!I286/C275</f>
        <v>13.778179736345161</v>
      </c>
      <c r="F275" s="126">
        <f>'I) Dépenses thématiques'!P275</f>
        <v>-2.1773892393397332</v>
      </c>
      <c r="G275" s="154">
        <f t="shared" si="17"/>
        <v>30.708035504127054</v>
      </c>
      <c r="H275" s="365">
        <f t="shared" si="18"/>
        <v>0</v>
      </c>
      <c r="I275" s="66">
        <f t="shared" si="19"/>
        <v>0</v>
      </c>
      <c r="J275" s="41">
        <f t="shared" si="20"/>
        <v>30.708035504127054</v>
      </c>
    </row>
    <row r="276" spans="1:10" x14ac:dyDescent="0.25">
      <c r="A276" s="57">
        <f>'A) Base RI'!A278</f>
        <v>5883</v>
      </c>
      <c r="B276" s="350" t="str">
        <f>'A) Base RI'!B278</f>
        <v>Corseaux</v>
      </c>
      <c r="C276" s="109">
        <f>'B) D RI'!U278</f>
        <v>151117.63015625</v>
      </c>
      <c r="D276" s="126">
        <f>'E) Fact soc'!G282/C276</f>
        <v>21.941684758472398</v>
      </c>
      <c r="E276" s="154">
        <f>'H) Péréquation directe'!I287/C276</f>
        <v>14.772309419342639</v>
      </c>
      <c r="F276" s="126">
        <f>'I) Dépenses thématiques'!P276</f>
        <v>0</v>
      </c>
      <c r="G276" s="154">
        <f t="shared" si="17"/>
        <v>36.713994177815039</v>
      </c>
      <c r="H276" s="365">
        <f t="shared" si="18"/>
        <v>0</v>
      </c>
      <c r="I276" s="66">
        <f t="shared" si="19"/>
        <v>0</v>
      </c>
      <c r="J276" s="41">
        <f t="shared" si="20"/>
        <v>36.713994177815039</v>
      </c>
    </row>
    <row r="277" spans="1:10" x14ac:dyDescent="0.25">
      <c r="A277" s="57">
        <f>'A) Base RI'!A279</f>
        <v>5884</v>
      </c>
      <c r="B277" s="350" t="str">
        <f>'A) Base RI'!B279</f>
        <v>Corsier-sur-Vevey</v>
      </c>
      <c r="C277" s="109">
        <f>'B) D RI'!U279</f>
        <v>116440.6211111111</v>
      </c>
      <c r="D277" s="126">
        <f>'E) Fact soc'!G283/C277</f>
        <v>18.013241066736477</v>
      </c>
      <c r="E277" s="154">
        <f>'H) Péréquation directe'!I288/C277</f>
        <v>4.6949934534132103</v>
      </c>
      <c r="F277" s="126">
        <f>'I) Dépenses thématiques'!P277</f>
        <v>-8.0526808758871891</v>
      </c>
      <c r="G277" s="154">
        <f t="shared" si="17"/>
        <v>14.655553644262499</v>
      </c>
      <c r="H277" s="365">
        <f t="shared" si="18"/>
        <v>0</v>
      </c>
      <c r="I277" s="66">
        <f t="shared" si="19"/>
        <v>0</v>
      </c>
      <c r="J277" s="41">
        <f t="shared" si="20"/>
        <v>14.655553644262499</v>
      </c>
    </row>
    <row r="278" spans="1:10" x14ac:dyDescent="0.25">
      <c r="A278" s="57">
        <f>'A) Base RI'!A280</f>
        <v>5885</v>
      </c>
      <c r="B278" s="350" t="str">
        <f>'A) Base RI'!B280</f>
        <v>Jongny</v>
      </c>
      <c r="C278" s="109">
        <f>'B) D RI'!U280</f>
        <v>81843.123028169022</v>
      </c>
      <c r="D278" s="126">
        <f>'E) Fact soc'!G284/C278</f>
        <v>17.760200041306764</v>
      </c>
      <c r="E278" s="154">
        <f>'H) Péréquation directe'!I289/C278</f>
        <v>15.544467295963711</v>
      </c>
      <c r="F278" s="126">
        <f>'I) Dépenses thématiques'!P278</f>
        <v>-0.84420730414426248</v>
      </c>
      <c r="G278" s="154">
        <f t="shared" si="17"/>
        <v>32.460460033126211</v>
      </c>
      <c r="H278" s="365">
        <f t="shared" si="18"/>
        <v>0</v>
      </c>
      <c r="I278" s="66">
        <f t="shared" si="19"/>
        <v>0</v>
      </c>
      <c r="J278" s="41">
        <f t="shared" si="20"/>
        <v>32.460460033126211</v>
      </c>
    </row>
    <row r="279" spans="1:10" x14ac:dyDescent="0.25">
      <c r="A279" s="57">
        <f>'A) Base RI'!A281</f>
        <v>5886</v>
      </c>
      <c r="B279" s="350" t="str">
        <f>'A) Base RI'!B281</f>
        <v>Montreux</v>
      </c>
      <c r="C279" s="109">
        <f>'B) D RI'!U281</f>
        <v>1175239.0178974359</v>
      </c>
      <c r="D279" s="126">
        <f>'E) Fact soc'!G285/C279</f>
        <v>21.14307572663034</v>
      </c>
      <c r="E279" s="154">
        <f>'H) Péréquation directe'!I290/C279</f>
        <v>0.28189849622206059</v>
      </c>
      <c r="F279" s="126">
        <f>'I) Dépenses thématiques'!P279</f>
        <v>-4.4824815912513003</v>
      </c>
      <c r="G279" s="154">
        <f t="shared" si="17"/>
        <v>16.942492631601098</v>
      </c>
      <c r="H279" s="365">
        <f t="shared" si="18"/>
        <v>0</v>
      </c>
      <c r="I279" s="66">
        <f t="shared" si="19"/>
        <v>0</v>
      </c>
      <c r="J279" s="41">
        <f t="shared" si="20"/>
        <v>16.942492631601098</v>
      </c>
    </row>
    <row r="280" spans="1:10" x14ac:dyDescent="0.25">
      <c r="A280" s="57">
        <f>'A) Base RI'!A282</f>
        <v>5888</v>
      </c>
      <c r="B280" s="350" t="str">
        <f>'A) Base RI'!B282</f>
        <v>Saint-Légier-La Chiésaz</v>
      </c>
      <c r="C280" s="109">
        <f>'B) D RI'!U282</f>
        <v>307135.62007462693</v>
      </c>
      <c r="D280" s="126">
        <f>'E) Fact soc'!G286/C280</f>
        <v>18.890179805947152</v>
      </c>
      <c r="E280" s="154">
        <f>'H) Péréquation directe'!I291/C280</f>
        <v>12.554748865366918</v>
      </c>
      <c r="F280" s="126">
        <f>'I) Dépenses thématiques'!P280</f>
        <v>-0.87197842098087497</v>
      </c>
      <c r="G280" s="154">
        <f t="shared" si="17"/>
        <v>30.572950250333196</v>
      </c>
      <c r="H280" s="365">
        <f t="shared" si="18"/>
        <v>0</v>
      </c>
      <c r="I280" s="66">
        <f t="shared" si="19"/>
        <v>0</v>
      </c>
      <c r="J280" s="41">
        <f t="shared" si="20"/>
        <v>30.572950250333196</v>
      </c>
    </row>
    <row r="281" spans="1:10" x14ac:dyDescent="0.25">
      <c r="A281" s="57">
        <f>'A) Base RI'!A283</f>
        <v>5889</v>
      </c>
      <c r="B281" s="350" t="str">
        <f>'A) Base RI'!B283</f>
        <v>La Tour-de-Peilz</v>
      </c>
      <c r="C281" s="109">
        <f>'B) D RI'!U283</f>
        <v>618611.02559895837</v>
      </c>
      <c r="D281" s="126">
        <f>'E) Fact soc'!G287/C281</f>
        <v>18.611367056708058</v>
      </c>
      <c r="E281" s="154">
        <f>'H) Péréquation directe'!I292/C281</f>
        <v>8.5405296879665187</v>
      </c>
      <c r="F281" s="126">
        <f>'I) Dépenses thématiques'!P281</f>
        <v>0</v>
      </c>
      <c r="G281" s="154">
        <f t="shared" si="17"/>
        <v>27.151896744674577</v>
      </c>
      <c r="H281" s="365">
        <f t="shared" si="18"/>
        <v>0</v>
      </c>
      <c r="I281" s="66">
        <f t="shared" si="19"/>
        <v>0</v>
      </c>
      <c r="J281" s="41">
        <f t="shared" si="20"/>
        <v>27.151896744674577</v>
      </c>
    </row>
    <row r="282" spans="1:10" x14ac:dyDescent="0.25">
      <c r="A282" s="57">
        <f>'A) Base RI'!A284</f>
        <v>5890</v>
      </c>
      <c r="B282" s="350" t="str">
        <f>'A) Base RI'!B284</f>
        <v>Vevey</v>
      </c>
      <c r="C282" s="109">
        <f>'B) D RI'!U284</f>
        <v>909212.90865296812</v>
      </c>
      <c r="D282" s="126">
        <f>'E) Fact soc'!G288/C282</f>
        <v>17.684457750767379</v>
      </c>
      <c r="E282" s="154">
        <f>'H) Péréquation directe'!I293/C282</f>
        <v>2.9909501752873457</v>
      </c>
      <c r="F282" s="126">
        <f>'I) Dépenses thématiques'!P282</f>
        <v>-2.0419838612776613</v>
      </c>
      <c r="G282" s="154">
        <f t="shared" si="17"/>
        <v>18.633424064777063</v>
      </c>
      <c r="H282" s="365">
        <f t="shared" si="18"/>
        <v>0</v>
      </c>
      <c r="I282" s="66">
        <f t="shared" si="19"/>
        <v>0</v>
      </c>
      <c r="J282" s="41">
        <f t="shared" si="20"/>
        <v>18.633424064777063</v>
      </c>
    </row>
    <row r="283" spans="1:10" x14ac:dyDescent="0.25">
      <c r="A283" s="57">
        <f>'A) Base RI'!A285</f>
        <v>5891</v>
      </c>
      <c r="B283" s="350" t="str">
        <f>'A) Base RI'!B285</f>
        <v>Veytaux</v>
      </c>
      <c r="C283" s="109">
        <f>'B) D RI'!U285</f>
        <v>39510.481835748789</v>
      </c>
      <c r="D283" s="126">
        <f>'E) Fact soc'!G289/C283</f>
        <v>19.191709510088092</v>
      </c>
      <c r="E283" s="154">
        <f>'H) Péréquation directe'!I294/C283</f>
        <v>16.685606596918124</v>
      </c>
      <c r="F283" s="126">
        <f>'I) Dépenses thématiques'!P283</f>
        <v>-7.4945426441519931</v>
      </c>
      <c r="G283" s="154">
        <f t="shared" si="17"/>
        <v>28.382773462854225</v>
      </c>
      <c r="H283" s="365">
        <f t="shared" si="18"/>
        <v>0</v>
      </c>
      <c r="I283" s="66">
        <f t="shared" si="19"/>
        <v>0</v>
      </c>
      <c r="J283" s="41">
        <f t="shared" si="20"/>
        <v>28.382773462854225</v>
      </c>
    </row>
    <row r="284" spans="1:10" x14ac:dyDescent="0.25">
      <c r="A284" s="57">
        <f>'A) Base RI'!A286</f>
        <v>5902</v>
      </c>
      <c r="B284" s="350" t="str">
        <f>'A) Base RI'!B286</f>
        <v>Belmont-sur-Yverdon</v>
      </c>
      <c r="C284" s="109">
        <f>'B) D RI'!U286</f>
        <v>9227.1448684210518</v>
      </c>
      <c r="D284" s="126">
        <f>'E) Fact soc'!G290/C284</f>
        <v>16.008968335484493</v>
      </c>
      <c r="E284" s="154">
        <f>'H) Péréquation directe'!I295/C284</f>
        <v>-3.7153442668450896</v>
      </c>
      <c r="F284" s="126">
        <f>'I) Dépenses thématiques'!P284</f>
        <v>-0.84353128758653872</v>
      </c>
      <c r="G284" s="154">
        <f t="shared" si="17"/>
        <v>11.450092781052865</v>
      </c>
      <c r="H284" s="365">
        <f t="shared" si="18"/>
        <v>0</v>
      </c>
      <c r="I284" s="66">
        <f t="shared" si="19"/>
        <v>0</v>
      </c>
      <c r="J284" s="41">
        <f t="shared" si="20"/>
        <v>11.450092781052865</v>
      </c>
    </row>
    <row r="285" spans="1:10" x14ac:dyDescent="0.25">
      <c r="A285" s="57">
        <f>'A) Base RI'!A287</f>
        <v>5903</v>
      </c>
      <c r="B285" s="350" t="str">
        <f>'A) Base RI'!B287</f>
        <v>Bioley-Magnoux</v>
      </c>
      <c r="C285" s="109">
        <f>'B) D RI'!U287</f>
        <v>5953.911158301159</v>
      </c>
      <c r="D285" s="126">
        <f>'E) Fact soc'!G291/C285</f>
        <v>17.292302758016454</v>
      </c>
      <c r="E285" s="154">
        <f>'H) Péréquation directe'!I296/C285</f>
        <v>-1.3873162285819067</v>
      </c>
      <c r="F285" s="126">
        <f>'I) Dépenses thématiques'!P285</f>
        <v>-38.223820280949738</v>
      </c>
      <c r="G285" s="154">
        <f t="shared" si="17"/>
        <v>-22.318833751515193</v>
      </c>
      <c r="H285" s="365">
        <f t="shared" si="18"/>
        <v>0</v>
      </c>
      <c r="I285" s="66">
        <f t="shared" si="19"/>
        <v>0</v>
      </c>
      <c r="J285" s="41">
        <f t="shared" si="20"/>
        <v>-22.318833751515193</v>
      </c>
    </row>
    <row r="286" spans="1:10" x14ac:dyDescent="0.25">
      <c r="A286" s="57">
        <f>'A) Base RI'!A288</f>
        <v>5904</v>
      </c>
      <c r="B286" s="350" t="str">
        <f>'A) Base RI'!B288</f>
        <v>Chamblon</v>
      </c>
      <c r="C286" s="109">
        <f>'B) D RI'!U288</f>
        <v>22914.009848484849</v>
      </c>
      <c r="D286" s="126">
        <f>'E) Fact soc'!G292/C286</f>
        <v>16.595890969993938</v>
      </c>
      <c r="E286" s="154">
        <f>'H) Péréquation directe'!I297/C286</f>
        <v>14.99601243636981</v>
      </c>
      <c r="F286" s="126">
        <f>'I) Dépenses thématiques'!P286</f>
        <v>0</v>
      </c>
      <c r="G286" s="154">
        <f t="shared" si="17"/>
        <v>31.591903406363748</v>
      </c>
      <c r="H286" s="365">
        <f t="shared" si="18"/>
        <v>0</v>
      </c>
      <c r="I286" s="66">
        <f t="shared" si="19"/>
        <v>0</v>
      </c>
      <c r="J286" s="41">
        <f t="shared" si="20"/>
        <v>31.591903406363748</v>
      </c>
    </row>
    <row r="287" spans="1:10" x14ac:dyDescent="0.25">
      <c r="A287" s="57">
        <f>'A) Base RI'!A289</f>
        <v>5905</v>
      </c>
      <c r="B287" s="350" t="str">
        <f>'A) Base RI'!B289</f>
        <v>Champvent</v>
      </c>
      <c r="C287" s="109">
        <f>'B) D RI'!U289</f>
        <v>21038.740140845071</v>
      </c>
      <c r="D287" s="126">
        <f>'E) Fact soc'!G293/C287</f>
        <v>21.435986421299173</v>
      </c>
      <c r="E287" s="154">
        <f>'H) Péréquation directe'!I298/C287</f>
        <v>7.6259250209093379</v>
      </c>
      <c r="F287" s="126">
        <f>'I) Dépenses thématiques'!P287</f>
        <v>-2.2007240973097559</v>
      </c>
      <c r="G287" s="154">
        <f t="shared" si="17"/>
        <v>26.861187344898756</v>
      </c>
      <c r="H287" s="365">
        <f t="shared" si="18"/>
        <v>0</v>
      </c>
      <c r="I287" s="66">
        <f t="shared" si="19"/>
        <v>0</v>
      </c>
      <c r="J287" s="41">
        <f t="shared" si="20"/>
        <v>26.861187344898756</v>
      </c>
    </row>
    <row r="288" spans="1:10" x14ac:dyDescent="0.25">
      <c r="A288" s="57">
        <f>'A) Base RI'!A290</f>
        <v>5907</v>
      </c>
      <c r="B288" s="350" t="str">
        <f>'A) Base RI'!B290</f>
        <v>Chavannes-le-Chêne</v>
      </c>
      <c r="C288" s="109">
        <f>'B) D RI'!U290</f>
        <v>8819.3566666666684</v>
      </c>
      <c r="D288" s="126">
        <f>'E) Fact soc'!G294/C288</f>
        <v>18.204739113555604</v>
      </c>
      <c r="E288" s="154">
        <f>'H) Péréquation directe'!I299/C288</f>
        <v>2.3204181940000557</v>
      </c>
      <c r="F288" s="126">
        <f>'I) Dépenses thématiques'!P288</f>
        <v>-8.4755306208203702</v>
      </c>
      <c r="G288" s="154">
        <f t="shared" si="17"/>
        <v>12.049626686735289</v>
      </c>
      <c r="H288" s="365">
        <f t="shared" si="18"/>
        <v>0</v>
      </c>
      <c r="I288" s="66">
        <f t="shared" si="19"/>
        <v>0</v>
      </c>
      <c r="J288" s="41">
        <f t="shared" si="20"/>
        <v>12.049626686735289</v>
      </c>
    </row>
    <row r="289" spans="1:10" x14ac:dyDescent="0.25">
      <c r="A289" s="57">
        <f>'A) Base RI'!A291</f>
        <v>5908</v>
      </c>
      <c r="B289" s="350" t="str">
        <f>'A) Base RI'!B291</f>
        <v>Chêne-Pâquier</v>
      </c>
      <c r="C289" s="109">
        <f>'B) D RI'!U291</f>
        <v>2915.1287341772154</v>
      </c>
      <c r="D289" s="126">
        <f>'E) Fact soc'!G295/C289</f>
        <v>17.169723905123519</v>
      </c>
      <c r="E289" s="154">
        <f>'H) Péréquation directe'!I300/C289</f>
        <v>-15.197269411998287</v>
      </c>
      <c r="F289" s="126">
        <f>'I) Dépenses thématiques'!P289</f>
        <v>-4.4295231008458664</v>
      </c>
      <c r="G289" s="154">
        <f t="shared" si="17"/>
        <v>-2.4570686077206343</v>
      </c>
      <c r="H289" s="365">
        <f t="shared" si="18"/>
        <v>0</v>
      </c>
      <c r="I289" s="66">
        <f t="shared" si="19"/>
        <v>0</v>
      </c>
      <c r="J289" s="41">
        <f t="shared" si="20"/>
        <v>-2.4570686077206343</v>
      </c>
    </row>
    <row r="290" spans="1:10" x14ac:dyDescent="0.25">
      <c r="A290" s="57">
        <f>'A) Base RI'!A292</f>
        <v>5909</v>
      </c>
      <c r="B290" s="350" t="str">
        <f>'A) Base RI'!B292</f>
        <v>Cheseaux-Noréaz</v>
      </c>
      <c r="C290" s="109">
        <f>'B) D RI'!U292</f>
        <v>24771.110857142852</v>
      </c>
      <c r="D290" s="126">
        <f>'E) Fact soc'!G296/C290</f>
        <v>17.202422837136144</v>
      </c>
      <c r="E290" s="154">
        <f>'H) Péréquation directe'!I301/C290</f>
        <v>11.732721898393512</v>
      </c>
      <c r="F290" s="126">
        <f>'I) Dépenses thématiques'!P290</f>
        <v>-5.0249651414516698</v>
      </c>
      <c r="G290" s="154">
        <f t="shared" si="17"/>
        <v>23.910179594077984</v>
      </c>
      <c r="H290" s="365">
        <f t="shared" si="18"/>
        <v>0</v>
      </c>
      <c r="I290" s="66">
        <f t="shared" si="19"/>
        <v>0</v>
      </c>
      <c r="J290" s="41">
        <f t="shared" si="20"/>
        <v>23.910179594077984</v>
      </c>
    </row>
    <row r="291" spans="1:10" x14ac:dyDescent="0.25">
      <c r="A291" s="57">
        <f>'A) Base RI'!A293</f>
        <v>5910</v>
      </c>
      <c r="B291" s="350" t="str">
        <f>'A) Base RI'!B293</f>
        <v>Cronay</v>
      </c>
      <c r="C291" s="109">
        <f>'B) D RI'!U293</f>
        <v>10097.267848101266</v>
      </c>
      <c r="D291" s="126">
        <f>'E) Fact soc'!G297/C291</f>
        <v>16.977008689292994</v>
      </c>
      <c r="E291" s="154">
        <f>'H) Péréquation directe'!I302/C291</f>
        <v>-2.4548602460833311</v>
      </c>
      <c r="F291" s="126">
        <f>'I) Dépenses thématiques'!P291</f>
        <v>-11.970095165792438</v>
      </c>
      <c r="G291" s="154">
        <f t="shared" si="17"/>
        <v>2.5520532774172242</v>
      </c>
      <c r="H291" s="365">
        <f t="shared" si="18"/>
        <v>0</v>
      </c>
      <c r="I291" s="66">
        <f t="shared" si="19"/>
        <v>0</v>
      </c>
      <c r="J291" s="41">
        <f t="shared" si="20"/>
        <v>2.5520532774172242</v>
      </c>
    </row>
    <row r="292" spans="1:10" x14ac:dyDescent="0.25">
      <c r="A292" s="57">
        <f>'A) Base RI'!A294</f>
        <v>5911</v>
      </c>
      <c r="B292" s="350" t="str">
        <f>'A) Base RI'!B294</f>
        <v>Cuarny</v>
      </c>
      <c r="C292" s="109">
        <f>'B) D RI'!U294</f>
        <v>7741.5774683544305</v>
      </c>
      <c r="D292" s="126">
        <f>'E) Fact soc'!G298/C292</f>
        <v>15.251779980669722</v>
      </c>
      <c r="E292" s="154">
        <f>'H) Péréquation directe'!I303/C292</f>
        <v>6.1534335310475408</v>
      </c>
      <c r="F292" s="126">
        <f>'I) Dépenses thématiques'!P292</f>
        <v>-13.782211193361357</v>
      </c>
      <c r="G292" s="154">
        <f t="shared" si="17"/>
        <v>7.6230023183559066</v>
      </c>
      <c r="H292" s="365">
        <f t="shared" si="18"/>
        <v>0</v>
      </c>
      <c r="I292" s="66">
        <f t="shared" si="19"/>
        <v>0</v>
      </c>
      <c r="J292" s="41">
        <f t="shared" si="20"/>
        <v>7.6230023183559066</v>
      </c>
    </row>
    <row r="293" spans="1:10" x14ac:dyDescent="0.25">
      <c r="A293" s="57">
        <f>'A) Base RI'!A295</f>
        <v>5912</v>
      </c>
      <c r="B293" s="350" t="str">
        <f>'A) Base RI'!B295</f>
        <v>Démoret</v>
      </c>
      <c r="C293" s="109">
        <f>'B) D RI'!U295</f>
        <v>2761.8208641975311</v>
      </c>
      <c r="D293" s="126">
        <f>'E) Fact soc'!G299/C293</f>
        <v>16.931293718231217</v>
      </c>
      <c r="E293" s="154">
        <f>'H) Péréquation directe'!I304/C293</f>
        <v>-13.612072158411877</v>
      </c>
      <c r="F293" s="126">
        <f>'I) Dépenses thématiques'!P293</f>
        <v>-6.2927020612761932</v>
      </c>
      <c r="G293" s="154">
        <f t="shared" si="17"/>
        <v>-2.9734805014568533</v>
      </c>
      <c r="H293" s="365">
        <f t="shared" si="18"/>
        <v>0</v>
      </c>
      <c r="I293" s="66">
        <f t="shared" si="19"/>
        <v>0</v>
      </c>
      <c r="J293" s="41">
        <f t="shared" si="20"/>
        <v>-2.9734805014568533</v>
      </c>
    </row>
    <row r="294" spans="1:10" x14ac:dyDescent="0.25">
      <c r="A294" s="57">
        <f>'A) Base RI'!A296</f>
        <v>5913</v>
      </c>
      <c r="B294" s="350" t="str">
        <f>'A) Base RI'!B296</f>
        <v>Donneloye</v>
      </c>
      <c r="C294" s="109">
        <f>'B) D RI'!U296</f>
        <v>21023.999589041094</v>
      </c>
      <c r="D294" s="126">
        <f>'E) Fact soc'!G300/C294</f>
        <v>18.251129077865865</v>
      </c>
      <c r="E294" s="154">
        <f>'H) Péréquation directe'!I305/C294</f>
        <v>0.72665350528119033</v>
      </c>
      <c r="F294" s="126">
        <f>'I) Dépenses thématiques'!P294</f>
        <v>-3.6448619257090593</v>
      </c>
      <c r="G294" s="154">
        <f t="shared" si="17"/>
        <v>15.332920657437999</v>
      </c>
      <c r="H294" s="365">
        <f t="shared" si="18"/>
        <v>0</v>
      </c>
      <c r="I294" s="66">
        <f t="shared" si="19"/>
        <v>0</v>
      </c>
      <c r="J294" s="41">
        <f t="shared" si="20"/>
        <v>15.332920657437999</v>
      </c>
    </row>
    <row r="295" spans="1:10" x14ac:dyDescent="0.25">
      <c r="A295" s="57">
        <f>'A) Base RI'!A297</f>
        <v>5914</v>
      </c>
      <c r="B295" s="350" t="str">
        <f>'A) Base RI'!B297</f>
        <v>Ependes</v>
      </c>
      <c r="C295" s="109">
        <f>'B) D RI'!U297</f>
        <v>8838.0616000000009</v>
      </c>
      <c r="D295" s="126">
        <f>'E) Fact soc'!G301/C295</f>
        <v>15.917715018803005</v>
      </c>
      <c r="E295" s="154">
        <f>'H) Péréquation directe'!I306/C295</f>
        <v>-2.9161859215690011</v>
      </c>
      <c r="F295" s="126">
        <f>'I) Dépenses thématiques'!P295</f>
        <v>-4.2409923267085006</v>
      </c>
      <c r="G295" s="154">
        <f t="shared" si="17"/>
        <v>8.7605367705255031</v>
      </c>
      <c r="H295" s="365">
        <f t="shared" si="18"/>
        <v>0</v>
      </c>
      <c r="I295" s="66">
        <f t="shared" si="19"/>
        <v>0</v>
      </c>
      <c r="J295" s="41">
        <f t="shared" si="20"/>
        <v>8.7605367705255031</v>
      </c>
    </row>
    <row r="296" spans="1:10" x14ac:dyDescent="0.25">
      <c r="A296" s="57">
        <f>'A) Base RI'!A298</f>
        <v>5919</v>
      </c>
      <c r="B296" s="350" t="str">
        <f>'A) Base RI'!B298</f>
        <v>Mathod</v>
      </c>
      <c r="C296" s="109">
        <f>'B) D RI'!U298</f>
        <v>16883.878828828827</v>
      </c>
      <c r="D296" s="126">
        <f>'E) Fact soc'!G302/C296</f>
        <v>20.188689615917252</v>
      </c>
      <c r="E296" s="154">
        <f>'H) Péréquation directe'!I307/C296</f>
        <v>1.0759892757533172</v>
      </c>
      <c r="F296" s="126">
        <f>'I) Dépenses thématiques'!P296</f>
        <v>-6.0637400933724832</v>
      </c>
      <c r="G296" s="154">
        <f t="shared" si="17"/>
        <v>15.200938798298086</v>
      </c>
      <c r="H296" s="365">
        <f t="shared" si="18"/>
        <v>0</v>
      </c>
      <c r="I296" s="66">
        <f t="shared" si="19"/>
        <v>0</v>
      </c>
      <c r="J296" s="41">
        <f t="shared" si="20"/>
        <v>15.200938798298086</v>
      </c>
    </row>
    <row r="297" spans="1:10" x14ac:dyDescent="0.25">
      <c r="A297" s="57">
        <f>'A) Base RI'!A299</f>
        <v>5921</v>
      </c>
      <c r="B297" s="350" t="str">
        <f>'A) Base RI'!B299</f>
        <v>Molondin</v>
      </c>
      <c r="C297" s="109">
        <f>'B) D RI'!U299</f>
        <v>5518.0840740740732</v>
      </c>
      <c r="D297" s="126">
        <f>'E) Fact soc'!G303/C297</f>
        <v>18.303619021007208</v>
      </c>
      <c r="E297" s="154">
        <f>'H) Péréquation directe'!I308/C297</f>
        <v>-5.7592182654128221</v>
      </c>
      <c r="F297" s="126">
        <f>'I) Dépenses thématiques'!P297</f>
        <v>-11.896591963405255</v>
      </c>
      <c r="G297" s="154">
        <f t="shared" si="17"/>
        <v>0.64780879218912979</v>
      </c>
      <c r="H297" s="365">
        <f t="shared" si="18"/>
        <v>0</v>
      </c>
      <c r="I297" s="66">
        <f t="shared" si="19"/>
        <v>0</v>
      </c>
      <c r="J297" s="41">
        <f t="shared" si="20"/>
        <v>0.64780879218912979</v>
      </c>
    </row>
    <row r="298" spans="1:10" x14ac:dyDescent="0.25">
      <c r="A298" s="57">
        <f>'A) Base RI'!A300</f>
        <v>5922</v>
      </c>
      <c r="B298" s="350" t="str">
        <f>'A) Base RI'!B300</f>
        <v>Montagny-près-Yverdon</v>
      </c>
      <c r="C298" s="109">
        <f>'B) D RI'!U300</f>
        <v>45028.443278688515</v>
      </c>
      <c r="D298" s="126">
        <f>'E) Fact soc'!G304/C298</f>
        <v>18.281316658870946</v>
      </c>
      <c r="E298" s="154">
        <f>'H) Péréquation directe'!I309/C298</f>
        <v>16.897974634056315</v>
      </c>
      <c r="F298" s="126">
        <f>'I) Dépenses thématiques'!P298</f>
        <v>-2.4990210601283658</v>
      </c>
      <c r="G298" s="154">
        <f t="shared" si="17"/>
        <v>32.680270232798897</v>
      </c>
      <c r="H298" s="365">
        <f t="shared" si="18"/>
        <v>0</v>
      </c>
      <c r="I298" s="66">
        <f t="shared" si="19"/>
        <v>0</v>
      </c>
      <c r="J298" s="41">
        <f t="shared" si="20"/>
        <v>32.680270232798897</v>
      </c>
    </row>
    <row r="299" spans="1:10" x14ac:dyDescent="0.25">
      <c r="A299" s="57">
        <f>'A) Base RI'!A301</f>
        <v>5923</v>
      </c>
      <c r="B299" s="350" t="str">
        <f>'A) Base RI'!B301</f>
        <v>Oppens</v>
      </c>
      <c r="C299" s="109">
        <f>'B) D RI'!U301</f>
        <v>4881.0219753086412</v>
      </c>
      <c r="D299" s="126">
        <f>'E) Fact soc'!G305/C299</f>
        <v>21.474005407291568</v>
      </c>
      <c r="E299" s="154">
        <f>'H) Péréquation directe'!I310/C299</f>
        <v>-2.9096257661507572</v>
      </c>
      <c r="F299" s="126">
        <f>'I) Dépenses thématiques'!P299</f>
        <v>-7.8013026376129018</v>
      </c>
      <c r="G299" s="154">
        <f t="shared" si="17"/>
        <v>10.763077003527908</v>
      </c>
      <c r="H299" s="365">
        <f t="shared" si="18"/>
        <v>0</v>
      </c>
      <c r="I299" s="66">
        <f t="shared" si="19"/>
        <v>0</v>
      </c>
      <c r="J299" s="41">
        <f t="shared" si="20"/>
        <v>10.763077003527908</v>
      </c>
    </row>
    <row r="300" spans="1:10" x14ac:dyDescent="0.25">
      <c r="A300" s="57">
        <f>'A) Base RI'!A302</f>
        <v>5924</v>
      </c>
      <c r="B300" s="350" t="str">
        <f>'A) Base RI'!B302</f>
        <v>Orges</v>
      </c>
      <c r="C300" s="109">
        <f>'B) D RI'!U302</f>
        <v>9476.448378378378</v>
      </c>
      <c r="D300" s="126">
        <f>'E) Fact soc'!G306/C300</f>
        <v>17.131926574951795</v>
      </c>
      <c r="E300" s="154">
        <f>'H) Péréquation directe'!I311/C300</f>
        <v>7.1175886827537251</v>
      </c>
      <c r="F300" s="126">
        <f>'I) Dépenses thématiques'!P300</f>
        <v>0</v>
      </c>
      <c r="G300" s="154">
        <f t="shared" si="17"/>
        <v>24.249515257705518</v>
      </c>
      <c r="H300" s="365">
        <f t="shared" si="18"/>
        <v>0</v>
      </c>
      <c r="I300" s="66">
        <f t="shared" si="19"/>
        <v>0</v>
      </c>
      <c r="J300" s="41">
        <f t="shared" si="20"/>
        <v>24.249515257705518</v>
      </c>
    </row>
    <row r="301" spans="1:10" x14ac:dyDescent="0.25">
      <c r="A301" s="57">
        <f>'A) Base RI'!A303</f>
        <v>5925</v>
      </c>
      <c r="B301" s="350" t="str">
        <f>'A) Base RI'!B303</f>
        <v>Orzens</v>
      </c>
      <c r="C301" s="109">
        <f>'B) D RI'!U303</f>
        <v>4875.4426582278484</v>
      </c>
      <c r="D301" s="126">
        <f>'E) Fact soc'!G307/C301</f>
        <v>17.592816476491045</v>
      </c>
      <c r="E301" s="154">
        <f>'H) Péréquation directe'!I312/C301</f>
        <v>-6.6093557244627208</v>
      </c>
      <c r="F301" s="126">
        <f>'I) Dépenses thématiques'!P301</f>
        <v>-2.4054288304157407</v>
      </c>
      <c r="G301" s="154">
        <f t="shared" si="17"/>
        <v>8.5780319216125847</v>
      </c>
      <c r="H301" s="365">
        <f t="shared" si="18"/>
        <v>0</v>
      </c>
      <c r="I301" s="66">
        <f t="shared" si="19"/>
        <v>0</v>
      </c>
      <c r="J301" s="41">
        <f t="shared" si="20"/>
        <v>8.5780319216125847</v>
      </c>
    </row>
    <row r="302" spans="1:10" x14ac:dyDescent="0.25">
      <c r="A302" s="57">
        <f>'A) Base RI'!A304</f>
        <v>5926</v>
      </c>
      <c r="B302" s="350" t="str">
        <f>'A) Base RI'!B304</f>
        <v>Pomy</v>
      </c>
      <c r="C302" s="109">
        <f>'B) D RI'!U304</f>
        <v>22774.42661971831</v>
      </c>
      <c r="D302" s="126">
        <f>'E) Fact soc'!G308/C302</f>
        <v>18.271754134985574</v>
      </c>
      <c r="E302" s="154">
        <f>'H) Péréquation directe'!I313/C302</f>
        <v>5.2231744355626146</v>
      </c>
      <c r="F302" s="126">
        <f>'I) Dépenses thématiques'!P302</f>
        <v>-0.92864164518437209</v>
      </c>
      <c r="G302" s="154">
        <f t="shared" si="17"/>
        <v>22.566286925363819</v>
      </c>
      <c r="H302" s="365">
        <f t="shared" si="18"/>
        <v>0</v>
      </c>
      <c r="I302" s="66">
        <f t="shared" si="19"/>
        <v>0</v>
      </c>
      <c r="J302" s="41">
        <f t="shared" si="20"/>
        <v>22.566286925363819</v>
      </c>
    </row>
    <row r="303" spans="1:10" x14ac:dyDescent="0.25">
      <c r="A303" s="57">
        <f>'A) Base RI'!A305</f>
        <v>5928</v>
      </c>
      <c r="B303" s="350" t="str">
        <f>'A) Base RI'!B305</f>
        <v>Rovray</v>
      </c>
      <c r="C303" s="109">
        <f>'B) D RI'!U305</f>
        <v>4451.7282191780823</v>
      </c>
      <c r="D303" s="126">
        <f>'E) Fact soc'!G309/C303</f>
        <v>17.218073352871201</v>
      </c>
      <c r="E303" s="154">
        <f>'H) Péréquation directe'!I314/C303</f>
        <v>-0.95447854275950117</v>
      </c>
      <c r="F303" s="126">
        <f>'I) Dépenses thématiques'!P303</f>
        <v>-2.3273239914367485</v>
      </c>
      <c r="G303" s="154">
        <f t="shared" si="17"/>
        <v>13.936270818674952</v>
      </c>
      <c r="H303" s="365">
        <f t="shared" si="18"/>
        <v>0</v>
      </c>
      <c r="I303" s="66">
        <f t="shared" si="19"/>
        <v>0</v>
      </c>
      <c r="J303" s="41">
        <f t="shared" si="20"/>
        <v>13.936270818674952</v>
      </c>
    </row>
    <row r="304" spans="1:10" x14ac:dyDescent="0.25">
      <c r="A304" s="57">
        <f>'A) Base RI'!A306</f>
        <v>5929</v>
      </c>
      <c r="B304" s="350" t="str">
        <f>'A) Base RI'!B306</f>
        <v>Suchy</v>
      </c>
      <c r="C304" s="109">
        <f>'B) D RI'!U306</f>
        <v>16583.788428571432</v>
      </c>
      <c r="D304" s="126">
        <f>'E) Fact soc'!G310/C304</f>
        <v>16.824852509231597</v>
      </c>
      <c r="E304" s="154">
        <f>'H) Péréquation directe'!I315/C304</f>
        <v>2.3910361465277701</v>
      </c>
      <c r="F304" s="126">
        <f>'I) Dépenses thématiques'!P304</f>
        <v>-0.93888725136618256</v>
      </c>
      <c r="G304" s="154">
        <f t="shared" si="17"/>
        <v>18.277001404393186</v>
      </c>
      <c r="H304" s="365">
        <f t="shared" si="18"/>
        <v>0</v>
      </c>
      <c r="I304" s="66">
        <f t="shared" si="19"/>
        <v>0</v>
      </c>
      <c r="J304" s="41">
        <f t="shared" si="20"/>
        <v>18.277001404393186</v>
      </c>
    </row>
    <row r="305" spans="1:13" x14ac:dyDescent="0.25">
      <c r="A305" s="57">
        <f>'A) Base RI'!A307</f>
        <v>5930</v>
      </c>
      <c r="B305" s="350" t="str">
        <f>'A) Base RI'!B307</f>
        <v>Suscévaz</v>
      </c>
      <c r="C305" s="109">
        <f>'B) D RI'!U307</f>
        <v>4886.5228787878787</v>
      </c>
      <c r="D305" s="126">
        <f>'E) Fact soc'!G311/C305</f>
        <v>17.771490772466915</v>
      </c>
      <c r="E305" s="154">
        <f>'H) Péréquation directe'!I316/C305</f>
        <v>-0.43450129666059611</v>
      </c>
      <c r="F305" s="126">
        <f>'I) Dépenses thématiques'!P305</f>
        <v>-7.7468481323945765E-2</v>
      </c>
      <c r="G305" s="154">
        <f t="shared" si="17"/>
        <v>17.259520994482372</v>
      </c>
      <c r="H305" s="365">
        <f t="shared" si="18"/>
        <v>0</v>
      </c>
      <c r="I305" s="66">
        <f t="shared" si="19"/>
        <v>0</v>
      </c>
      <c r="J305" s="41">
        <f t="shared" si="20"/>
        <v>17.259520994482372</v>
      </c>
    </row>
    <row r="306" spans="1:13" x14ac:dyDescent="0.25">
      <c r="A306" s="57">
        <f>'A) Base RI'!A308</f>
        <v>5931</v>
      </c>
      <c r="B306" s="350" t="str">
        <f>'A) Base RI'!B308</f>
        <v>Treycovagnes</v>
      </c>
      <c r="C306" s="109">
        <f>'B) D RI'!U308</f>
        <v>16368.774155844154</v>
      </c>
      <c r="D306" s="126">
        <f>'E) Fact soc'!G312/C306</f>
        <v>15.970320728218571</v>
      </c>
      <c r="E306" s="154">
        <f>'H) Péréquation directe'!I317/C306</f>
        <v>10.573969638390233</v>
      </c>
      <c r="F306" s="126">
        <f>'I) Dépenses thématiques'!P306</f>
        <v>0</v>
      </c>
      <c r="G306" s="154">
        <f t="shared" si="17"/>
        <v>26.544290366608806</v>
      </c>
      <c r="H306" s="365">
        <f t="shared" si="18"/>
        <v>0</v>
      </c>
      <c r="I306" s="66">
        <f t="shared" si="19"/>
        <v>0</v>
      </c>
      <c r="J306" s="41">
        <f t="shared" si="20"/>
        <v>26.544290366608806</v>
      </c>
    </row>
    <row r="307" spans="1:13" x14ac:dyDescent="0.25">
      <c r="A307" s="57">
        <f>'A) Base RI'!A309</f>
        <v>5932</v>
      </c>
      <c r="B307" s="350" t="str">
        <f>'A) Base RI'!B309</f>
        <v>Ursins</v>
      </c>
      <c r="C307" s="109">
        <f>'B) D RI'!U309</f>
        <v>6366.2738461538456</v>
      </c>
      <c r="D307" s="126">
        <f>'E) Fact soc'!G313/C307</f>
        <v>16.474903317351561</v>
      </c>
      <c r="E307" s="154">
        <f>'H) Péréquation directe'!I318/C307</f>
        <v>3.5539452712798285</v>
      </c>
      <c r="F307" s="126">
        <f>'I) Dépenses thématiques'!P307</f>
        <v>-23.107178774369952</v>
      </c>
      <c r="G307" s="154">
        <f t="shared" si="17"/>
        <v>-3.0783301857385617</v>
      </c>
      <c r="H307" s="365">
        <f t="shared" si="18"/>
        <v>0</v>
      </c>
      <c r="I307" s="66">
        <f t="shared" si="19"/>
        <v>0</v>
      </c>
      <c r="J307" s="41">
        <f t="shared" si="20"/>
        <v>-3.0783301857385617</v>
      </c>
    </row>
    <row r="308" spans="1:13" x14ac:dyDescent="0.25">
      <c r="A308" s="57">
        <f>'A) Base RI'!A310</f>
        <v>5933</v>
      </c>
      <c r="B308" s="350" t="str">
        <f>'A) Base RI'!B310</f>
        <v>Valeyres-sous-Montagny</v>
      </c>
      <c r="C308" s="109">
        <f>'B) D RI'!U310</f>
        <v>19578.46263888889</v>
      </c>
      <c r="D308" s="126">
        <f>'E) Fact soc'!G314/C308</f>
        <v>17.517021698844943</v>
      </c>
      <c r="E308" s="154">
        <f>'H) Péréquation directe'!I319/C308</f>
        <v>3.0459957853417028</v>
      </c>
      <c r="F308" s="126">
        <f>'I) Dépenses thématiques'!P308</f>
        <v>-14.35886713703492</v>
      </c>
      <c r="G308" s="154">
        <f t="shared" si="17"/>
        <v>6.2041503471517245</v>
      </c>
      <c r="H308" s="365">
        <f t="shared" si="18"/>
        <v>0</v>
      </c>
      <c r="I308" s="66">
        <f t="shared" si="19"/>
        <v>0</v>
      </c>
      <c r="J308" s="41">
        <f t="shared" si="20"/>
        <v>6.2041503471517245</v>
      </c>
    </row>
    <row r="309" spans="1:13" x14ac:dyDescent="0.25">
      <c r="A309" s="57">
        <f>'A) Base RI'!A311</f>
        <v>5934</v>
      </c>
      <c r="B309" s="350" t="str">
        <f>'A) Base RI'!B311</f>
        <v>Valeyres-sous-Ursins</v>
      </c>
      <c r="C309" s="109">
        <f>'B) D RI'!U311</f>
        <v>6856.0722784810141</v>
      </c>
      <c r="D309" s="126">
        <f>'E) Fact soc'!G315/C309</f>
        <v>17.751848934708153</v>
      </c>
      <c r="E309" s="154">
        <f>'H) Péréquation directe'!I320/C309</f>
        <v>-0.48368538165657998</v>
      </c>
      <c r="F309" s="126">
        <f>'I) Dépenses thématiques'!P309</f>
        <v>-1.3931430931756803</v>
      </c>
      <c r="G309" s="154">
        <f t="shared" si="17"/>
        <v>15.875020459875891</v>
      </c>
      <c r="H309" s="365">
        <f t="shared" si="18"/>
        <v>0</v>
      </c>
      <c r="I309" s="66">
        <f t="shared" si="19"/>
        <v>0</v>
      </c>
      <c r="J309" s="41">
        <f t="shared" si="20"/>
        <v>15.875020459875891</v>
      </c>
    </row>
    <row r="310" spans="1:13" x14ac:dyDescent="0.25">
      <c r="A310" s="57">
        <f>'A) Base RI'!A312</f>
        <v>5935</v>
      </c>
      <c r="B310" s="350" t="str">
        <f>'A) Base RI'!B312</f>
        <v>Villars-Epeney</v>
      </c>
      <c r="C310" s="109">
        <f>'B) D RI'!U312</f>
        <v>4252.6353333333336</v>
      </c>
      <c r="D310" s="126">
        <f>'E) Fact soc'!G316/C310</f>
        <v>17.483395555215548</v>
      </c>
      <c r="E310" s="154">
        <f>'H) Péréquation directe'!I321/C310</f>
        <v>14.667569144009574</v>
      </c>
      <c r="F310" s="126">
        <f>'I) Dépenses thématiques'!P310</f>
        <v>-3.0281756670990672</v>
      </c>
      <c r="G310" s="154">
        <f t="shared" si="17"/>
        <v>29.122789032126054</v>
      </c>
      <c r="H310" s="365">
        <f t="shared" si="18"/>
        <v>0</v>
      </c>
      <c r="I310" s="66">
        <f t="shared" si="19"/>
        <v>0</v>
      </c>
      <c r="J310" s="41">
        <f t="shared" si="20"/>
        <v>29.122789032126054</v>
      </c>
    </row>
    <row r="311" spans="1:13" x14ac:dyDescent="0.25">
      <c r="A311" s="57">
        <f>'A) Base RI'!A313</f>
        <v>5937</v>
      </c>
      <c r="B311" s="350" t="str">
        <f>'A) Base RI'!B313</f>
        <v>Vugelles-La Mothe</v>
      </c>
      <c r="C311" s="109">
        <f>'B) D RI'!U313</f>
        <v>2272.9823469387752</v>
      </c>
      <c r="D311" s="126">
        <f>'E) Fact soc'!G317/C311</f>
        <v>18.341362566903236</v>
      </c>
      <c r="E311" s="154">
        <f>'H) Péréquation directe'!I322/C311</f>
        <v>-19.660908721077138</v>
      </c>
      <c r="F311" s="126">
        <f>'I) Dépenses thématiques'!P311</f>
        <v>-13.230137203982805</v>
      </c>
      <c r="G311" s="154">
        <f t="shared" si="17"/>
        <v>-14.549683358156708</v>
      </c>
      <c r="H311" s="365">
        <f t="shared" si="18"/>
        <v>0</v>
      </c>
      <c r="I311" s="66">
        <f t="shared" si="19"/>
        <v>0</v>
      </c>
      <c r="J311" s="41">
        <f t="shared" si="20"/>
        <v>-14.549683358156708</v>
      </c>
    </row>
    <row r="312" spans="1:13" x14ac:dyDescent="0.25">
      <c r="A312" s="57">
        <f>'A) Base RI'!A314</f>
        <v>5938</v>
      </c>
      <c r="B312" s="350" t="str">
        <f>'A) Base RI'!B314</f>
        <v>Yverdon-les-Bains</v>
      </c>
      <c r="C312" s="109">
        <f>'B) D RI'!U314</f>
        <v>809245.0162091502</v>
      </c>
      <c r="D312" s="126">
        <f>'E) Fact soc'!G318/C312</f>
        <v>18.866454409064485</v>
      </c>
      <c r="E312" s="154">
        <f>'H) Péréquation directe'!I323/C312</f>
        <v>-27.011679425160548</v>
      </c>
      <c r="F312" s="126">
        <f>'I) Dépenses thématiques'!P312</f>
        <v>-9.4998270923782719</v>
      </c>
      <c r="G312" s="154">
        <f t="shared" si="17"/>
        <v>-17.645052108474335</v>
      </c>
      <c r="H312" s="365">
        <f t="shared" si="18"/>
        <v>0</v>
      </c>
      <c r="I312" s="66">
        <f t="shared" si="19"/>
        <v>0</v>
      </c>
      <c r="J312" s="41">
        <f t="shared" si="20"/>
        <v>-17.645052108474335</v>
      </c>
    </row>
    <row r="313" spans="1:13" x14ac:dyDescent="0.25">
      <c r="A313" s="57">
        <f>'A) Base RI'!A315</f>
        <v>5939</v>
      </c>
      <c r="B313" s="350" t="str">
        <f>'A) Base RI'!B315</f>
        <v>Yvonand</v>
      </c>
      <c r="C313" s="109">
        <f>'B) D RI'!U315</f>
        <v>88261.067808219188</v>
      </c>
      <c r="D313" s="126">
        <f>'E) Fact soc'!G319/C313</f>
        <v>20.180848008640289</v>
      </c>
      <c r="E313" s="154">
        <f>'H) Péréquation directe'!I324/C313</f>
        <v>-5.5002188410315478</v>
      </c>
      <c r="F313" s="126">
        <f>'I) Dépenses thématiques'!P313</f>
        <v>-3.1009518073351332</v>
      </c>
      <c r="G313" s="154">
        <f t="shared" si="17"/>
        <v>11.57967736027361</v>
      </c>
      <c r="H313" s="365">
        <f t="shared" si="18"/>
        <v>0</v>
      </c>
      <c r="I313" s="66">
        <f t="shared" si="19"/>
        <v>0</v>
      </c>
      <c r="J313" s="41">
        <f t="shared" si="20"/>
        <v>11.57967736027361</v>
      </c>
    </row>
    <row r="314" spans="1:13" x14ac:dyDescent="0.25">
      <c r="A314" s="38"/>
      <c r="B314" s="357">
        <f>COUNTA(B5:B313)</f>
        <v>309</v>
      </c>
      <c r="C314" s="111">
        <f>SUM(C5:C313)</f>
        <v>36265640.391085088</v>
      </c>
      <c r="D314" s="366">
        <f>'E) Fact soc'!G320/C314</f>
        <v>21.24672256413297</v>
      </c>
      <c r="E314" s="125">
        <f>'H) Péréquation directe'!I325/C314</f>
        <v>4.0909513379670104</v>
      </c>
      <c r="F314" s="366">
        <f>'I) Dépenses thématiques'!P314</f>
        <v>-3.9999999999999942</v>
      </c>
      <c r="G314" s="125">
        <f>SUM(D314:F314)</f>
        <v>21.337673902099986</v>
      </c>
      <c r="H314" s="367"/>
      <c r="I314" s="45">
        <f>SUM(I5:I313)</f>
        <v>-10543379.305703679</v>
      </c>
      <c r="J314" s="25">
        <f>G314+H314</f>
        <v>21.337673902099986</v>
      </c>
      <c r="L314" s="17"/>
      <c r="M314" s="17"/>
    </row>
  </sheetData>
  <sheetProtection password="E95E" sheet="1" objects="1" scenarios="1"/>
  <mergeCells count="9">
    <mergeCell ref="C3:C4"/>
    <mergeCell ref="B3:B4"/>
    <mergeCell ref="A3:A4"/>
    <mergeCell ref="J3:J4"/>
    <mergeCell ref="I3:I4"/>
    <mergeCell ref="G3:G4"/>
    <mergeCell ref="F3:F4"/>
    <mergeCell ref="E3:E4"/>
    <mergeCell ref="D3:D4"/>
  </mergeCells>
  <phoneticPr fontId="0" type="noConversion"/>
  <printOptions horizontalCentered="1"/>
  <pageMargins left="0" right="0" top="0" bottom="0" header="0.51181102362204722" footer="0.51181102362204722"/>
  <pageSetup paperSize="9" scale="64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rgb="FF00B050"/>
  </sheetPr>
  <dimension ref="A1:Y316"/>
  <sheetViews>
    <sheetView workbookViewId="0">
      <selection activeCell="B32" sqref="B32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4" width="9.25" style="18" customWidth="1"/>
    <col min="5" max="5" width="11.625" style="18" customWidth="1"/>
    <col min="6" max="6" width="11" style="18" customWidth="1"/>
    <col min="7" max="7" width="10.375" style="18" customWidth="1"/>
    <col min="8" max="8" width="12.25" style="18" customWidth="1"/>
    <col min="9" max="9" width="10" style="18" customWidth="1"/>
    <col min="10" max="10" width="12.875" style="18" customWidth="1"/>
    <col min="11" max="14" width="12.125" style="18" customWidth="1"/>
    <col min="15" max="17" width="8.125" style="18" customWidth="1"/>
    <col min="18" max="16384" width="10.75" style="18"/>
  </cols>
  <sheetData>
    <row r="1" spans="1:25" s="51" customFormat="1" ht="20.25" customHeight="1" x14ac:dyDescent="0.25">
      <c r="A1" s="59" t="s">
        <v>4</v>
      </c>
      <c r="B1" s="50"/>
      <c r="C1" s="82"/>
      <c r="D1" s="82"/>
      <c r="E1" s="82"/>
      <c r="F1" s="82"/>
      <c r="G1" s="82"/>
      <c r="H1" s="82"/>
      <c r="I1" s="82"/>
      <c r="J1" s="82"/>
      <c r="L1" s="68"/>
      <c r="N1" s="18"/>
      <c r="O1" s="18"/>
      <c r="P1" s="18"/>
      <c r="Q1" s="18"/>
      <c r="R1" s="18"/>
      <c r="Y1" s="18"/>
    </row>
    <row r="3" spans="1:25" ht="45" customHeight="1" x14ac:dyDescent="0.25">
      <c r="A3" s="436" t="s">
        <v>50</v>
      </c>
      <c r="B3" s="436" t="s">
        <v>101</v>
      </c>
      <c r="C3" s="436" t="s">
        <v>377</v>
      </c>
      <c r="D3" s="436" t="s">
        <v>98</v>
      </c>
      <c r="E3" s="436" t="s">
        <v>334</v>
      </c>
      <c r="F3" s="436" t="s">
        <v>375</v>
      </c>
      <c r="G3" s="436" t="s">
        <v>376</v>
      </c>
      <c r="H3" s="436" t="s">
        <v>417</v>
      </c>
      <c r="I3" s="128" t="s">
        <v>151</v>
      </c>
      <c r="J3" s="436" t="s">
        <v>470</v>
      </c>
    </row>
    <row r="4" spans="1:25" x14ac:dyDescent="0.25">
      <c r="A4" s="437"/>
      <c r="B4" s="438"/>
      <c r="C4" s="437"/>
      <c r="D4" s="438"/>
      <c r="E4" s="437"/>
      <c r="F4" s="438"/>
      <c r="G4" s="437"/>
      <c r="H4" s="438"/>
      <c r="I4" s="159">
        <f>Paramètres!B48</f>
        <v>-6.5</v>
      </c>
      <c r="J4" s="437"/>
    </row>
    <row r="5" spans="1:25" x14ac:dyDescent="0.25">
      <c r="A5" s="54">
        <f>'A) Base RI'!A7</f>
        <v>5401</v>
      </c>
      <c r="B5" s="350" t="str">
        <f>'A) Base RI'!B7</f>
        <v>Aigle</v>
      </c>
      <c r="C5" s="108">
        <f>'B) D RI'!U7</f>
        <v>274204.16723456793</v>
      </c>
      <c r="D5" s="126">
        <f>'E) Fact soc'!G11/C5</f>
        <v>20.368874238144016</v>
      </c>
      <c r="E5" s="153">
        <f>'H) Péréquation directe'!I16/C5</f>
        <v>-9.6300037562954888</v>
      </c>
      <c r="F5" s="126">
        <f>'I) Dépenses thématiques'!P5</f>
        <v>-8.0158528412174359</v>
      </c>
      <c r="G5" s="153">
        <f>SUM(D5:F5)</f>
        <v>2.7230176406310918</v>
      </c>
      <c r="H5" s="126">
        <f>G5-F5</f>
        <v>10.738870481848528</v>
      </c>
      <c r="I5" s="153">
        <f>IF(H5&lt;I$4,H5-I$4,0)</f>
        <v>0</v>
      </c>
      <c r="J5" s="114">
        <f t="shared" ref="J5:J68" si="0">-I5*C5</f>
        <v>0</v>
      </c>
      <c r="K5" s="44"/>
    </row>
    <row r="6" spans="1:25" x14ac:dyDescent="0.25">
      <c r="A6" s="57">
        <f>'A) Base RI'!A8</f>
        <v>5402</v>
      </c>
      <c r="B6" s="350" t="str">
        <f>'A) Base RI'!B8</f>
        <v>Bex</v>
      </c>
      <c r="C6" s="109">
        <f>'B) D RI'!U8</f>
        <v>168618.65154929578</v>
      </c>
      <c r="D6" s="126">
        <f>'E) Fact soc'!G12/C6</f>
        <v>18.697920507328966</v>
      </c>
      <c r="E6" s="154">
        <f>'H) Péréquation directe'!I17/C6</f>
        <v>-20.222558767839704</v>
      </c>
      <c r="F6" s="126">
        <f>'I) Dépenses thématiques'!P6</f>
        <v>-10.716920805658356</v>
      </c>
      <c r="G6" s="154">
        <f t="shared" ref="G6:G69" si="1">SUM(D6:F6)</f>
        <v>-12.241559066169094</v>
      </c>
      <c r="H6" s="126">
        <f t="shared" ref="H6:H69" si="2">G6-F6</f>
        <v>-1.5246382605107378</v>
      </c>
      <c r="I6" s="154">
        <f t="shared" ref="I6:I69" si="3">IF(H6&lt;I$4,H6-I$4,0)</f>
        <v>0</v>
      </c>
      <c r="J6" s="66">
        <f t="shared" si="0"/>
        <v>0</v>
      </c>
      <c r="K6" s="44"/>
    </row>
    <row r="7" spans="1:25" x14ac:dyDescent="0.25">
      <c r="A7" s="57">
        <f>'A) Base RI'!A9</f>
        <v>5403</v>
      </c>
      <c r="B7" s="350" t="str">
        <f>'A) Base RI'!B9</f>
        <v>Chessel</v>
      </c>
      <c r="C7" s="109">
        <f>'B) D RI'!U9</f>
        <v>8336.8572368421064</v>
      </c>
      <c r="D7" s="126">
        <f>'E) Fact soc'!G13/C7</f>
        <v>18.315357463003128</v>
      </c>
      <c r="E7" s="154">
        <f>'H) Péréquation directe'!I18/C7</f>
        <v>-12.279366830102454</v>
      </c>
      <c r="F7" s="126">
        <f>'I) Dépenses thématiques'!P7</f>
        <v>-3.6065833386476185</v>
      </c>
      <c r="G7" s="154">
        <f t="shared" si="1"/>
        <v>2.4294072942530556</v>
      </c>
      <c r="H7" s="126">
        <f t="shared" si="2"/>
        <v>6.0359906329006741</v>
      </c>
      <c r="I7" s="154">
        <f t="shared" si="3"/>
        <v>0</v>
      </c>
      <c r="J7" s="66">
        <f t="shared" si="0"/>
        <v>0</v>
      </c>
      <c r="K7" s="44"/>
    </row>
    <row r="8" spans="1:25" x14ac:dyDescent="0.25">
      <c r="A8" s="57">
        <f>'A) Base RI'!A10</f>
        <v>5404</v>
      </c>
      <c r="B8" s="350" t="str">
        <f>'A) Base RI'!B10</f>
        <v>Corbeyrier</v>
      </c>
      <c r="C8" s="109">
        <f>'B) D RI'!U10</f>
        <v>11349.824285714287</v>
      </c>
      <c r="D8" s="126">
        <f>'E) Fact soc'!G14/C8</f>
        <v>19.06640044051262</v>
      </c>
      <c r="E8" s="154">
        <f>'H) Péréquation directe'!I19/C8</f>
        <v>0.20134676558551232</v>
      </c>
      <c r="F8" s="126">
        <f>'I) Dépenses thématiques'!P8</f>
        <v>-14.405594767947477</v>
      </c>
      <c r="G8" s="154">
        <f t="shared" si="1"/>
        <v>4.8621524381506553</v>
      </c>
      <c r="H8" s="126">
        <f t="shared" si="2"/>
        <v>19.267747206098132</v>
      </c>
      <c r="I8" s="154">
        <f t="shared" si="3"/>
        <v>0</v>
      </c>
      <c r="J8" s="66">
        <f t="shared" si="0"/>
        <v>0</v>
      </c>
      <c r="K8" s="44"/>
    </row>
    <row r="9" spans="1:25" x14ac:dyDescent="0.25">
      <c r="A9" s="57">
        <f>'A) Base RI'!A11</f>
        <v>5405</v>
      </c>
      <c r="B9" s="350" t="str">
        <f>'A) Base RI'!B11</f>
        <v>Gryon</v>
      </c>
      <c r="C9" s="109">
        <f>'B) D RI'!U11</f>
        <v>64864.951911111115</v>
      </c>
      <c r="D9" s="126">
        <f>'E) Fact soc'!G15/C9</f>
        <v>19.798525668594557</v>
      </c>
      <c r="E9" s="154">
        <f>'H) Péréquation directe'!I20/C9</f>
        <v>15.467301682957942</v>
      </c>
      <c r="F9" s="126">
        <f>'I) Dépenses thématiques'!P9</f>
        <v>-6.5475078146299133</v>
      </c>
      <c r="G9" s="154">
        <f t="shared" si="1"/>
        <v>28.718319536922589</v>
      </c>
      <c r="H9" s="126">
        <f t="shared" si="2"/>
        <v>35.265827351552502</v>
      </c>
      <c r="I9" s="154">
        <f t="shared" si="3"/>
        <v>0</v>
      </c>
      <c r="J9" s="66">
        <f t="shared" si="0"/>
        <v>0</v>
      </c>
      <c r="K9" s="44"/>
    </row>
    <row r="10" spans="1:25" x14ac:dyDescent="0.25">
      <c r="A10" s="57">
        <f>'A) Base RI'!A12</f>
        <v>5406</v>
      </c>
      <c r="B10" s="350" t="str">
        <f>'A) Base RI'!B12</f>
        <v>Lavey-Morcles</v>
      </c>
      <c r="C10" s="109">
        <f>'B) D RI'!U12</f>
        <v>20248.886901408452</v>
      </c>
      <c r="D10" s="126">
        <f>'E) Fact soc'!G16/C10</f>
        <v>15.777113058625165</v>
      </c>
      <c r="E10" s="154">
        <f>'H) Péréquation directe'!I21/C10</f>
        <v>-7.0540703700652436</v>
      </c>
      <c r="F10" s="126">
        <f>'I) Dépenses thématiques'!P10</f>
        <v>-3.6558258862541861</v>
      </c>
      <c r="G10" s="154">
        <f t="shared" si="1"/>
        <v>5.0672168023057349</v>
      </c>
      <c r="H10" s="126">
        <f t="shared" si="2"/>
        <v>8.7230426885599215</v>
      </c>
      <c r="I10" s="154">
        <f t="shared" si="3"/>
        <v>0</v>
      </c>
      <c r="J10" s="66">
        <f t="shared" si="0"/>
        <v>0</v>
      </c>
      <c r="K10" s="44"/>
    </row>
    <row r="11" spans="1:25" x14ac:dyDescent="0.25">
      <c r="A11" s="57">
        <f>'A) Base RI'!A13</f>
        <v>5407</v>
      </c>
      <c r="B11" s="350" t="str">
        <f>'A) Base RI'!B13</f>
        <v>Leysin</v>
      </c>
      <c r="C11" s="109">
        <f>'B) D RI'!U13</f>
        <v>82610.97474358973</v>
      </c>
      <c r="D11" s="126">
        <f>'E) Fact soc'!G17/C11</f>
        <v>18.33921573339914</v>
      </c>
      <c r="E11" s="154">
        <f>'H) Péréquation directe'!I22/C11</f>
        <v>-27.370516054206881</v>
      </c>
      <c r="F11" s="126">
        <f>'I) Dépenses thématiques'!P11</f>
        <v>-26.903133632280241</v>
      </c>
      <c r="G11" s="154">
        <f t="shared" si="1"/>
        <v>-35.934433953087982</v>
      </c>
      <c r="H11" s="126">
        <f t="shared" si="2"/>
        <v>-9.0313003208077411</v>
      </c>
      <c r="I11" s="154">
        <f t="shared" si="3"/>
        <v>-2.5313003208077411</v>
      </c>
      <c r="J11" s="66">
        <f t="shared" si="0"/>
        <v>209113.18687068889</v>
      </c>
      <c r="K11" s="44"/>
      <c r="L11" s="36"/>
    </row>
    <row r="12" spans="1:25" x14ac:dyDescent="0.25">
      <c r="A12" s="57">
        <f>'A) Base RI'!A14</f>
        <v>5408</v>
      </c>
      <c r="B12" s="350" t="str">
        <f>'A) Base RI'!B14</f>
        <v>Noville</v>
      </c>
      <c r="C12" s="109">
        <f>'B) D RI'!U14</f>
        <v>33419.560339702759</v>
      </c>
      <c r="D12" s="126">
        <f>'E) Fact soc'!G18/C12</f>
        <v>19.390865826192798</v>
      </c>
      <c r="E12" s="154">
        <f>'H) Péréquation directe'!I23/C12</f>
        <v>4.6689470121998742</v>
      </c>
      <c r="F12" s="126">
        <f>'I) Dépenses thématiques'!P12</f>
        <v>-3.3838866538533336</v>
      </c>
      <c r="G12" s="154">
        <f t="shared" si="1"/>
        <v>20.675926184539339</v>
      </c>
      <c r="H12" s="126">
        <f t="shared" si="2"/>
        <v>24.059812838392673</v>
      </c>
      <c r="I12" s="154">
        <f t="shared" si="3"/>
        <v>0</v>
      </c>
      <c r="J12" s="66">
        <f t="shared" si="0"/>
        <v>0</v>
      </c>
      <c r="K12" s="44"/>
    </row>
    <row r="13" spans="1:25" x14ac:dyDescent="0.25">
      <c r="A13" s="57">
        <f>'A) Base RI'!A15</f>
        <v>5409</v>
      </c>
      <c r="B13" s="350" t="str">
        <f>'A) Base RI'!B15</f>
        <v>Ollon</v>
      </c>
      <c r="C13" s="109">
        <f>'B) D RI'!U15</f>
        <v>366034.73937782802</v>
      </c>
      <c r="D13" s="126">
        <f>'E) Fact soc'!G19/C13</f>
        <v>20.448590415043149</v>
      </c>
      <c r="E13" s="154">
        <f>'H) Péréquation directe'!I24/C13</f>
        <v>9.9617104806584944</v>
      </c>
      <c r="F13" s="126">
        <f>'I) Dépenses thématiques'!P13</f>
        <v>-4.506665393678845</v>
      </c>
      <c r="G13" s="154">
        <f t="shared" si="1"/>
        <v>25.903635502022802</v>
      </c>
      <c r="H13" s="126">
        <f t="shared" si="2"/>
        <v>30.410300895701646</v>
      </c>
      <c r="I13" s="154">
        <f t="shared" si="3"/>
        <v>0</v>
      </c>
      <c r="J13" s="66">
        <f t="shared" si="0"/>
        <v>0</v>
      </c>
      <c r="K13" s="44"/>
    </row>
    <row r="14" spans="1:25" x14ac:dyDescent="0.25">
      <c r="A14" s="57">
        <f>'A) Base RI'!A16</f>
        <v>5410</v>
      </c>
      <c r="B14" s="350" t="str">
        <f>'A) Base RI'!B16</f>
        <v>Ormont-Dessous</v>
      </c>
      <c r="C14" s="109">
        <f>'B) D RI'!U16</f>
        <v>36452.210276008496</v>
      </c>
      <c r="D14" s="126">
        <f>'E) Fact soc'!G20/C14</f>
        <v>18.357680987090674</v>
      </c>
      <c r="E14" s="154">
        <f>'H) Péréquation directe'!I25/C14</f>
        <v>5.9289428578707266</v>
      </c>
      <c r="F14" s="126">
        <f>'I) Dépenses thématiques'!P14</f>
        <v>-22.280434985400461</v>
      </c>
      <c r="G14" s="154">
        <f t="shared" si="1"/>
        <v>2.0061888595609396</v>
      </c>
      <c r="H14" s="126">
        <f t="shared" si="2"/>
        <v>24.286623844961401</v>
      </c>
      <c r="I14" s="154">
        <f t="shared" si="3"/>
        <v>0</v>
      </c>
      <c r="J14" s="66">
        <f t="shared" si="0"/>
        <v>0</v>
      </c>
      <c r="K14" s="44"/>
    </row>
    <row r="15" spans="1:25" x14ac:dyDescent="0.25">
      <c r="A15" s="57">
        <f>'A) Base RI'!A17</f>
        <v>5411</v>
      </c>
      <c r="B15" s="350" t="str">
        <f>'A) Base RI'!B17</f>
        <v>Ormont-Dessus</v>
      </c>
      <c r="C15" s="109">
        <f>'B) D RI'!U17</f>
        <v>74047.924868421047</v>
      </c>
      <c r="D15" s="126">
        <f>'E) Fact soc'!G21/C15</f>
        <v>18.295680825553827</v>
      </c>
      <c r="E15" s="154">
        <f>'H) Péréquation directe'!I26/C15</f>
        <v>15.242992236902895</v>
      </c>
      <c r="F15" s="126">
        <f>'I) Dépenses thématiques'!P15</f>
        <v>-12.469194955426095</v>
      </c>
      <c r="G15" s="154">
        <f t="shared" si="1"/>
        <v>21.069478107030626</v>
      </c>
      <c r="H15" s="126">
        <f t="shared" si="2"/>
        <v>33.538673062456724</v>
      </c>
      <c r="I15" s="154">
        <f t="shared" si="3"/>
        <v>0</v>
      </c>
      <c r="J15" s="66">
        <f t="shared" si="0"/>
        <v>0</v>
      </c>
      <c r="K15" s="44"/>
    </row>
    <row r="16" spans="1:25" x14ac:dyDescent="0.25">
      <c r="A16" s="57">
        <f>'A) Base RI'!A18</f>
        <v>5412</v>
      </c>
      <c r="B16" s="350" t="str">
        <f>'A) Base RI'!B18</f>
        <v>Rennaz</v>
      </c>
      <c r="C16" s="109">
        <f>'B) D RI'!U18</f>
        <v>26224.228148148151</v>
      </c>
      <c r="D16" s="126">
        <f>'E) Fact soc'!G22/C16</f>
        <v>19.08387694518969</v>
      </c>
      <c r="E16" s="154">
        <f>'H) Péréquation directe'!I27/C16</f>
        <v>7.3421774289232742</v>
      </c>
      <c r="F16" s="126">
        <f>'I) Dépenses thématiques'!P16</f>
        <v>-3.8272108180275719</v>
      </c>
      <c r="G16" s="154">
        <f t="shared" si="1"/>
        <v>22.598843556085392</v>
      </c>
      <c r="H16" s="126">
        <f t="shared" si="2"/>
        <v>26.426054374112965</v>
      </c>
      <c r="I16" s="154">
        <f t="shared" si="3"/>
        <v>0</v>
      </c>
      <c r="J16" s="66">
        <f t="shared" si="0"/>
        <v>0</v>
      </c>
      <c r="K16" s="44"/>
    </row>
    <row r="17" spans="1:11" x14ac:dyDescent="0.25">
      <c r="A17" s="57">
        <f>'A) Base RI'!A19</f>
        <v>5413</v>
      </c>
      <c r="B17" s="350" t="str">
        <f>'A) Base RI'!B19</f>
        <v>Roche</v>
      </c>
      <c r="C17" s="109">
        <f>'B) D RI'!U19</f>
        <v>38924.228382352943</v>
      </c>
      <c r="D17" s="126">
        <f>'E) Fact soc'!G23/C17</f>
        <v>19.680463979165445</v>
      </c>
      <c r="E17" s="154">
        <f>'H) Péréquation directe'!I28/C17</f>
        <v>-4.8585805184001511</v>
      </c>
      <c r="F17" s="126">
        <f>'I) Dépenses thématiques'!P17</f>
        <v>0</v>
      </c>
      <c r="G17" s="154">
        <f t="shared" si="1"/>
        <v>14.821883460765294</v>
      </c>
      <c r="H17" s="126">
        <f t="shared" si="2"/>
        <v>14.821883460765294</v>
      </c>
      <c r="I17" s="154">
        <f t="shared" si="3"/>
        <v>0</v>
      </c>
      <c r="J17" s="66">
        <f t="shared" si="0"/>
        <v>0</v>
      </c>
      <c r="K17" s="44"/>
    </row>
    <row r="18" spans="1:11" x14ac:dyDescent="0.25">
      <c r="A18" s="57">
        <f>'A) Base RI'!A20</f>
        <v>5414</v>
      </c>
      <c r="B18" s="350" t="str">
        <f>'A) Base RI'!B20</f>
        <v>Villeneuve</v>
      </c>
      <c r="C18" s="109">
        <f>'B) D RI'!U20</f>
        <v>159863.47130434786</v>
      </c>
      <c r="D18" s="126">
        <f>'E) Fact soc'!G24/C18</f>
        <v>19.633204826757467</v>
      </c>
      <c r="E18" s="154">
        <f>'H) Péréquation directe'!I29/C18</f>
        <v>-4.364840356899709</v>
      </c>
      <c r="F18" s="126">
        <f>'I) Dépenses thématiques'!P18</f>
        <v>-9.6042794202514372</v>
      </c>
      <c r="G18" s="154">
        <f t="shared" si="1"/>
        <v>5.6640850496063209</v>
      </c>
      <c r="H18" s="126">
        <f t="shared" si="2"/>
        <v>15.268364469857758</v>
      </c>
      <c r="I18" s="154">
        <f t="shared" si="3"/>
        <v>0</v>
      </c>
      <c r="J18" s="66">
        <f t="shared" si="0"/>
        <v>0</v>
      </c>
      <c r="K18" s="44"/>
    </row>
    <row r="19" spans="1:11" x14ac:dyDescent="0.25">
      <c r="A19" s="57">
        <f>'A) Base RI'!A21</f>
        <v>5415</v>
      </c>
      <c r="B19" s="350" t="str">
        <f>'A) Base RI'!B21</f>
        <v>Yvorne</v>
      </c>
      <c r="C19" s="109">
        <f>'B) D RI'!U21</f>
        <v>35726.744476885644</v>
      </c>
      <c r="D19" s="126">
        <f>'E) Fact soc'!G25/C19</f>
        <v>18.533820481191448</v>
      </c>
      <c r="E19" s="154">
        <f>'H) Péréquation directe'!I30/C19</f>
        <v>8.9907463397146135</v>
      </c>
      <c r="F19" s="126">
        <f>'I) Dépenses thématiques'!P19</f>
        <v>-2.5396353855375819</v>
      </c>
      <c r="G19" s="154">
        <f t="shared" si="1"/>
        <v>24.984931435368477</v>
      </c>
      <c r="H19" s="126">
        <f t="shared" si="2"/>
        <v>27.52456682090606</v>
      </c>
      <c r="I19" s="154">
        <f t="shared" si="3"/>
        <v>0</v>
      </c>
      <c r="J19" s="66">
        <f t="shared" si="0"/>
        <v>0</v>
      </c>
      <c r="K19" s="44"/>
    </row>
    <row r="20" spans="1:11" x14ac:dyDescent="0.25">
      <c r="A20" s="57">
        <f>'A) Base RI'!A22</f>
        <v>5421</v>
      </c>
      <c r="B20" s="350" t="str">
        <f>'A) Base RI'!B22</f>
        <v>Apples</v>
      </c>
      <c r="C20" s="109">
        <f>'B) D RI'!U22</f>
        <v>59005.563421052633</v>
      </c>
      <c r="D20" s="126">
        <f>'E) Fact soc'!G26/C20</f>
        <v>15.639419195084702</v>
      </c>
      <c r="E20" s="154">
        <f>'H) Péréquation directe'!I31/C20</f>
        <v>12.784918810758644</v>
      </c>
      <c r="F20" s="126">
        <f>'I) Dépenses thématiques'!P20</f>
        <v>-1.2509295546126833</v>
      </c>
      <c r="G20" s="154">
        <f t="shared" si="1"/>
        <v>27.173408451230664</v>
      </c>
      <c r="H20" s="126">
        <f t="shared" si="2"/>
        <v>28.424338005843346</v>
      </c>
      <c r="I20" s="154">
        <f t="shared" si="3"/>
        <v>0</v>
      </c>
      <c r="J20" s="66">
        <f t="shared" si="0"/>
        <v>0</v>
      </c>
      <c r="K20" s="44"/>
    </row>
    <row r="21" spans="1:11" x14ac:dyDescent="0.25">
      <c r="A21" s="57">
        <f>'A) Base RI'!A23</f>
        <v>5422</v>
      </c>
      <c r="B21" s="350" t="str">
        <f>'A) Base RI'!B23</f>
        <v>Aubonne</v>
      </c>
      <c r="C21" s="109">
        <f>'B) D RI'!U23</f>
        <v>218988.17661764708</v>
      </c>
      <c r="D21" s="126">
        <f>'E) Fact soc'!G27/C21</f>
        <v>20.938956141892582</v>
      </c>
      <c r="E21" s="154">
        <f>'H) Péréquation directe'!I32/C21</f>
        <v>14.035786386575703</v>
      </c>
      <c r="F21" s="126">
        <f>'I) Dépenses thématiques'!P21</f>
        <v>0</v>
      </c>
      <c r="G21" s="154">
        <f t="shared" si="1"/>
        <v>34.974742528468283</v>
      </c>
      <c r="H21" s="126">
        <f t="shared" si="2"/>
        <v>34.974742528468283</v>
      </c>
      <c r="I21" s="154">
        <f t="shared" si="3"/>
        <v>0</v>
      </c>
      <c r="J21" s="66">
        <f t="shared" si="0"/>
        <v>0</v>
      </c>
      <c r="K21" s="44"/>
    </row>
    <row r="22" spans="1:11" x14ac:dyDescent="0.25">
      <c r="A22" s="57">
        <f>'A) Base RI'!A24</f>
        <v>5423</v>
      </c>
      <c r="B22" s="350" t="str">
        <f>'A) Base RI'!B24</f>
        <v>Ballens</v>
      </c>
      <c r="C22" s="109">
        <f>'B) D RI'!U24</f>
        <v>15358.055362318841</v>
      </c>
      <c r="D22" s="126">
        <f>'E) Fact soc'!G28/C22</f>
        <v>15.785303253388545</v>
      </c>
      <c r="E22" s="154">
        <f>'H) Péréquation directe'!I33/C22</f>
        <v>6.0764858090473464</v>
      </c>
      <c r="F22" s="126">
        <f>'I) Dépenses thématiques'!P22</f>
        <v>-6.5253740914538838</v>
      </c>
      <c r="G22" s="154">
        <f t="shared" si="1"/>
        <v>15.336414970982005</v>
      </c>
      <c r="H22" s="126">
        <f t="shared" si="2"/>
        <v>21.861789062435889</v>
      </c>
      <c r="I22" s="154">
        <f t="shared" si="3"/>
        <v>0</v>
      </c>
      <c r="J22" s="66">
        <f t="shared" si="0"/>
        <v>0</v>
      </c>
      <c r="K22" s="44"/>
    </row>
    <row r="23" spans="1:11" x14ac:dyDescent="0.25">
      <c r="A23" s="57">
        <f>'A) Base RI'!A25</f>
        <v>5424</v>
      </c>
      <c r="B23" s="350" t="str">
        <f>'A) Base RI'!B25</f>
        <v>Berolle</v>
      </c>
      <c r="C23" s="109">
        <f>'B) D RI'!U25</f>
        <v>9058.2428571428572</v>
      </c>
      <c r="D23" s="126">
        <f>'E) Fact soc'!G29/C23</f>
        <v>17.727193403115709</v>
      </c>
      <c r="E23" s="154">
        <f>'H) Péréquation directe'!I34/C23</f>
        <v>3.5753119800817745</v>
      </c>
      <c r="F23" s="126">
        <f>'I) Dépenses thématiques'!P23</f>
        <v>-0.70297766701425157</v>
      </c>
      <c r="G23" s="154">
        <f t="shared" si="1"/>
        <v>20.599527716183232</v>
      </c>
      <c r="H23" s="126">
        <f t="shared" si="2"/>
        <v>21.302505383197484</v>
      </c>
      <c r="I23" s="154">
        <f t="shared" si="3"/>
        <v>0</v>
      </c>
      <c r="J23" s="66">
        <f t="shared" si="0"/>
        <v>0</v>
      </c>
      <c r="K23" s="44"/>
    </row>
    <row r="24" spans="1:11" x14ac:dyDescent="0.25">
      <c r="A24" s="57">
        <f>'A) Base RI'!A26</f>
        <v>5425</v>
      </c>
      <c r="B24" s="350" t="str">
        <f>'A) Base RI'!B26</f>
        <v>Bière</v>
      </c>
      <c r="C24" s="109">
        <f>'B) D RI'!U26</f>
        <v>39413.041470588236</v>
      </c>
      <c r="D24" s="126">
        <f>'E) Fact soc'!G30/C24</f>
        <v>19.872208737729675</v>
      </c>
      <c r="E24" s="154">
        <f>'H) Péréquation directe'!I35/C24</f>
        <v>-2.8087619052610995</v>
      </c>
      <c r="F24" s="126">
        <f>'I) Dépenses thématiques'!P24</f>
        <v>-11.477747024980957</v>
      </c>
      <c r="G24" s="154">
        <f t="shared" si="1"/>
        <v>5.5856998074876181</v>
      </c>
      <c r="H24" s="126">
        <f t="shared" si="2"/>
        <v>17.063446832468575</v>
      </c>
      <c r="I24" s="154">
        <f t="shared" si="3"/>
        <v>0</v>
      </c>
      <c r="J24" s="66">
        <f t="shared" si="0"/>
        <v>0</v>
      </c>
      <c r="K24" s="44"/>
    </row>
    <row r="25" spans="1:11" x14ac:dyDescent="0.25">
      <c r="A25" s="57">
        <f>'A) Base RI'!A27</f>
        <v>5426</v>
      </c>
      <c r="B25" s="350" t="str">
        <f>'A) Base RI'!B27</f>
        <v>Bougy-Villars</v>
      </c>
      <c r="C25" s="109">
        <f>'B) D RI'!U27</f>
        <v>42567.7185483871</v>
      </c>
      <c r="D25" s="126">
        <f>'E) Fact soc'!G31/C25</f>
        <v>90.620837088496671</v>
      </c>
      <c r="E25" s="154">
        <f>'H) Péréquation directe'!I36/C25</f>
        <v>16.197281725238444</v>
      </c>
      <c r="F25" s="126">
        <f>'I) Dépenses thématiques'!P25</f>
        <v>0</v>
      </c>
      <c r="G25" s="154">
        <f t="shared" si="1"/>
        <v>106.81811881373511</v>
      </c>
      <c r="H25" s="126">
        <f t="shared" si="2"/>
        <v>106.81811881373511</v>
      </c>
      <c r="I25" s="154">
        <f t="shared" si="3"/>
        <v>0</v>
      </c>
      <c r="J25" s="66">
        <f t="shared" si="0"/>
        <v>0</v>
      </c>
      <c r="K25" s="44"/>
    </row>
    <row r="26" spans="1:11" x14ac:dyDescent="0.25">
      <c r="A26" s="57">
        <f>'A) Base RI'!A28</f>
        <v>5427</v>
      </c>
      <c r="B26" s="350" t="str">
        <f>'A) Base RI'!B28</f>
        <v>Féchy</v>
      </c>
      <c r="C26" s="109">
        <f>'B) D RI'!U28</f>
        <v>68786.678798076915</v>
      </c>
      <c r="D26" s="126">
        <f>'E) Fact soc'!G32/C26</f>
        <v>23.892403175543532</v>
      </c>
      <c r="E26" s="154">
        <f>'H) Péréquation directe'!I37/C26</f>
        <v>16.498285023868007</v>
      </c>
      <c r="F26" s="126">
        <f>'I) Dépenses thématiques'!P26</f>
        <v>0</v>
      </c>
      <c r="G26" s="154">
        <f t="shared" si="1"/>
        <v>40.390688199411542</v>
      </c>
      <c r="H26" s="126">
        <f t="shared" si="2"/>
        <v>40.390688199411542</v>
      </c>
      <c r="I26" s="154">
        <f t="shared" si="3"/>
        <v>0</v>
      </c>
      <c r="J26" s="66">
        <f t="shared" si="0"/>
        <v>0</v>
      </c>
      <c r="K26" s="44"/>
    </row>
    <row r="27" spans="1:11" x14ac:dyDescent="0.25">
      <c r="A27" s="57">
        <f>'A) Base RI'!A29</f>
        <v>5428</v>
      </c>
      <c r="B27" s="350" t="str">
        <f>'A) Base RI'!B29</f>
        <v>Gimel</v>
      </c>
      <c r="C27" s="109">
        <f>'B) D RI'!U29</f>
        <v>58004.622727272719</v>
      </c>
      <c r="D27" s="126">
        <f>'E) Fact soc'!G33/C27</f>
        <v>20.544930765300833</v>
      </c>
      <c r="E27" s="154">
        <f>'H) Péréquation directe'!I38/C27</f>
        <v>0.83184157156208527</v>
      </c>
      <c r="F27" s="126">
        <f>'I) Dépenses thématiques'!P27</f>
        <v>-24.442309768720197</v>
      </c>
      <c r="G27" s="154">
        <f t="shared" si="1"/>
        <v>-3.0655374318572797</v>
      </c>
      <c r="H27" s="126">
        <f t="shared" si="2"/>
        <v>21.376772336862917</v>
      </c>
      <c r="I27" s="154">
        <f t="shared" si="3"/>
        <v>0</v>
      </c>
      <c r="J27" s="66">
        <f t="shared" si="0"/>
        <v>0</v>
      </c>
      <c r="K27" s="44"/>
    </row>
    <row r="28" spans="1:11" x14ac:dyDescent="0.25">
      <c r="A28" s="57">
        <f>'A) Base RI'!A30</f>
        <v>5429</v>
      </c>
      <c r="B28" s="350" t="str">
        <f>'A) Base RI'!B30</f>
        <v>Longirod</v>
      </c>
      <c r="C28" s="109">
        <f>'B) D RI'!U30</f>
        <v>12171.349506172839</v>
      </c>
      <c r="D28" s="126">
        <f>'E) Fact soc'!G34/C28</f>
        <v>21.978889880499345</v>
      </c>
      <c r="E28" s="154">
        <f>'H) Péréquation directe'!I39/C28</f>
        <v>-3.5598767818224317</v>
      </c>
      <c r="F28" s="126">
        <f>'I) Dépenses thématiques'!P28</f>
        <v>-10.362565363335856</v>
      </c>
      <c r="G28" s="154">
        <f t="shared" si="1"/>
        <v>8.0564477353410577</v>
      </c>
      <c r="H28" s="126">
        <f t="shared" si="2"/>
        <v>18.419013098676913</v>
      </c>
      <c r="I28" s="154">
        <f t="shared" si="3"/>
        <v>0</v>
      </c>
      <c r="J28" s="66">
        <f t="shared" si="0"/>
        <v>0</v>
      </c>
      <c r="K28" s="44"/>
    </row>
    <row r="29" spans="1:11" x14ac:dyDescent="0.25">
      <c r="A29" s="57">
        <f>'A) Base RI'!A31</f>
        <v>5430</v>
      </c>
      <c r="B29" s="350" t="str">
        <f>'A) Base RI'!B31</f>
        <v>Marchissy</v>
      </c>
      <c r="C29" s="109">
        <f>'B) D RI'!U31</f>
        <v>10573.165189873416</v>
      </c>
      <c r="D29" s="126">
        <f>'E) Fact soc'!G35/C29</f>
        <v>19.619069237905563</v>
      </c>
      <c r="E29" s="154">
        <f>'H) Péréquation directe'!I40/C29</f>
        <v>-6.1765866070397237</v>
      </c>
      <c r="F29" s="126">
        <f>'I) Dépenses thématiques'!P29</f>
        <v>-11.832901506451464</v>
      </c>
      <c r="G29" s="154">
        <f t="shared" si="1"/>
        <v>1.6095811244143761</v>
      </c>
      <c r="H29" s="126">
        <f t="shared" si="2"/>
        <v>13.44248263086584</v>
      </c>
      <c r="I29" s="154">
        <f t="shared" si="3"/>
        <v>0</v>
      </c>
      <c r="J29" s="66">
        <f t="shared" si="0"/>
        <v>0</v>
      </c>
      <c r="K29" s="44"/>
    </row>
    <row r="30" spans="1:11" x14ac:dyDescent="0.25">
      <c r="A30" s="57">
        <f>'A) Base RI'!A32</f>
        <v>5431</v>
      </c>
      <c r="B30" s="350" t="str">
        <f>'A) Base RI'!B32</f>
        <v>Mollens</v>
      </c>
      <c r="C30" s="109">
        <f>'B) D RI'!U32</f>
        <v>11206.031081081082</v>
      </c>
      <c r="D30" s="126">
        <f>'E) Fact soc'!G36/C30</f>
        <v>17.338417089998028</v>
      </c>
      <c r="E30" s="154">
        <f>'H) Péréquation directe'!I41/C30</f>
        <v>12.000771887751259</v>
      </c>
      <c r="F30" s="126">
        <f>'I) Dépenses thématiques'!P30</f>
        <v>-1.0183079055527777</v>
      </c>
      <c r="G30" s="154">
        <f t="shared" si="1"/>
        <v>28.32088107219651</v>
      </c>
      <c r="H30" s="126">
        <f t="shared" si="2"/>
        <v>29.339188977749288</v>
      </c>
      <c r="I30" s="154">
        <f t="shared" si="3"/>
        <v>0</v>
      </c>
      <c r="J30" s="66">
        <f t="shared" si="0"/>
        <v>0</v>
      </c>
      <c r="K30" s="44"/>
    </row>
    <row r="31" spans="1:11" x14ac:dyDescent="0.25">
      <c r="A31" s="57">
        <f>'A) Base RI'!A33</f>
        <v>5432</v>
      </c>
      <c r="B31" s="350" t="str">
        <f>'A) Base RI'!B33</f>
        <v>Montherod</v>
      </c>
      <c r="C31" s="109">
        <f>'B) D RI'!U33</f>
        <v>17725.419230769232</v>
      </c>
      <c r="D31" s="126">
        <f>'E) Fact soc'!G37/C31</f>
        <v>18.43804632866604</v>
      </c>
      <c r="E31" s="154">
        <f>'H) Péréquation directe'!I42/C31</f>
        <v>7.790962537815509</v>
      </c>
      <c r="F31" s="126">
        <f>'I) Dépenses thématiques'!P31</f>
        <v>-0.28720375194839387</v>
      </c>
      <c r="G31" s="154">
        <f t="shared" si="1"/>
        <v>25.941805114533157</v>
      </c>
      <c r="H31" s="126">
        <f t="shared" si="2"/>
        <v>26.22900886648155</v>
      </c>
      <c r="I31" s="154">
        <f t="shared" si="3"/>
        <v>0</v>
      </c>
      <c r="J31" s="66">
        <f t="shared" si="0"/>
        <v>0</v>
      </c>
      <c r="K31" s="44"/>
    </row>
    <row r="32" spans="1:11" x14ac:dyDescent="0.25">
      <c r="A32" s="57">
        <f>'A) Base RI'!A34</f>
        <v>5434</v>
      </c>
      <c r="B32" s="350" t="str">
        <f>'A) Base RI'!B34</f>
        <v>Saint-George</v>
      </c>
      <c r="C32" s="109">
        <f>'B) D RI'!U34</f>
        <v>35895.731094890507</v>
      </c>
      <c r="D32" s="126">
        <f>'E) Fact soc'!G38/C32</f>
        <v>18.013980070074265</v>
      </c>
      <c r="E32" s="154">
        <f>'H) Péréquation directe'!I43/C32</f>
        <v>11.38949172915834</v>
      </c>
      <c r="F32" s="126">
        <f>'I) Dépenses thématiques'!P32</f>
        <v>-3.2672316229110789</v>
      </c>
      <c r="G32" s="154">
        <f t="shared" si="1"/>
        <v>26.136240176321525</v>
      </c>
      <c r="H32" s="126">
        <f t="shared" si="2"/>
        <v>29.403471799232605</v>
      </c>
      <c r="I32" s="154">
        <f t="shared" si="3"/>
        <v>0</v>
      </c>
      <c r="J32" s="66">
        <f t="shared" si="0"/>
        <v>0</v>
      </c>
      <c r="K32" s="44"/>
    </row>
    <row r="33" spans="1:11" x14ac:dyDescent="0.25">
      <c r="A33" s="57">
        <f>'A) Base RI'!A35</f>
        <v>5435</v>
      </c>
      <c r="B33" s="350" t="str">
        <f>'A) Base RI'!B35</f>
        <v>Saint-Livres</v>
      </c>
      <c r="C33" s="109">
        <f>'B) D RI'!U35</f>
        <v>22398.12956521739</v>
      </c>
      <c r="D33" s="126">
        <f>'E) Fact soc'!G39/C33</f>
        <v>15.567297124949718</v>
      </c>
      <c r="E33" s="154">
        <f>'H) Péréquation directe'!I44/C33</f>
        <v>8.2967683097388196</v>
      </c>
      <c r="F33" s="126">
        <f>'I) Dépenses thématiques'!P33</f>
        <v>-8.4453092216962542</v>
      </c>
      <c r="G33" s="154">
        <f t="shared" si="1"/>
        <v>15.418756212992283</v>
      </c>
      <c r="H33" s="126">
        <f t="shared" si="2"/>
        <v>23.864065434688538</v>
      </c>
      <c r="I33" s="154">
        <f t="shared" si="3"/>
        <v>0</v>
      </c>
      <c r="J33" s="66">
        <f t="shared" si="0"/>
        <v>0</v>
      </c>
      <c r="K33" s="44"/>
    </row>
    <row r="34" spans="1:11" x14ac:dyDescent="0.25">
      <c r="A34" s="57">
        <f>'A) Base RI'!A36</f>
        <v>5436</v>
      </c>
      <c r="B34" s="350" t="str">
        <f>'A) Base RI'!B36</f>
        <v>Saint-Oyens</v>
      </c>
      <c r="C34" s="109">
        <f>'B) D RI'!U36</f>
        <v>10474.604814814815</v>
      </c>
      <c r="D34" s="126">
        <f>'E) Fact soc'!G40/C34</f>
        <v>18.197388716282781</v>
      </c>
      <c r="E34" s="154">
        <f>'H) Péréquation directe'!I45/C34</f>
        <v>2.0637268206112749</v>
      </c>
      <c r="F34" s="126">
        <f>'I) Dépenses thématiques'!P34</f>
        <v>-4.3176786038125554</v>
      </c>
      <c r="G34" s="154">
        <f t="shared" si="1"/>
        <v>15.9434369330815</v>
      </c>
      <c r="H34" s="126">
        <f t="shared" si="2"/>
        <v>20.261115536894057</v>
      </c>
      <c r="I34" s="154">
        <f t="shared" si="3"/>
        <v>0</v>
      </c>
      <c r="J34" s="66">
        <f t="shared" si="0"/>
        <v>0</v>
      </c>
      <c r="K34" s="44"/>
    </row>
    <row r="35" spans="1:11" x14ac:dyDescent="0.25">
      <c r="A35" s="57">
        <f>'A) Base RI'!A37</f>
        <v>5437</v>
      </c>
      <c r="B35" s="350" t="str">
        <f>'A) Base RI'!B37</f>
        <v>Saubraz</v>
      </c>
      <c r="C35" s="109">
        <f>'B) D RI'!U37</f>
        <v>10138.793125</v>
      </c>
      <c r="D35" s="126">
        <f>'E) Fact soc'!G41/C35</f>
        <v>20.213181458119383</v>
      </c>
      <c r="E35" s="154">
        <f>'H) Péréquation directe'!I46/C35</f>
        <v>-7.6597547981434682</v>
      </c>
      <c r="F35" s="126">
        <f>'I) Dépenses thématiques'!P35</f>
        <v>-0.44363305467401121</v>
      </c>
      <c r="G35" s="154">
        <f t="shared" si="1"/>
        <v>12.109793605301904</v>
      </c>
      <c r="H35" s="126">
        <f t="shared" si="2"/>
        <v>12.553426659975916</v>
      </c>
      <c r="I35" s="154">
        <f t="shared" si="3"/>
        <v>0</v>
      </c>
      <c r="J35" s="66">
        <f t="shared" si="0"/>
        <v>0</v>
      </c>
      <c r="K35" s="44"/>
    </row>
    <row r="36" spans="1:11" x14ac:dyDescent="0.25">
      <c r="A36" s="57">
        <f>'A) Base RI'!A38</f>
        <v>5451</v>
      </c>
      <c r="B36" s="350" t="str">
        <f>'A) Base RI'!B38</f>
        <v>Avenches</v>
      </c>
      <c r="C36" s="109">
        <f>'B) D RI'!U38</f>
        <v>109207.82382352941</v>
      </c>
      <c r="D36" s="126">
        <f>'E) Fact soc'!G42/C36</f>
        <v>20.479101725991612</v>
      </c>
      <c r="E36" s="154">
        <f>'H) Péréquation directe'!I47/C36</f>
        <v>-6.6616110136326174</v>
      </c>
      <c r="F36" s="126">
        <f>'I) Dépenses thématiques'!P36</f>
        <v>-32.216293186101581</v>
      </c>
      <c r="G36" s="154">
        <f t="shared" si="1"/>
        <v>-18.398802473742585</v>
      </c>
      <c r="H36" s="126">
        <f t="shared" si="2"/>
        <v>13.817490712358996</v>
      </c>
      <c r="I36" s="154">
        <f t="shared" si="3"/>
        <v>0</v>
      </c>
      <c r="J36" s="66">
        <f t="shared" si="0"/>
        <v>0</v>
      </c>
      <c r="K36" s="44"/>
    </row>
    <row r="37" spans="1:11" x14ac:dyDescent="0.25">
      <c r="A37" s="57">
        <f>'A) Base RI'!A39</f>
        <v>5456</v>
      </c>
      <c r="B37" s="350" t="str">
        <f>'A) Base RI'!B39</f>
        <v>Cudrefin</v>
      </c>
      <c r="C37" s="109">
        <f>'B) D RI'!U39</f>
        <v>51373.818644067804</v>
      </c>
      <c r="D37" s="126">
        <f>'E) Fact soc'!G43/C37</f>
        <v>16.807671484796085</v>
      </c>
      <c r="E37" s="154">
        <f>'H) Péréquation directe'!I48/C37</f>
        <v>8.003029287414444</v>
      </c>
      <c r="F37" s="126">
        <f>'I) Dépenses thématiques'!P37</f>
        <v>-9.4052812525552927</v>
      </c>
      <c r="G37" s="154">
        <f t="shared" si="1"/>
        <v>15.405419519655238</v>
      </c>
      <c r="H37" s="126">
        <f t="shared" si="2"/>
        <v>24.810700772210531</v>
      </c>
      <c r="I37" s="154">
        <f t="shared" si="3"/>
        <v>0</v>
      </c>
      <c r="J37" s="66">
        <f t="shared" si="0"/>
        <v>0</v>
      </c>
      <c r="K37" s="44"/>
    </row>
    <row r="38" spans="1:11" x14ac:dyDescent="0.25">
      <c r="A38" s="57">
        <f>'A) Base RI'!A40</f>
        <v>5458</v>
      </c>
      <c r="B38" s="350" t="str">
        <f>'A) Base RI'!B40</f>
        <v>Faoug</v>
      </c>
      <c r="C38" s="109">
        <f>'B) D RI'!U40</f>
        <v>31692.092968750003</v>
      </c>
      <c r="D38" s="126">
        <f>'E) Fact soc'!G44/C38</f>
        <v>17.448499574574406</v>
      </c>
      <c r="E38" s="154">
        <f>'H) Péréquation directe'!I49/C38</f>
        <v>12.117038730995404</v>
      </c>
      <c r="F38" s="126">
        <f>'I) Dépenses thématiques'!P38</f>
        <v>-0.78481851339897346</v>
      </c>
      <c r="G38" s="154">
        <f t="shared" si="1"/>
        <v>28.780719792170835</v>
      </c>
      <c r="H38" s="126">
        <f t="shared" si="2"/>
        <v>29.56553830556981</v>
      </c>
      <c r="I38" s="154">
        <f t="shared" si="3"/>
        <v>0</v>
      </c>
      <c r="J38" s="66">
        <f t="shared" si="0"/>
        <v>0</v>
      </c>
      <c r="K38" s="44"/>
    </row>
    <row r="39" spans="1:11" x14ac:dyDescent="0.25">
      <c r="A39" s="57">
        <f>'A) Base RI'!A41</f>
        <v>5464</v>
      </c>
      <c r="B39" s="350" t="str">
        <f>'A) Base RI'!B41</f>
        <v>Vully-les-Lacs</v>
      </c>
      <c r="C39" s="109">
        <f>'B) D RI'!U41</f>
        <v>96310.385124378095</v>
      </c>
      <c r="D39" s="126">
        <f>'E) Fact soc'!G45/C39</f>
        <v>20.638346241038199</v>
      </c>
      <c r="E39" s="154">
        <f>'H) Péréquation directe'!I50/C39</f>
        <v>4.0330393466068193</v>
      </c>
      <c r="F39" s="126">
        <f>'I) Dépenses thématiques'!P39</f>
        <v>-32.672910285231922</v>
      </c>
      <c r="G39" s="154">
        <f t="shared" si="1"/>
        <v>-8.0015246975869019</v>
      </c>
      <c r="H39" s="126">
        <f t="shared" si="2"/>
        <v>24.67138558764502</v>
      </c>
      <c r="I39" s="154">
        <f t="shared" si="3"/>
        <v>0</v>
      </c>
      <c r="J39" s="66">
        <f t="shared" si="0"/>
        <v>0</v>
      </c>
      <c r="K39" s="44"/>
    </row>
    <row r="40" spans="1:11" x14ac:dyDescent="0.25">
      <c r="A40" s="57">
        <f>'A) Base RI'!A42</f>
        <v>5471</v>
      </c>
      <c r="B40" s="350" t="str">
        <f>'A) Base RI'!B42</f>
        <v>Bettens</v>
      </c>
      <c r="C40" s="109">
        <f>'B) D RI'!U42</f>
        <v>16449.086587301586</v>
      </c>
      <c r="D40" s="126">
        <f>'E) Fact soc'!G46/C40</f>
        <v>16.810079456412875</v>
      </c>
      <c r="E40" s="154">
        <f>'H) Péréquation directe'!I51/C40</f>
        <v>3.4125913815413136</v>
      </c>
      <c r="F40" s="126">
        <f>'I) Dépenses thématiques'!P40</f>
        <v>-1.9125864202008673</v>
      </c>
      <c r="G40" s="154">
        <f t="shared" si="1"/>
        <v>18.310084417753323</v>
      </c>
      <c r="H40" s="126">
        <f t="shared" si="2"/>
        <v>20.22267083795419</v>
      </c>
      <c r="I40" s="154">
        <f t="shared" si="3"/>
        <v>0</v>
      </c>
      <c r="J40" s="66">
        <f t="shared" si="0"/>
        <v>0</v>
      </c>
      <c r="K40" s="44"/>
    </row>
    <row r="41" spans="1:11" x14ac:dyDescent="0.25">
      <c r="A41" s="57">
        <f>'A) Base RI'!A43</f>
        <v>5472</v>
      </c>
      <c r="B41" s="350" t="str">
        <f>'A) Base RI'!B43</f>
        <v>Bournens</v>
      </c>
      <c r="C41" s="109">
        <f>'B) D RI'!U43</f>
        <v>14191.801124999998</v>
      </c>
      <c r="D41" s="126">
        <f>'E) Fact soc'!G47/C41</f>
        <v>19.009484895733468</v>
      </c>
      <c r="E41" s="154">
        <f>'H) Péréquation directe'!I52/C41</f>
        <v>11.608730738745072</v>
      </c>
      <c r="F41" s="126">
        <f>'I) Dépenses thématiques'!P41</f>
        <v>-1.1201121751360064</v>
      </c>
      <c r="G41" s="154">
        <f t="shared" si="1"/>
        <v>29.498103459342531</v>
      </c>
      <c r="H41" s="126">
        <f t="shared" si="2"/>
        <v>30.618215634478538</v>
      </c>
      <c r="I41" s="154">
        <f t="shared" si="3"/>
        <v>0</v>
      </c>
      <c r="J41" s="66">
        <f t="shared" si="0"/>
        <v>0</v>
      </c>
      <c r="K41" s="44"/>
    </row>
    <row r="42" spans="1:11" x14ac:dyDescent="0.25">
      <c r="A42" s="57">
        <f>'A) Base RI'!A44</f>
        <v>5473</v>
      </c>
      <c r="B42" s="350" t="str">
        <f>'A) Base RI'!B44</f>
        <v>Boussens</v>
      </c>
      <c r="C42" s="109">
        <f>'B) D RI'!U44</f>
        <v>32757.052898550723</v>
      </c>
      <c r="D42" s="126">
        <f>'E) Fact soc'!G48/C42</f>
        <v>16.85533708813028</v>
      </c>
      <c r="E42" s="154">
        <f>'H) Péréquation directe'!I53/C42</f>
        <v>9.1062886370624732</v>
      </c>
      <c r="F42" s="126">
        <f>'I) Dépenses thématiques'!P42</f>
        <v>0</v>
      </c>
      <c r="G42" s="154">
        <f t="shared" si="1"/>
        <v>25.961625725192754</v>
      </c>
      <c r="H42" s="126">
        <f t="shared" si="2"/>
        <v>25.961625725192754</v>
      </c>
      <c r="I42" s="154">
        <f t="shared" si="3"/>
        <v>0</v>
      </c>
      <c r="J42" s="66">
        <f t="shared" si="0"/>
        <v>0</v>
      </c>
      <c r="K42" s="44"/>
    </row>
    <row r="43" spans="1:11" x14ac:dyDescent="0.25">
      <c r="A43" s="57">
        <f>'A) Base RI'!A45</f>
        <v>5474</v>
      </c>
      <c r="B43" s="350" t="str">
        <f>'A) Base RI'!B45</f>
        <v>La Chaux (Cossonay)</v>
      </c>
      <c r="C43" s="109">
        <f>'B) D RI'!U45</f>
        <v>12924.858852813852</v>
      </c>
      <c r="D43" s="126">
        <f>'E) Fact soc'!G49/C43</f>
        <v>19.073529219889963</v>
      </c>
      <c r="E43" s="154">
        <f>'H) Péréquation directe'!I54/C43</f>
        <v>4.3433497860735759</v>
      </c>
      <c r="F43" s="126">
        <f>'I) Dépenses thématiques'!P43</f>
        <v>-40.751109537543243</v>
      </c>
      <c r="G43" s="154">
        <f t="shared" si="1"/>
        <v>-17.334230531579706</v>
      </c>
      <c r="H43" s="126">
        <f t="shared" si="2"/>
        <v>23.416879005963537</v>
      </c>
      <c r="I43" s="154">
        <f t="shared" si="3"/>
        <v>0</v>
      </c>
      <c r="J43" s="66">
        <f t="shared" si="0"/>
        <v>0</v>
      </c>
      <c r="K43" s="44"/>
    </row>
    <row r="44" spans="1:11" x14ac:dyDescent="0.25">
      <c r="A44" s="57">
        <f>'A) Base RI'!A46</f>
        <v>5475</v>
      </c>
      <c r="B44" s="350" t="str">
        <f>'A) Base RI'!B46</f>
        <v>Chavannes-le-Veyron</v>
      </c>
      <c r="C44" s="109">
        <f>'B) D RI'!U46</f>
        <v>2672.7945454545452</v>
      </c>
      <c r="D44" s="126">
        <f>'E) Fact soc'!G50/C44</f>
        <v>27.8555305970056</v>
      </c>
      <c r="E44" s="154">
        <f>'H) Péréquation directe'!I55/C44</f>
        <v>-20.141139838920889</v>
      </c>
      <c r="F44" s="126">
        <f>'I) Dépenses thématiques'!P44</f>
        <v>-4.6773965531943551</v>
      </c>
      <c r="G44" s="154">
        <f t="shared" si="1"/>
        <v>3.0369942048903562</v>
      </c>
      <c r="H44" s="126">
        <f t="shared" si="2"/>
        <v>7.7143907580847113</v>
      </c>
      <c r="I44" s="154">
        <f t="shared" si="3"/>
        <v>0</v>
      </c>
      <c r="J44" s="66">
        <f t="shared" si="0"/>
        <v>0</v>
      </c>
      <c r="K44" s="44"/>
    </row>
    <row r="45" spans="1:11" x14ac:dyDescent="0.25">
      <c r="A45" s="57">
        <f>'A) Base RI'!A47</f>
        <v>5476</v>
      </c>
      <c r="B45" s="350" t="str">
        <f>'A) Base RI'!B47</f>
        <v>Chevilly</v>
      </c>
      <c r="C45" s="109">
        <f>'B) D RI'!U47</f>
        <v>10247.952162162162</v>
      </c>
      <c r="D45" s="126">
        <f>'E) Fact soc'!G51/C45</f>
        <v>17.72325780139677</v>
      </c>
      <c r="E45" s="154">
        <f>'H) Péréquation directe'!I56/C45</f>
        <v>8.8983254961312461</v>
      </c>
      <c r="F45" s="126">
        <f>'I) Dépenses thématiques'!P45</f>
        <v>-0.2166479217790854</v>
      </c>
      <c r="G45" s="154">
        <f t="shared" si="1"/>
        <v>26.404935375748931</v>
      </c>
      <c r="H45" s="126">
        <f t="shared" si="2"/>
        <v>26.621583297528016</v>
      </c>
      <c r="I45" s="154">
        <f t="shared" si="3"/>
        <v>0</v>
      </c>
      <c r="J45" s="66">
        <f t="shared" si="0"/>
        <v>0</v>
      </c>
      <c r="K45" s="44"/>
    </row>
    <row r="46" spans="1:11" x14ac:dyDescent="0.25">
      <c r="A46" s="57">
        <f>'A) Base RI'!A48</f>
        <v>5477</v>
      </c>
      <c r="B46" s="350" t="str">
        <f>'A) Base RI'!B48</f>
        <v>Cossonay</v>
      </c>
      <c r="C46" s="109">
        <f>'B) D RI'!U48</f>
        <v>125937.08528138528</v>
      </c>
      <c r="D46" s="126">
        <f>'E) Fact soc'!G52/C46</f>
        <v>17.73933314505825</v>
      </c>
      <c r="E46" s="154">
        <f>'H) Péréquation directe'!I57/C46</f>
        <v>4.1952099280883273</v>
      </c>
      <c r="F46" s="126">
        <f>'I) Dépenses thématiques'!P46</f>
        <v>-44.222437087255365</v>
      </c>
      <c r="G46" s="154">
        <f t="shared" si="1"/>
        <v>-22.287894014108787</v>
      </c>
      <c r="H46" s="126">
        <f t="shared" si="2"/>
        <v>21.934543073146578</v>
      </c>
      <c r="I46" s="154">
        <f t="shared" si="3"/>
        <v>0</v>
      </c>
      <c r="J46" s="66">
        <f t="shared" si="0"/>
        <v>0</v>
      </c>
      <c r="K46" s="44"/>
    </row>
    <row r="47" spans="1:11" x14ac:dyDescent="0.25">
      <c r="A47" s="57">
        <f>'A) Base RI'!A49</f>
        <v>5478</v>
      </c>
      <c r="B47" s="350" t="str">
        <f>'A) Base RI'!B49</f>
        <v>Cottens</v>
      </c>
      <c r="C47" s="109">
        <f>'B) D RI'!U49</f>
        <v>14465.317702702703</v>
      </c>
      <c r="D47" s="126">
        <f>'E) Fact soc'!G53/C47</f>
        <v>15.814837149625669</v>
      </c>
      <c r="E47" s="154">
        <f>'H) Péréquation directe'!I58/C47</f>
        <v>4.3137747829686823</v>
      </c>
      <c r="F47" s="126">
        <f>'I) Dépenses thématiques'!P47</f>
        <v>-0.87279926341132852</v>
      </c>
      <c r="G47" s="154">
        <f t="shared" si="1"/>
        <v>19.255812669183026</v>
      </c>
      <c r="H47" s="126">
        <f t="shared" si="2"/>
        <v>20.128611932594353</v>
      </c>
      <c r="I47" s="154">
        <f t="shared" si="3"/>
        <v>0</v>
      </c>
      <c r="J47" s="66">
        <f t="shared" si="0"/>
        <v>0</v>
      </c>
      <c r="K47" s="44"/>
    </row>
    <row r="48" spans="1:11" x14ac:dyDescent="0.25">
      <c r="A48" s="57">
        <f>'A) Base RI'!A50</f>
        <v>5479</v>
      </c>
      <c r="B48" s="350" t="str">
        <f>'A) Base RI'!B50</f>
        <v>Cuarnens</v>
      </c>
      <c r="C48" s="109">
        <f>'B) D RI'!U50</f>
        <v>11562.819350649352</v>
      </c>
      <c r="D48" s="126">
        <f>'E) Fact soc'!G54/C48</f>
        <v>19.51861341510255</v>
      </c>
      <c r="E48" s="154">
        <f>'H) Péréquation directe'!I59/C48</f>
        <v>-6.2158893954345231</v>
      </c>
      <c r="F48" s="126">
        <f>'I) Dépenses thématiques'!P48</f>
        <v>-7.0417913061971227</v>
      </c>
      <c r="G48" s="154">
        <f t="shared" si="1"/>
        <v>6.2609327134709041</v>
      </c>
      <c r="H48" s="126">
        <f t="shared" si="2"/>
        <v>13.302724019668027</v>
      </c>
      <c r="I48" s="154">
        <f t="shared" si="3"/>
        <v>0</v>
      </c>
      <c r="J48" s="66">
        <f t="shared" si="0"/>
        <v>0</v>
      </c>
      <c r="K48" s="44"/>
    </row>
    <row r="49" spans="1:11" x14ac:dyDescent="0.25">
      <c r="A49" s="57">
        <f>'A) Base RI'!A51</f>
        <v>5480</v>
      </c>
      <c r="B49" s="350" t="str">
        <f>'A) Base RI'!B51</f>
        <v>Daillens</v>
      </c>
      <c r="C49" s="109">
        <f>'B) D RI'!U51</f>
        <v>34852.093380281687</v>
      </c>
      <c r="D49" s="126">
        <f>'E) Fact soc'!G55/C49</f>
        <v>17.887663151642307</v>
      </c>
      <c r="E49" s="154">
        <f>'H) Péréquation directe'!I60/C49</f>
        <v>11.161802301672081</v>
      </c>
      <c r="F49" s="126">
        <f>'I) Dépenses thématiques'!P49</f>
        <v>-23.433612949103342</v>
      </c>
      <c r="G49" s="154">
        <f t="shared" si="1"/>
        <v>5.6158525042110483</v>
      </c>
      <c r="H49" s="126">
        <f t="shared" si="2"/>
        <v>29.04946545331439</v>
      </c>
      <c r="I49" s="154">
        <f t="shared" si="3"/>
        <v>0</v>
      </c>
      <c r="J49" s="66">
        <f t="shared" si="0"/>
        <v>0</v>
      </c>
      <c r="K49" s="44"/>
    </row>
    <row r="50" spans="1:11" x14ac:dyDescent="0.25">
      <c r="A50" s="57">
        <f>'A) Base RI'!A52</f>
        <v>5481</v>
      </c>
      <c r="B50" s="350" t="str">
        <f>'A) Base RI'!B52</f>
        <v>Dizy</v>
      </c>
      <c r="C50" s="109">
        <f>'B) D RI'!U52</f>
        <v>8900.2526582278479</v>
      </c>
      <c r="D50" s="126">
        <f>'E) Fact soc'!G56/C50</f>
        <v>16.449123870795173</v>
      </c>
      <c r="E50" s="154">
        <f>'H) Péréquation directe'!I61/C50</f>
        <v>13.107244799635653</v>
      </c>
      <c r="F50" s="126">
        <f>'I) Dépenses thématiques'!P50</f>
        <v>0</v>
      </c>
      <c r="G50" s="154">
        <f t="shared" si="1"/>
        <v>29.556368670430828</v>
      </c>
      <c r="H50" s="126">
        <f t="shared" si="2"/>
        <v>29.556368670430828</v>
      </c>
      <c r="I50" s="154">
        <f t="shared" si="3"/>
        <v>0</v>
      </c>
      <c r="J50" s="66">
        <f t="shared" si="0"/>
        <v>0</v>
      </c>
      <c r="K50" s="44"/>
    </row>
    <row r="51" spans="1:11" x14ac:dyDescent="0.25">
      <c r="A51" s="57">
        <f>'A) Base RI'!A53</f>
        <v>5482</v>
      </c>
      <c r="B51" s="350" t="str">
        <f>'A) Base RI'!B53</f>
        <v>Eclépens</v>
      </c>
      <c r="C51" s="109">
        <f>'B) D RI'!U53</f>
        <v>26792.007391304349</v>
      </c>
      <c r="D51" s="126">
        <f>'E) Fact soc'!G57/C51</f>
        <v>22.325254653025894</v>
      </c>
      <c r="E51" s="154">
        <f>'H) Péréquation directe'!I62/C51</f>
        <v>8.126915126018476</v>
      </c>
      <c r="F51" s="126">
        <f>'I) Dépenses thématiques'!P51</f>
        <v>-24.49960751878227</v>
      </c>
      <c r="G51" s="154">
        <f t="shared" si="1"/>
        <v>5.9525622602620984</v>
      </c>
      <c r="H51" s="126">
        <f t="shared" si="2"/>
        <v>30.452169779044368</v>
      </c>
      <c r="I51" s="154">
        <f t="shared" si="3"/>
        <v>0</v>
      </c>
      <c r="J51" s="66">
        <f t="shared" si="0"/>
        <v>0</v>
      </c>
      <c r="K51" s="44"/>
    </row>
    <row r="52" spans="1:11" x14ac:dyDescent="0.25">
      <c r="A52" s="57">
        <f>'A) Base RI'!A54</f>
        <v>5483</v>
      </c>
      <c r="B52" s="350" t="str">
        <f>'A) Base RI'!B54</f>
        <v>Ferreyres</v>
      </c>
      <c r="C52" s="109">
        <f>'B) D RI'!U54</f>
        <v>9773.8555263157887</v>
      </c>
      <c r="D52" s="126">
        <f>'E) Fact soc'!G58/C52</f>
        <v>15.615339681243814</v>
      </c>
      <c r="E52" s="154">
        <f>'H) Péréquation directe'!I63/C52</f>
        <v>4.9098291910457519</v>
      </c>
      <c r="F52" s="126">
        <f>'I) Dépenses thématiques'!P52</f>
        <v>-0.60208815397316984</v>
      </c>
      <c r="G52" s="154">
        <f t="shared" si="1"/>
        <v>19.923080718316395</v>
      </c>
      <c r="H52" s="126">
        <f t="shared" si="2"/>
        <v>20.525168872289566</v>
      </c>
      <c r="I52" s="154">
        <f t="shared" si="3"/>
        <v>0</v>
      </c>
      <c r="J52" s="66">
        <f t="shared" si="0"/>
        <v>0</v>
      </c>
      <c r="K52" s="44"/>
    </row>
    <row r="53" spans="1:11" x14ac:dyDescent="0.25">
      <c r="A53" s="57">
        <f>'A) Base RI'!A55</f>
        <v>5484</v>
      </c>
      <c r="B53" s="350" t="str">
        <f>'A) Base RI'!B55</f>
        <v>Gollion</v>
      </c>
      <c r="C53" s="109">
        <f>'B) D RI'!U55</f>
        <v>29063.721351351356</v>
      </c>
      <c r="D53" s="126">
        <f>'E) Fact soc'!G59/C53</f>
        <v>18.915543186781573</v>
      </c>
      <c r="E53" s="154">
        <f>'H) Péréquation directe'!I64/C53</f>
        <v>6.8760222313941357</v>
      </c>
      <c r="F53" s="126">
        <f>'I) Dépenses thématiques'!P53</f>
        <v>-8.130748620215261</v>
      </c>
      <c r="G53" s="154">
        <f t="shared" si="1"/>
        <v>17.660816797960447</v>
      </c>
      <c r="H53" s="126">
        <f t="shared" si="2"/>
        <v>25.791565418175708</v>
      </c>
      <c r="I53" s="154">
        <f t="shared" si="3"/>
        <v>0</v>
      </c>
      <c r="J53" s="66">
        <f t="shared" si="0"/>
        <v>0</v>
      </c>
      <c r="K53" s="44"/>
    </row>
    <row r="54" spans="1:11" x14ac:dyDescent="0.25">
      <c r="A54" s="57">
        <f>'A) Base RI'!A56</f>
        <v>5485</v>
      </c>
      <c r="B54" s="350" t="str">
        <f>'A) Base RI'!B56</f>
        <v>Grancy</v>
      </c>
      <c r="C54" s="109">
        <f>'B) D RI'!U56</f>
        <v>15073.947999999999</v>
      </c>
      <c r="D54" s="126">
        <f>'E) Fact soc'!G60/C54</f>
        <v>17.247918877063505</v>
      </c>
      <c r="E54" s="154">
        <f>'H) Péréquation directe'!I65/C54</f>
        <v>11.714096697988067</v>
      </c>
      <c r="F54" s="126">
        <f>'I) Dépenses thématiques'!P54</f>
        <v>-1.7009021798400175</v>
      </c>
      <c r="G54" s="154">
        <f t="shared" si="1"/>
        <v>27.261113395211556</v>
      </c>
      <c r="H54" s="126">
        <f t="shared" si="2"/>
        <v>28.962015575051574</v>
      </c>
      <c r="I54" s="154">
        <f t="shared" si="3"/>
        <v>0</v>
      </c>
      <c r="J54" s="66">
        <f t="shared" si="0"/>
        <v>0</v>
      </c>
      <c r="K54" s="44"/>
    </row>
    <row r="55" spans="1:11" x14ac:dyDescent="0.25">
      <c r="A55" s="57">
        <f>'A) Base RI'!A57</f>
        <v>5486</v>
      </c>
      <c r="B55" s="350" t="str">
        <f>'A) Base RI'!B57</f>
        <v>L'Isle</v>
      </c>
      <c r="C55" s="109">
        <f>'B) D RI'!U57</f>
        <v>29834.586052631581</v>
      </c>
      <c r="D55" s="126">
        <f>'E) Fact soc'!G61/C55</f>
        <v>19.07332548416953</v>
      </c>
      <c r="E55" s="154">
        <f>'H) Péréquation directe'!I66/C55</f>
        <v>2.0179607643708533</v>
      </c>
      <c r="F55" s="126">
        <f>'I) Dépenses thématiques'!P55</f>
        <v>-23.831752479306878</v>
      </c>
      <c r="G55" s="154">
        <f t="shared" si="1"/>
        <v>-2.7404662307664935</v>
      </c>
      <c r="H55" s="126">
        <f t="shared" si="2"/>
        <v>21.091286248540385</v>
      </c>
      <c r="I55" s="154">
        <f t="shared" si="3"/>
        <v>0</v>
      </c>
      <c r="J55" s="66">
        <f t="shared" si="0"/>
        <v>0</v>
      </c>
      <c r="K55" s="44"/>
    </row>
    <row r="56" spans="1:11" x14ac:dyDescent="0.25">
      <c r="A56" s="57">
        <f>'A) Base RI'!A58</f>
        <v>5487</v>
      </c>
      <c r="B56" s="350" t="str">
        <f>'A) Base RI'!B58</f>
        <v>Lussery-Villars</v>
      </c>
      <c r="C56" s="109">
        <f>'B) D RI'!U58</f>
        <v>13143.798970588234</v>
      </c>
      <c r="D56" s="126">
        <f>'E) Fact soc'!G62/C56</f>
        <v>16.655123296186929</v>
      </c>
      <c r="E56" s="154">
        <f>'H) Péréquation directe'!I67/C56</f>
        <v>4.4130333508203812</v>
      </c>
      <c r="F56" s="126">
        <f>'I) Dépenses thématiques'!P56</f>
        <v>-2.3383508269988291</v>
      </c>
      <c r="G56" s="154">
        <f t="shared" si="1"/>
        <v>18.72980582000848</v>
      </c>
      <c r="H56" s="126">
        <f t="shared" si="2"/>
        <v>21.06815664700731</v>
      </c>
      <c r="I56" s="154">
        <f t="shared" si="3"/>
        <v>0</v>
      </c>
      <c r="J56" s="66">
        <f t="shared" si="0"/>
        <v>0</v>
      </c>
      <c r="K56" s="44"/>
    </row>
    <row r="57" spans="1:11" x14ac:dyDescent="0.25">
      <c r="A57" s="57">
        <f>'A) Base RI'!A59</f>
        <v>5488</v>
      </c>
      <c r="B57" s="350" t="str">
        <f>'A) Base RI'!B59</f>
        <v>Mauraz</v>
      </c>
      <c r="C57" s="109">
        <f>'B) D RI'!U59</f>
        <v>1604.8968918918922</v>
      </c>
      <c r="D57" s="126">
        <f>'E) Fact soc'!G63/C57</f>
        <v>15.117327408922575</v>
      </c>
      <c r="E57" s="154">
        <f>'H) Péréquation directe'!I68/C57</f>
        <v>4.7122982157653572</v>
      </c>
      <c r="F57" s="126">
        <f>'I) Dépenses thématiques'!P57</f>
        <v>-0.17790659141836473</v>
      </c>
      <c r="G57" s="154">
        <f t="shared" si="1"/>
        <v>19.651719033269568</v>
      </c>
      <c r="H57" s="126">
        <f t="shared" si="2"/>
        <v>19.829625624687932</v>
      </c>
      <c r="I57" s="154">
        <f t="shared" si="3"/>
        <v>0</v>
      </c>
      <c r="J57" s="66">
        <f t="shared" si="0"/>
        <v>0</v>
      </c>
      <c r="K57" s="44"/>
    </row>
    <row r="58" spans="1:11" x14ac:dyDescent="0.25">
      <c r="A58" s="57">
        <f>'A) Base RI'!A60</f>
        <v>5489</v>
      </c>
      <c r="B58" s="350" t="str">
        <f>'A) Base RI'!B60</f>
        <v>Mex</v>
      </c>
      <c r="C58" s="109">
        <f>'B) D RI'!U60</f>
        <v>46901.97049180328</v>
      </c>
      <c r="D58" s="126">
        <f>'E) Fact soc'!G64/C58</f>
        <v>20.722499644462179</v>
      </c>
      <c r="E58" s="154">
        <f>'H) Péréquation directe'!I69/C58</f>
        <v>16.794513718367355</v>
      </c>
      <c r="F58" s="126">
        <f>'I) Dépenses thématiques'!P58</f>
        <v>0</v>
      </c>
      <c r="G58" s="154">
        <f t="shared" si="1"/>
        <v>37.51701336282953</v>
      </c>
      <c r="H58" s="126">
        <f t="shared" si="2"/>
        <v>37.51701336282953</v>
      </c>
      <c r="I58" s="154">
        <f t="shared" si="3"/>
        <v>0</v>
      </c>
      <c r="J58" s="66">
        <f t="shared" si="0"/>
        <v>0</v>
      </c>
      <c r="K58" s="44"/>
    </row>
    <row r="59" spans="1:11" x14ac:dyDescent="0.25">
      <c r="A59" s="57">
        <f>'A) Base RI'!A61</f>
        <v>5490</v>
      </c>
      <c r="B59" s="350" t="str">
        <f>'A) Base RI'!B61</f>
        <v>Moiry</v>
      </c>
      <c r="C59" s="109">
        <f>'B) D RI'!U61</f>
        <v>7445.9272839506175</v>
      </c>
      <c r="D59" s="126">
        <f>'E) Fact soc'!G65/C59</f>
        <v>17.350870574976184</v>
      </c>
      <c r="E59" s="154">
        <f>'H) Péréquation directe'!I70/C59</f>
        <v>-7.4557570111836933</v>
      </c>
      <c r="F59" s="126">
        <f>'I) Dépenses thématiques'!P59</f>
        <v>-3.3418534747116402</v>
      </c>
      <c r="G59" s="154">
        <f t="shared" si="1"/>
        <v>6.5532600890808519</v>
      </c>
      <c r="H59" s="126">
        <f t="shared" si="2"/>
        <v>9.8951135637924921</v>
      </c>
      <c r="I59" s="154">
        <f t="shared" si="3"/>
        <v>0</v>
      </c>
      <c r="J59" s="66">
        <f t="shared" si="0"/>
        <v>0</v>
      </c>
      <c r="K59" s="44"/>
    </row>
    <row r="60" spans="1:11" x14ac:dyDescent="0.25">
      <c r="A60" s="57">
        <f>'A) Base RI'!A62</f>
        <v>5491</v>
      </c>
      <c r="B60" s="350" t="str">
        <f>'A) Base RI'!B62</f>
        <v>Mont-la-Ville</v>
      </c>
      <c r="C60" s="109">
        <f>'B) D RI'!U62</f>
        <v>8756.4323684210522</v>
      </c>
      <c r="D60" s="126">
        <f>'E) Fact soc'!G66/C60</f>
        <v>21.75612190354417</v>
      </c>
      <c r="E60" s="154">
        <f>'H) Péréquation directe'!I71/C60</f>
        <v>-10.599311478684513</v>
      </c>
      <c r="F60" s="126">
        <f>'I) Dépenses thématiques'!P60</f>
        <v>-0.75364302606400058</v>
      </c>
      <c r="G60" s="154">
        <f t="shared" si="1"/>
        <v>10.403167398795656</v>
      </c>
      <c r="H60" s="126">
        <f t="shared" si="2"/>
        <v>11.156810424859657</v>
      </c>
      <c r="I60" s="154">
        <f t="shared" si="3"/>
        <v>0</v>
      </c>
      <c r="J60" s="66">
        <f t="shared" si="0"/>
        <v>0</v>
      </c>
      <c r="K60" s="44"/>
    </row>
    <row r="61" spans="1:11" x14ac:dyDescent="0.25">
      <c r="A61" s="57">
        <f>'A) Base RI'!A63</f>
        <v>5492</v>
      </c>
      <c r="B61" s="350" t="str">
        <f>'A) Base RI'!B63</f>
        <v>Montricher</v>
      </c>
      <c r="C61" s="109">
        <f>'B) D RI'!U63</f>
        <v>201844.58625000002</v>
      </c>
      <c r="D61" s="126">
        <f>'E) Fact soc'!G67/C61</f>
        <v>39.272088275062082</v>
      </c>
      <c r="E61" s="154">
        <f>'H) Péréquation directe'!I72/C61</f>
        <v>14.369742309388284</v>
      </c>
      <c r="F61" s="126">
        <f>'I) Dépenses thématiques'!P61</f>
        <v>-19.323848162515525</v>
      </c>
      <c r="G61" s="154">
        <f t="shared" si="1"/>
        <v>34.317982421934843</v>
      </c>
      <c r="H61" s="126">
        <f t="shared" si="2"/>
        <v>53.641830584450368</v>
      </c>
      <c r="I61" s="154">
        <f t="shared" si="3"/>
        <v>0</v>
      </c>
      <c r="J61" s="66">
        <f t="shared" si="0"/>
        <v>0</v>
      </c>
      <c r="K61" s="44"/>
    </row>
    <row r="62" spans="1:11" x14ac:dyDescent="0.25">
      <c r="A62" s="57">
        <f>'A) Base RI'!A64</f>
        <v>5493</v>
      </c>
      <c r="B62" s="350" t="str">
        <f>'A) Base RI'!B64</f>
        <v>Orny</v>
      </c>
      <c r="C62" s="109">
        <f>'B) D RI'!U64</f>
        <v>9079.112581664911</v>
      </c>
      <c r="D62" s="126">
        <f>'E) Fact soc'!G68/C62</f>
        <v>29.187451977922525</v>
      </c>
      <c r="E62" s="154">
        <f>'H) Péréquation directe'!I73/C62</f>
        <v>-3.3176606368544572</v>
      </c>
      <c r="F62" s="126">
        <f>'I) Dépenses thématiques'!P62</f>
        <v>-1.0097879792173465</v>
      </c>
      <c r="G62" s="154">
        <f t="shared" si="1"/>
        <v>24.860003361850719</v>
      </c>
      <c r="H62" s="126">
        <f t="shared" si="2"/>
        <v>25.869791341068066</v>
      </c>
      <c r="I62" s="154">
        <f t="shared" si="3"/>
        <v>0</v>
      </c>
      <c r="J62" s="66">
        <f t="shared" si="0"/>
        <v>0</v>
      </c>
      <c r="K62" s="44"/>
    </row>
    <row r="63" spans="1:11" x14ac:dyDescent="0.25">
      <c r="A63" s="57">
        <f>'A) Base RI'!A65</f>
        <v>5494</v>
      </c>
      <c r="B63" s="350" t="str">
        <f>'A) Base RI'!B65</f>
        <v>Pampigny</v>
      </c>
      <c r="C63" s="109">
        <f>'B) D RI'!U65</f>
        <v>36797.992425396827</v>
      </c>
      <c r="D63" s="126">
        <f>'E) Fact soc'!G69/C63</f>
        <v>18.232287694660609</v>
      </c>
      <c r="E63" s="154">
        <f>'H) Péréquation directe'!I74/C63</f>
        <v>6.646503511639609</v>
      </c>
      <c r="F63" s="126">
        <f>'I) Dépenses thématiques'!P63</f>
        <v>-2.7824772434778415</v>
      </c>
      <c r="G63" s="154">
        <f t="shared" si="1"/>
        <v>22.096313962822375</v>
      </c>
      <c r="H63" s="126">
        <f t="shared" si="2"/>
        <v>24.878791206300217</v>
      </c>
      <c r="I63" s="154">
        <f t="shared" si="3"/>
        <v>0</v>
      </c>
      <c r="J63" s="66">
        <f t="shared" si="0"/>
        <v>0</v>
      </c>
      <c r="K63" s="44"/>
    </row>
    <row r="64" spans="1:11" x14ac:dyDescent="0.25">
      <c r="A64" s="57">
        <f>'A) Base RI'!A66</f>
        <v>5495</v>
      </c>
      <c r="B64" s="350" t="str">
        <f>'A) Base RI'!B66</f>
        <v>Penthalaz</v>
      </c>
      <c r="C64" s="109">
        <f>'B) D RI'!U66</f>
        <v>99436.02810810809</v>
      </c>
      <c r="D64" s="126">
        <f>'E) Fact soc'!G70/C64</f>
        <v>16.785628508194595</v>
      </c>
      <c r="E64" s="154">
        <f>'H) Péréquation directe'!I75/C64</f>
        <v>-0.8970710075004783</v>
      </c>
      <c r="F64" s="126">
        <f>'I) Dépenses thématiques'!P64</f>
        <v>-8.1875285800934137</v>
      </c>
      <c r="G64" s="154">
        <f t="shared" si="1"/>
        <v>7.7010289206007023</v>
      </c>
      <c r="H64" s="126">
        <f t="shared" si="2"/>
        <v>15.888557500694116</v>
      </c>
      <c r="I64" s="154">
        <f t="shared" si="3"/>
        <v>0</v>
      </c>
      <c r="J64" s="66">
        <f t="shared" si="0"/>
        <v>0</v>
      </c>
      <c r="K64" s="44"/>
    </row>
    <row r="65" spans="1:11" x14ac:dyDescent="0.25">
      <c r="A65" s="57">
        <f>'A) Base RI'!A67</f>
        <v>5496</v>
      </c>
      <c r="B65" s="350" t="str">
        <f>'A) Base RI'!B67</f>
        <v>Penthaz</v>
      </c>
      <c r="C65" s="109">
        <f>'B) D RI'!U67</f>
        <v>52905.64732394366</v>
      </c>
      <c r="D65" s="126">
        <f>'E) Fact soc'!G71/C65</f>
        <v>16.634804163500835</v>
      </c>
      <c r="E65" s="154">
        <f>'H) Péréquation directe'!I76/C65</f>
        <v>3.1405292742359818</v>
      </c>
      <c r="F65" s="126">
        <f>'I) Dépenses thématiques'!P65</f>
        <v>-8.5815156182226247</v>
      </c>
      <c r="G65" s="154">
        <f t="shared" si="1"/>
        <v>11.193817819514191</v>
      </c>
      <c r="H65" s="126">
        <f t="shared" si="2"/>
        <v>19.775333437736816</v>
      </c>
      <c r="I65" s="154">
        <f t="shared" si="3"/>
        <v>0</v>
      </c>
      <c r="J65" s="66">
        <f t="shared" si="0"/>
        <v>0</v>
      </c>
      <c r="K65" s="44"/>
    </row>
    <row r="66" spans="1:11" x14ac:dyDescent="0.25">
      <c r="A66" s="57">
        <f>'A) Base RI'!A68</f>
        <v>5497</v>
      </c>
      <c r="B66" s="350" t="str">
        <f>'A) Base RI'!B68</f>
        <v>Pompaples</v>
      </c>
      <c r="C66" s="109">
        <f>'B) D RI'!U68</f>
        <v>22272.608181818188</v>
      </c>
      <c r="D66" s="126">
        <f>'E) Fact soc'!G72/C66</f>
        <v>22.758694042352328</v>
      </c>
      <c r="E66" s="154">
        <f>'H) Péréquation directe'!I77/C66</f>
        <v>2.0193287279958723</v>
      </c>
      <c r="F66" s="126">
        <f>'I) Dépenses thématiques'!P66</f>
        <v>-2.2933947264301877</v>
      </c>
      <c r="G66" s="154">
        <f t="shared" si="1"/>
        <v>22.484628043918015</v>
      </c>
      <c r="H66" s="126">
        <f t="shared" si="2"/>
        <v>24.778022770348201</v>
      </c>
      <c r="I66" s="154">
        <f t="shared" si="3"/>
        <v>0</v>
      </c>
      <c r="J66" s="66">
        <f t="shared" si="0"/>
        <v>0</v>
      </c>
      <c r="K66" s="44"/>
    </row>
    <row r="67" spans="1:11" x14ac:dyDescent="0.25">
      <c r="A67" s="57">
        <f>'A) Base RI'!A69</f>
        <v>5498</v>
      </c>
      <c r="B67" s="350" t="str">
        <f>'A) Base RI'!B69</f>
        <v>La Sarraz</v>
      </c>
      <c r="C67" s="109">
        <f>'B) D RI'!U69</f>
        <v>73804.61909090908</v>
      </c>
      <c r="D67" s="126">
        <f>'E) Fact soc'!G73/C67</f>
        <v>17.472001576212008</v>
      </c>
      <c r="E67" s="154">
        <f>'H) Péréquation directe'!I78/C67</f>
        <v>0.13972123769642936</v>
      </c>
      <c r="F67" s="126">
        <f>'I) Dépenses thématiques'!P67</f>
        <v>-32.998901381747231</v>
      </c>
      <c r="G67" s="154">
        <f t="shared" si="1"/>
        <v>-15.387178567838795</v>
      </c>
      <c r="H67" s="126">
        <f t="shared" si="2"/>
        <v>17.611722813908436</v>
      </c>
      <c r="I67" s="154">
        <f t="shared" si="3"/>
        <v>0</v>
      </c>
      <c r="J67" s="66">
        <f t="shared" si="0"/>
        <v>0</v>
      </c>
      <c r="K67" s="44"/>
    </row>
    <row r="68" spans="1:11" x14ac:dyDescent="0.25">
      <c r="A68" s="57">
        <f>'A) Base RI'!A70</f>
        <v>5499</v>
      </c>
      <c r="B68" s="350" t="str">
        <f>'A) Base RI'!B70</f>
        <v>Senarclens</v>
      </c>
      <c r="C68" s="109">
        <f>'B) D RI'!U70</f>
        <v>18585.936788321167</v>
      </c>
      <c r="D68" s="126">
        <f>'E) Fact soc'!G74/C68</f>
        <v>18.255876230236474</v>
      </c>
      <c r="E68" s="154">
        <f>'H) Péréquation directe'!I79/C68</f>
        <v>14.145109504686559</v>
      </c>
      <c r="F68" s="126">
        <f>'I) Dépenses thématiques'!P68</f>
        <v>-11.2240501073099</v>
      </c>
      <c r="G68" s="154">
        <f t="shared" si="1"/>
        <v>21.176935627613133</v>
      </c>
      <c r="H68" s="126">
        <f t="shared" si="2"/>
        <v>32.400985734923033</v>
      </c>
      <c r="I68" s="154">
        <f t="shared" si="3"/>
        <v>0</v>
      </c>
      <c r="J68" s="66">
        <f t="shared" si="0"/>
        <v>0</v>
      </c>
      <c r="K68" s="44"/>
    </row>
    <row r="69" spans="1:11" x14ac:dyDescent="0.25">
      <c r="A69" s="57">
        <f>'A) Base RI'!A71</f>
        <v>5500</v>
      </c>
      <c r="B69" s="350" t="str">
        <f>'A) Base RI'!B71</f>
        <v>Sévery</v>
      </c>
      <c r="C69" s="109">
        <f>'B) D RI'!U71</f>
        <v>8028.7526973684207</v>
      </c>
      <c r="D69" s="126">
        <f>'E) Fact soc'!G75/C69</f>
        <v>16.014608128798439</v>
      </c>
      <c r="E69" s="154">
        <f>'H) Péréquation directe'!I80/C69</f>
        <v>7.2684534273921502</v>
      </c>
      <c r="F69" s="126">
        <f>'I) Dépenses thématiques'!P69</f>
        <v>-0.34014807387350271</v>
      </c>
      <c r="G69" s="154">
        <f t="shared" si="1"/>
        <v>22.942913482317085</v>
      </c>
      <c r="H69" s="126">
        <f t="shared" si="2"/>
        <v>23.283061556190589</v>
      </c>
      <c r="I69" s="154">
        <f t="shared" si="3"/>
        <v>0</v>
      </c>
      <c r="J69" s="66">
        <f t="shared" ref="J69:J132" si="4">-I69*C69</f>
        <v>0</v>
      </c>
      <c r="K69" s="44"/>
    </row>
    <row r="70" spans="1:11" x14ac:dyDescent="0.25">
      <c r="A70" s="57">
        <f>'A) Base RI'!A72</f>
        <v>5501</v>
      </c>
      <c r="B70" s="350" t="str">
        <f>'A) Base RI'!B72</f>
        <v>Sullens</v>
      </c>
      <c r="C70" s="109">
        <f>'B) D RI'!U72</f>
        <v>35737.650142857143</v>
      </c>
      <c r="D70" s="126">
        <f>'E) Fact soc'!G76/C70</f>
        <v>19.939416279095354</v>
      </c>
      <c r="E70" s="154">
        <f>'H) Péréquation directe'!I81/C70</f>
        <v>11.419372905143563</v>
      </c>
      <c r="F70" s="126">
        <f>'I) Dépenses thématiques'!P70</f>
        <v>-0.21575851872658464</v>
      </c>
      <c r="G70" s="154">
        <f t="shared" ref="G70:G133" si="5">SUM(D70:F70)</f>
        <v>31.143030665512331</v>
      </c>
      <c r="H70" s="126">
        <f t="shared" ref="H70:H133" si="6">G70-F70</f>
        <v>31.358789184238915</v>
      </c>
      <c r="I70" s="154">
        <f t="shared" ref="I70:I133" si="7">IF(H70&lt;I$4,H70-I$4,0)</f>
        <v>0</v>
      </c>
      <c r="J70" s="66">
        <f t="shared" si="4"/>
        <v>0</v>
      </c>
      <c r="K70" s="44"/>
    </row>
    <row r="71" spans="1:11" x14ac:dyDescent="0.25">
      <c r="A71" s="57">
        <f>'A) Base RI'!A73</f>
        <v>5503</v>
      </c>
      <c r="B71" s="350" t="str">
        <f>'A) Base RI'!B73</f>
        <v>Vufflens-la-Ville</v>
      </c>
      <c r="C71" s="109">
        <f>'B) D RI'!U73</f>
        <v>64927.66542288557</v>
      </c>
      <c r="D71" s="126">
        <f>'E) Fact soc'!G77/C71</f>
        <v>19.966514545859486</v>
      </c>
      <c r="E71" s="154">
        <f>'H) Péréquation directe'!I82/C71</f>
        <v>15.948849249540462</v>
      </c>
      <c r="F71" s="126">
        <f>'I) Dépenses thématiques'!P71</f>
        <v>0</v>
      </c>
      <c r="G71" s="154">
        <f t="shared" si="5"/>
        <v>35.915363795399948</v>
      </c>
      <c r="H71" s="126">
        <f t="shared" si="6"/>
        <v>35.915363795399948</v>
      </c>
      <c r="I71" s="154">
        <f t="shared" si="7"/>
        <v>0</v>
      </c>
      <c r="J71" s="66">
        <f t="shared" si="4"/>
        <v>0</v>
      </c>
      <c r="K71" s="44"/>
    </row>
    <row r="72" spans="1:11" x14ac:dyDescent="0.25">
      <c r="A72" s="57">
        <f>'A) Base RI'!A74</f>
        <v>5511</v>
      </c>
      <c r="B72" s="350" t="str">
        <f>'A) Base RI'!B74</f>
        <v>Assens</v>
      </c>
      <c r="C72" s="109">
        <f>'B) D RI'!U74</f>
        <v>39993.346428571429</v>
      </c>
      <c r="D72" s="126">
        <f>'E) Fact soc'!G78/C72</f>
        <v>17.518136132730831</v>
      </c>
      <c r="E72" s="154">
        <f>'H) Péréquation directe'!I83/C72</f>
        <v>11.897450465692016</v>
      </c>
      <c r="F72" s="126">
        <f>'I) Dépenses thématiques'!P72</f>
        <v>-8.2770646233531053</v>
      </c>
      <c r="G72" s="154">
        <f t="shared" si="5"/>
        <v>21.138521975069743</v>
      </c>
      <c r="H72" s="126">
        <f t="shared" si="6"/>
        <v>29.415586598422848</v>
      </c>
      <c r="I72" s="154">
        <f t="shared" si="7"/>
        <v>0</v>
      </c>
      <c r="J72" s="66">
        <f t="shared" si="4"/>
        <v>0</v>
      </c>
      <c r="K72" s="44"/>
    </row>
    <row r="73" spans="1:11" x14ac:dyDescent="0.25">
      <c r="A73" s="57">
        <f>'A) Base RI'!A75</f>
        <v>5512</v>
      </c>
      <c r="B73" s="350" t="str">
        <f>'A) Base RI'!B75</f>
        <v>Bercher</v>
      </c>
      <c r="C73" s="109">
        <f>'B) D RI'!U75</f>
        <v>35096.262278481016</v>
      </c>
      <c r="D73" s="126">
        <f>'E) Fact soc'!G79/C73</f>
        <v>19.543320660495777</v>
      </c>
      <c r="E73" s="154">
        <f>'H) Péréquation directe'!I84/C73</f>
        <v>2.1660130966603917</v>
      </c>
      <c r="F73" s="126">
        <f>'I) Dépenses thématiques'!P73</f>
        <v>-6.6332028580871967</v>
      </c>
      <c r="G73" s="154">
        <f t="shared" si="5"/>
        <v>15.076130899068973</v>
      </c>
      <c r="H73" s="126">
        <f t="shared" si="6"/>
        <v>21.70933375715617</v>
      </c>
      <c r="I73" s="154">
        <f t="shared" si="7"/>
        <v>0</v>
      </c>
      <c r="J73" s="66">
        <f t="shared" si="4"/>
        <v>0</v>
      </c>
      <c r="K73" s="44"/>
    </row>
    <row r="74" spans="1:11" x14ac:dyDescent="0.25">
      <c r="A74" s="57">
        <f>'A) Base RI'!A76</f>
        <v>5513</v>
      </c>
      <c r="B74" s="350" t="str">
        <f>'A) Base RI'!B76</f>
        <v>Bioley-Orjulaz</v>
      </c>
      <c r="C74" s="109">
        <f>'B) D RI'!U76</f>
        <v>22441.228030303031</v>
      </c>
      <c r="D74" s="126">
        <f>'E) Fact soc'!G80/C74</f>
        <v>17.27613551579541</v>
      </c>
      <c r="E74" s="154">
        <f>'H) Péréquation directe'!I85/C74</f>
        <v>16.684659347574126</v>
      </c>
      <c r="F74" s="126">
        <f>'I) Dépenses thématiques'!P74</f>
        <v>-0.18101568789378103</v>
      </c>
      <c r="G74" s="154">
        <f t="shared" si="5"/>
        <v>33.779779175475753</v>
      </c>
      <c r="H74" s="126">
        <f t="shared" si="6"/>
        <v>33.960794863369536</v>
      </c>
      <c r="I74" s="154">
        <f t="shared" si="7"/>
        <v>0</v>
      </c>
      <c r="J74" s="66">
        <f t="shared" si="4"/>
        <v>0</v>
      </c>
      <c r="K74" s="44"/>
    </row>
    <row r="75" spans="1:11" x14ac:dyDescent="0.25">
      <c r="A75" s="57">
        <f>'A) Base RI'!A77</f>
        <v>5514</v>
      </c>
      <c r="B75" s="350" t="str">
        <f>'A) Base RI'!B77</f>
        <v>Bottens</v>
      </c>
      <c r="C75" s="109">
        <f>'B) D RI'!U77</f>
        <v>40579.944927536235</v>
      </c>
      <c r="D75" s="126">
        <f>'E) Fact soc'!G81/C75</f>
        <v>18.318078056365259</v>
      </c>
      <c r="E75" s="154">
        <f>'H) Péréquation directe'!I86/C75</f>
        <v>7.0351416440776999</v>
      </c>
      <c r="F75" s="126">
        <f>'I) Dépenses thématiques'!P75</f>
        <v>-0.77666802873405427</v>
      </c>
      <c r="G75" s="154">
        <f t="shared" si="5"/>
        <v>24.576551671708906</v>
      </c>
      <c r="H75" s="126">
        <f t="shared" si="6"/>
        <v>25.35321970044296</v>
      </c>
      <c r="I75" s="154">
        <f t="shared" si="7"/>
        <v>0</v>
      </c>
      <c r="J75" s="66">
        <f t="shared" si="4"/>
        <v>0</v>
      </c>
      <c r="K75" s="44"/>
    </row>
    <row r="76" spans="1:11" x14ac:dyDescent="0.25">
      <c r="A76" s="57">
        <f>'A) Base RI'!A78</f>
        <v>5515</v>
      </c>
      <c r="B76" s="350" t="str">
        <f>'A) Base RI'!B78</f>
        <v>Bretigny-sur-Morrens</v>
      </c>
      <c r="C76" s="109">
        <f>'B) D RI'!U78</f>
        <v>25654.980410958906</v>
      </c>
      <c r="D76" s="126">
        <f>'E) Fact soc'!G82/C76</f>
        <v>16.731716675121667</v>
      </c>
      <c r="E76" s="154">
        <f>'H) Péréquation directe'!I87/C76</f>
        <v>6.2539295496873413</v>
      </c>
      <c r="F76" s="126">
        <f>'I) Dépenses thématiques'!P76</f>
        <v>-0.47784430331899536</v>
      </c>
      <c r="G76" s="154">
        <f t="shared" si="5"/>
        <v>22.507801921490014</v>
      </c>
      <c r="H76" s="126">
        <f t="shared" si="6"/>
        <v>22.98564622480901</v>
      </c>
      <c r="I76" s="154">
        <f t="shared" si="7"/>
        <v>0</v>
      </c>
      <c r="J76" s="66">
        <f t="shared" si="4"/>
        <v>0</v>
      </c>
      <c r="K76" s="44"/>
    </row>
    <row r="77" spans="1:11" x14ac:dyDescent="0.25">
      <c r="A77" s="57">
        <f>'A) Base RI'!A79</f>
        <v>5516</v>
      </c>
      <c r="B77" s="350" t="str">
        <f>'A) Base RI'!B79</f>
        <v>Cugy</v>
      </c>
      <c r="C77" s="109">
        <f>'B) D RI'!U79</f>
        <v>107712.55485714282</v>
      </c>
      <c r="D77" s="126">
        <f>'E) Fact soc'!G83/C77</f>
        <v>17.334053864967327</v>
      </c>
      <c r="E77" s="154">
        <f>'H) Péréquation directe'!I88/C77</f>
        <v>9.3462262976562887</v>
      </c>
      <c r="F77" s="126">
        <f>'I) Dépenses thématiques'!P77</f>
        <v>-0.91438949697677818</v>
      </c>
      <c r="G77" s="154">
        <f t="shared" si="5"/>
        <v>25.76589066564684</v>
      </c>
      <c r="H77" s="126">
        <f t="shared" si="6"/>
        <v>26.680280162623617</v>
      </c>
      <c r="I77" s="154">
        <f t="shared" si="7"/>
        <v>0</v>
      </c>
      <c r="J77" s="66">
        <f t="shared" si="4"/>
        <v>0</v>
      </c>
      <c r="K77" s="44"/>
    </row>
    <row r="78" spans="1:11" x14ac:dyDescent="0.25">
      <c r="A78" s="57">
        <f>'A) Base RI'!A80</f>
        <v>5518</v>
      </c>
      <c r="B78" s="350" t="str">
        <f>'A) Base RI'!B80</f>
        <v>Echallens</v>
      </c>
      <c r="C78" s="109">
        <f>'B) D RI'!U80</f>
        <v>187267.45324324328</v>
      </c>
      <c r="D78" s="126">
        <f>'E) Fact soc'!G84/C78</f>
        <v>18.829012050124792</v>
      </c>
      <c r="E78" s="154">
        <f>'H) Péréquation directe'!I89/C78</f>
        <v>-0.96653430819482578</v>
      </c>
      <c r="F78" s="126">
        <f>'I) Dépenses thématiques'!P78</f>
        <v>-30.450177233312441</v>
      </c>
      <c r="G78" s="154">
        <f t="shared" si="5"/>
        <v>-12.587699491382477</v>
      </c>
      <c r="H78" s="126">
        <f t="shared" si="6"/>
        <v>17.862477741929965</v>
      </c>
      <c r="I78" s="154">
        <f t="shared" si="7"/>
        <v>0</v>
      </c>
      <c r="J78" s="66">
        <f t="shared" si="4"/>
        <v>0</v>
      </c>
      <c r="K78" s="44"/>
    </row>
    <row r="79" spans="1:11" x14ac:dyDescent="0.25">
      <c r="A79" s="57">
        <f>'A) Base RI'!A81</f>
        <v>5520</v>
      </c>
      <c r="B79" s="350" t="str">
        <f>'A) Base RI'!B81</f>
        <v>Essertines-sur-Yverdon</v>
      </c>
      <c r="C79" s="109">
        <f>'B) D RI'!U81</f>
        <v>28096.496575342466</v>
      </c>
      <c r="D79" s="126">
        <f>'E) Fact soc'!G85/C79</f>
        <v>17.272204791504645</v>
      </c>
      <c r="E79" s="154">
        <f>'H) Péréquation directe'!I90/C79</f>
        <v>4.4311481261641008</v>
      </c>
      <c r="F79" s="126">
        <f>'I) Dépenses thématiques'!P79</f>
        <v>-2.6754694170220583</v>
      </c>
      <c r="G79" s="154">
        <f t="shared" si="5"/>
        <v>19.027883500646688</v>
      </c>
      <c r="H79" s="126">
        <f t="shared" si="6"/>
        <v>21.703352917668745</v>
      </c>
      <c r="I79" s="154">
        <f t="shared" si="7"/>
        <v>0</v>
      </c>
      <c r="J79" s="66">
        <f t="shared" si="4"/>
        <v>0</v>
      </c>
      <c r="K79" s="44"/>
    </row>
    <row r="80" spans="1:11" x14ac:dyDescent="0.25">
      <c r="A80" s="57">
        <f>'A) Base RI'!A82</f>
        <v>5521</v>
      </c>
      <c r="B80" s="350" t="str">
        <f>'A) Base RI'!B82</f>
        <v>Etagnières</v>
      </c>
      <c r="C80" s="109">
        <f>'B) D RI'!U82</f>
        <v>40658.047260273968</v>
      </c>
      <c r="D80" s="126">
        <f>'E) Fact soc'!G86/C80</f>
        <v>16.462947124738495</v>
      </c>
      <c r="E80" s="154">
        <f>'H) Péréquation directe'!I91/C80</f>
        <v>10.153865667933998</v>
      </c>
      <c r="F80" s="126">
        <f>'I) Dépenses thématiques'!P80</f>
        <v>-0.869935543561979</v>
      </c>
      <c r="G80" s="154">
        <f t="shared" si="5"/>
        <v>25.746877249110511</v>
      </c>
      <c r="H80" s="126">
        <f t="shared" si="6"/>
        <v>26.616812792672491</v>
      </c>
      <c r="I80" s="154">
        <f t="shared" si="7"/>
        <v>0</v>
      </c>
      <c r="J80" s="66">
        <f t="shared" si="4"/>
        <v>0</v>
      </c>
      <c r="K80" s="44"/>
    </row>
    <row r="81" spans="1:11" x14ac:dyDescent="0.25">
      <c r="A81" s="57">
        <f>'A) Base RI'!A83</f>
        <v>5522</v>
      </c>
      <c r="B81" s="350" t="str">
        <f>'A) Base RI'!B83</f>
        <v>Fey</v>
      </c>
      <c r="C81" s="109">
        <f>'B) D RI'!U83</f>
        <v>19109.159333333333</v>
      </c>
      <c r="D81" s="126">
        <f>'E) Fact soc'!G87/C81</f>
        <v>19.228702934634697</v>
      </c>
      <c r="E81" s="154">
        <f>'H) Péréquation directe'!I92/C81</f>
        <v>0.62836014348725866</v>
      </c>
      <c r="F81" s="126">
        <f>'I) Dépenses thématiques'!P81</f>
        <v>-1.0518291952841421</v>
      </c>
      <c r="G81" s="154">
        <f t="shared" si="5"/>
        <v>18.805233882837815</v>
      </c>
      <c r="H81" s="126">
        <f t="shared" si="6"/>
        <v>19.857063078121957</v>
      </c>
      <c r="I81" s="154">
        <f t="shared" si="7"/>
        <v>0</v>
      </c>
      <c r="J81" s="66">
        <f t="shared" si="4"/>
        <v>0</v>
      </c>
      <c r="K81" s="44"/>
    </row>
    <row r="82" spans="1:11" x14ac:dyDescent="0.25">
      <c r="A82" s="57">
        <f>'A) Base RI'!A84</f>
        <v>5523</v>
      </c>
      <c r="B82" s="350" t="str">
        <f>'A) Base RI'!B84</f>
        <v>Froideville</v>
      </c>
      <c r="C82" s="109">
        <f>'B) D RI'!U84</f>
        <v>77198.057236842113</v>
      </c>
      <c r="D82" s="126">
        <f>'E) Fact soc'!G88/C82</f>
        <v>19.048334947997969</v>
      </c>
      <c r="E82" s="154">
        <f>'H) Péréquation directe'!I93/C82</f>
        <v>0.79752275905935299</v>
      </c>
      <c r="F82" s="126">
        <f>'I) Dépenses thématiques'!P82</f>
        <v>-4.2700939206488586</v>
      </c>
      <c r="G82" s="154">
        <f t="shared" si="5"/>
        <v>15.575763786408462</v>
      </c>
      <c r="H82" s="126">
        <f t="shared" si="6"/>
        <v>19.84585770705732</v>
      </c>
      <c r="I82" s="154">
        <f t="shared" si="7"/>
        <v>0</v>
      </c>
      <c r="J82" s="66">
        <f t="shared" si="4"/>
        <v>0</v>
      </c>
      <c r="K82" s="44"/>
    </row>
    <row r="83" spans="1:11" x14ac:dyDescent="0.25">
      <c r="A83" s="57">
        <f>'A) Base RI'!A85</f>
        <v>5527</v>
      </c>
      <c r="B83" s="350" t="str">
        <f>'A) Base RI'!B85</f>
        <v>Morrens</v>
      </c>
      <c r="C83" s="109">
        <f>'B) D RI'!U85</f>
        <v>37560.717323943667</v>
      </c>
      <c r="D83" s="126">
        <f>'E) Fact soc'!G89/C83</f>
        <v>16.090722024490617</v>
      </c>
      <c r="E83" s="154">
        <f>'H) Péréquation directe'!I94/C83</f>
        <v>9.5596630178336657</v>
      </c>
      <c r="F83" s="126">
        <f>'I) Dépenses thématiques'!P83</f>
        <v>-0.62024561631717234</v>
      </c>
      <c r="G83" s="154">
        <f t="shared" si="5"/>
        <v>25.030139426007107</v>
      </c>
      <c r="H83" s="126">
        <f t="shared" si="6"/>
        <v>25.650385042324281</v>
      </c>
      <c r="I83" s="154">
        <f t="shared" si="7"/>
        <v>0</v>
      </c>
      <c r="J83" s="66">
        <f t="shared" si="4"/>
        <v>0</v>
      </c>
      <c r="K83" s="44"/>
    </row>
    <row r="84" spans="1:11" x14ac:dyDescent="0.25">
      <c r="A84" s="57">
        <f>'A) Base RI'!A86</f>
        <v>5529</v>
      </c>
      <c r="B84" s="350" t="str">
        <f>'A) Base RI'!B86</f>
        <v>Oulens-sous-Echallens</v>
      </c>
      <c r="C84" s="109">
        <f>'B) D RI'!U86</f>
        <v>19874.862394366199</v>
      </c>
      <c r="D84" s="126">
        <f>'E) Fact soc'!G90/C84</f>
        <v>16.983078691332022</v>
      </c>
      <c r="E84" s="154">
        <f>'H) Péréquation directe'!I95/C84</f>
        <v>10.466603511316494</v>
      </c>
      <c r="F84" s="126">
        <f>'I) Dépenses thématiques'!P84</f>
        <v>-8.4303772077583368</v>
      </c>
      <c r="G84" s="154">
        <f t="shared" si="5"/>
        <v>19.019304994890181</v>
      </c>
      <c r="H84" s="126">
        <f t="shared" si="6"/>
        <v>27.449682202648518</v>
      </c>
      <c r="I84" s="154">
        <f t="shared" si="7"/>
        <v>0</v>
      </c>
      <c r="J84" s="66">
        <f t="shared" si="4"/>
        <v>0</v>
      </c>
      <c r="K84" s="44"/>
    </row>
    <row r="85" spans="1:11" x14ac:dyDescent="0.25">
      <c r="A85" s="57">
        <f>'A) Base RI'!A87</f>
        <v>5530</v>
      </c>
      <c r="B85" s="350" t="str">
        <f>'A) Base RI'!B87</f>
        <v>Pailly</v>
      </c>
      <c r="C85" s="109">
        <f>'B) D RI'!U87</f>
        <v>15272.027655913982</v>
      </c>
      <c r="D85" s="126">
        <f>'E) Fact soc'!G91/C85</f>
        <v>15.505340718845133</v>
      </c>
      <c r="E85" s="154">
        <f>'H) Péréquation directe'!I96/C85</f>
        <v>1.3638394263125162</v>
      </c>
      <c r="F85" s="126">
        <f>'I) Dépenses thématiques'!P85</f>
        <v>-30.611155864713233</v>
      </c>
      <c r="G85" s="154">
        <f t="shared" si="5"/>
        <v>-13.741975719555583</v>
      </c>
      <c r="H85" s="126">
        <f t="shared" si="6"/>
        <v>16.86918014515765</v>
      </c>
      <c r="I85" s="154">
        <f t="shared" si="7"/>
        <v>0</v>
      </c>
      <c r="J85" s="66">
        <f t="shared" si="4"/>
        <v>0</v>
      </c>
      <c r="K85" s="44"/>
    </row>
    <row r="86" spans="1:11" x14ac:dyDescent="0.25">
      <c r="A86" s="57">
        <f>'A) Base RI'!A88</f>
        <v>5531</v>
      </c>
      <c r="B86" s="350" t="str">
        <f>'A) Base RI'!B88</f>
        <v>Penthéréaz</v>
      </c>
      <c r="C86" s="109">
        <f>'B) D RI'!U88</f>
        <v>12101.700128205126</v>
      </c>
      <c r="D86" s="126">
        <f>'E) Fact soc'!G92/C86</f>
        <v>17.4455205306752</v>
      </c>
      <c r="E86" s="154">
        <f>'H) Péréquation directe'!I97/C86</f>
        <v>2.3850035206692066</v>
      </c>
      <c r="F86" s="126">
        <f>'I) Dépenses thématiques'!P86</f>
        <v>-2.7472011908620613</v>
      </c>
      <c r="G86" s="154">
        <f t="shared" si="5"/>
        <v>17.083322860482344</v>
      </c>
      <c r="H86" s="126">
        <f t="shared" si="6"/>
        <v>19.830524051344405</v>
      </c>
      <c r="I86" s="154">
        <f t="shared" si="7"/>
        <v>0</v>
      </c>
      <c r="J86" s="66">
        <f t="shared" si="4"/>
        <v>0</v>
      </c>
      <c r="K86" s="44"/>
    </row>
    <row r="87" spans="1:11" x14ac:dyDescent="0.25">
      <c r="A87" s="57">
        <f>'A) Base RI'!A89</f>
        <v>5533</v>
      </c>
      <c r="B87" s="350" t="str">
        <f>'A) Base RI'!B89</f>
        <v>Poliez-Pittet</v>
      </c>
      <c r="C87" s="109">
        <f>'B) D RI'!U89</f>
        <v>27045.170985915491</v>
      </c>
      <c r="D87" s="126">
        <f>'E) Fact soc'!G93/C87</f>
        <v>16.024248094052414</v>
      </c>
      <c r="E87" s="154">
        <f>'H) Péréquation directe'!I98/C87</f>
        <v>7.407282364042044</v>
      </c>
      <c r="F87" s="126">
        <f>'I) Dépenses thématiques'!P87</f>
        <v>-3.3024759487077646</v>
      </c>
      <c r="G87" s="154">
        <f t="shared" si="5"/>
        <v>20.129054509386691</v>
      </c>
      <c r="H87" s="126">
        <f t="shared" si="6"/>
        <v>23.431530458094457</v>
      </c>
      <c r="I87" s="154">
        <f t="shared" si="7"/>
        <v>0</v>
      </c>
      <c r="J87" s="66">
        <f t="shared" si="4"/>
        <v>0</v>
      </c>
      <c r="K87" s="44"/>
    </row>
    <row r="88" spans="1:11" x14ac:dyDescent="0.25">
      <c r="A88" s="57">
        <f>'A) Base RI'!A90</f>
        <v>5534</v>
      </c>
      <c r="B88" s="350" t="str">
        <f>'A) Base RI'!B90</f>
        <v>Rueyres</v>
      </c>
      <c r="C88" s="109">
        <f>'B) D RI'!U90</f>
        <v>10934.157945205479</v>
      </c>
      <c r="D88" s="126">
        <f>'E) Fact soc'!G94/C88</f>
        <v>28.122471080032014</v>
      </c>
      <c r="E88" s="154">
        <f>'H) Péréquation directe'!I99/C88</f>
        <v>13.748869526267672</v>
      </c>
      <c r="F88" s="126">
        <f>'I) Dépenses thématiques'!P88</f>
        <v>-2.3969605357704804</v>
      </c>
      <c r="G88" s="154">
        <f t="shared" si="5"/>
        <v>39.4743800705292</v>
      </c>
      <c r="H88" s="126">
        <f t="shared" si="6"/>
        <v>41.871340606299682</v>
      </c>
      <c r="I88" s="154">
        <f t="shared" si="7"/>
        <v>0</v>
      </c>
      <c r="J88" s="66">
        <f t="shared" si="4"/>
        <v>0</v>
      </c>
      <c r="K88" s="44"/>
    </row>
    <row r="89" spans="1:11" x14ac:dyDescent="0.25">
      <c r="A89" s="57">
        <f>'A) Base RI'!A91</f>
        <v>5535</v>
      </c>
      <c r="B89" s="350" t="str">
        <f>'A) Base RI'!B91</f>
        <v>Saint-Barthélemy</v>
      </c>
      <c r="C89" s="109">
        <f>'B) D RI'!U91</f>
        <v>20697.547200000001</v>
      </c>
      <c r="D89" s="126">
        <f>'E) Fact soc'!G95/C89</f>
        <v>16.137048238451591</v>
      </c>
      <c r="E89" s="154">
        <f>'H) Péréquation directe'!I100/C89</f>
        <v>-0.61854602301053874</v>
      </c>
      <c r="F89" s="126">
        <f>'I) Dépenses thématiques'!P89</f>
        <v>0</v>
      </c>
      <c r="G89" s="154">
        <f t="shared" si="5"/>
        <v>15.518502215441051</v>
      </c>
      <c r="H89" s="126">
        <f t="shared" si="6"/>
        <v>15.518502215441051</v>
      </c>
      <c r="I89" s="154">
        <f t="shared" si="7"/>
        <v>0</v>
      </c>
      <c r="J89" s="66">
        <f t="shared" si="4"/>
        <v>0</v>
      </c>
      <c r="K89" s="44"/>
    </row>
    <row r="90" spans="1:11" x14ac:dyDescent="0.25">
      <c r="A90" s="57">
        <f>'A) Base RI'!A92</f>
        <v>5537</v>
      </c>
      <c r="B90" s="350" t="str">
        <f>'A) Base RI'!B92</f>
        <v>Villars-le-Terroir</v>
      </c>
      <c r="C90" s="109">
        <f>'B) D RI'!U92</f>
        <v>30041.138287671231</v>
      </c>
      <c r="D90" s="126">
        <f>'E) Fact soc'!G96/C90</f>
        <v>17.061780027216763</v>
      </c>
      <c r="E90" s="154">
        <f>'H) Péréquation directe'!I101/C90</f>
        <v>1.8497486426562308</v>
      </c>
      <c r="F90" s="126">
        <f>'I) Dépenses thématiques'!P90</f>
        <v>-3.8811946936314325</v>
      </c>
      <c r="G90" s="154">
        <f t="shared" si="5"/>
        <v>15.030333976241561</v>
      </c>
      <c r="H90" s="126">
        <f t="shared" si="6"/>
        <v>18.911528669872993</v>
      </c>
      <c r="I90" s="154">
        <f t="shared" si="7"/>
        <v>0</v>
      </c>
      <c r="J90" s="66">
        <f t="shared" si="4"/>
        <v>0</v>
      </c>
      <c r="K90" s="44"/>
    </row>
    <row r="91" spans="1:11" x14ac:dyDescent="0.25">
      <c r="A91" s="57">
        <f>'A) Base RI'!A93</f>
        <v>5539</v>
      </c>
      <c r="B91" s="350" t="str">
        <f>'A) Base RI'!B93</f>
        <v>Vuarrens</v>
      </c>
      <c r="C91" s="109">
        <f>'B) D RI'!U93</f>
        <v>22727.031566666661</v>
      </c>
      <c r="D91" s="126">
        <f>'E) Fact soc'!G97/C91</f>
        <v>17.284856628719631</v>
      </c>
      <c r="E91" s="154">
        <f>'H) Péréquation directe'!I102/C91</f>
        <v>-7.4774515135682531</v>
      </c>
      <c r="F91" s="126">
        <f>'I) Dépenses thématiques'!P91</f>
        <v>-5.6664858058423349</v>
      </c>
      <c r="G91" s="154">
        <f t="shared" si="5"/>
        <v>4.1409193093090426</v>
      </c>
      <c r="H91" s="126">
        <f t="shared" si="6"/>
        <v>9.8074051151513775</v>
      </c>
      <c r="I91" s="154">
        <f t="shared" si="7"/>
        <v>0</v>
      </c>
      <c r="J91" s="66">
        <f t="shared" si="4"/>
        <v>0</v>
      </c>
      <c r="K91" s="44"/>
    </row>
    <row r="92" spans="1:11" x14ac:dyDescent="0.25">
      <c r="A92" s="57">
        <f>'A) Base RI'!A94</f>
        <v>5540</v>
      </c>
      <c r="B92" s="350" t="str">
        <f>'A) Base RI'!B94</f>
        <v>Montilliez</v>
      </c>
      <c r="C92" s="109">
        <f>'B) D RI'!U94</f>
        <v>54875.674391891895</v>
      </c>
      <c r="D92" s="126">
        <f>'E) Fact soc'!G98/C92</f>
        <v>17.661050133916088</v>
      </c>
      <c r="E92" s="154">
        <f>'H) Péréquation directe'!I103/C92</f>
        <v>3.8416266579863021</v>
      </c>
      <c r="F92" s="126">
        <f>'I) Dépenses thématiques'!P92</f>
        <v>-6.0029881379331993</v>
      </c>
      <c r="G92" s="154">
        <f t="shared" si="5"/>
        <v>15.499688653969192</v>
      </c>
      <c r="H92" s="126">
        <f t="shared" si="6"/>
        <v>21.502676791902392</v>
      </c>
      <c r="I92" s="154">
        <f t="shared" si="7"/>
        <v>0</v>
      </c>
      <c r="J92" s="66">
        <f t="shared" si="4"/>
        <v>0</v>
      </c>
      <c r="K92" s="44"/>
    </row>
    <row r="93" spans="1:11" x14ac:dyDescent="0.25">
      <c r="A93" s="57">
        <f>'A) Base RI'!A95</f>
        <v>5541</v>
      </c>
      <c r="B93" s="350" t="str">
        <f>'A) Base RI'!B95</f>
        <v>Goumoëns</v>
      </c>
      <c r="C93" s="109">
        <f>'B) D RI'!U95</f>
        <v>32498.070519480509</v>
      </c>
      <c r="D93" s="126">
        <f>'E) Fact soc'!G99/C93</f>
        <v>20.586559494361513</v>
      </c>
      <c r="E93" s="154">
        <f>'H) Péréquation directe'!I104/C93</f>
        <v>4.2285497138045436</v>
      </c>
      <c r="F93" s="126">
        <f>'I) Dépenses thématiques'!P93</f>
        <v>-3.7679477665265213</v>
      </c>
      <c r="G93" s="154">
        <f t="shared" si="5"/>
        <v>21.047161441639535</v>
      </c>
      <c r="H93" s="126">
        <f t="shared" si="6"/>
        <v>24.815109208166056</v>
      </c>
      <c r="I93" s="154">
        <f t="shared" si="7"/>
        <v>0</v>
      </c>
      <c r="J93" s="66">
        <f t="shared" si="4"/>
        <v>0</v>
      </c>
      <c r="K93" s="44"/>
    </row>
    <row r="94" spans="1:11" x14ac:dyDescent="0.25">
      <c r="A94" s="57">
        <f>'A) Base RI'!A96</f>
        <v>5551</v>
      </c>
      <c r="B94" s="350" t="str">
        <f>'A) Base RI'!B96</f>
        <v>Bonvillars</v>
      </c>
      <c r="C94" s="109">
        <f>'B) D RI'!U96</f>
        <v>19291.965896103895</v>
      </c>
      <c r="D94" s="126">
        <f>'E) Fact soc'!G100/C94</f>
        <v>16.164354192443863</v>
      </c>
      <c r="E94" s="154">
        <f>'H) Péréquation directe'!I105/C94</f>
        <v>14.315485675637126</v>
      </c>
      <c r="F94" s="126">
        <f>'I) Dépenses thématiques'!P94</f>
        <v>-4.3144337709355334</v>
      </c>
      <c r="G94" s="154">
        <f t="shared" si="5"/>
        <v>26.165406097145453</v>
      </c>
      <c r="H94" s="126">
        <f t="shared" si="6"/>
        <v>30.479839868080987</v>
      </c>
      <c r="I94" s="154">
        <f t="shared" si="7"/>
        <v>0</v>
      </c>
      <c r="J94" s="66">
        <f t="shared" si="4"/>
        <v>0</v>
      </c>
      <c r="K94" s="44"/>
    </row>
    <row r="95" spans="1:11" x14ac:dyDescent="0.25">
      <c r="A95" s="57">
        <f>'A) Base RI'!A97</f>
        <v>5552</v>
      </c>
      <c r="B95" s="350" t="str">
        <f>'A) Base RI'!B97</f>
        <v>Bullet</v>
      </c>
      <c r="C95" s="109">
        <f>'B) D RI'!U97</f>
        <v>15735.537571428569</v>
      </c>
      <c r="D95" s="126">
        <f>'E) Fact soc'!G101/C95</f>
        <v>21.003326827726763</v>
      </c>
      <c r="E95" s="154">
        <f>'H) Péréquation directe'!I106/C95</f>
        <v>-0.98538765409331941</v>
      </c>
      <c r="F95" s="126">
        <f>'I) Dépenses thématiques'!P95</f>
        <v>-5.7026766854594424</v>
      </c>
      <c r="G95" s="154">
        <f t="shared" si="5"/>
        <v>14.315262488174001</v>
      </c>
      <c r="H95" s="126">
        <f t="shared" si="6"/>
        <v>20.017939173633444</v>
      </c>
      <c r="I95" s="154">
        <f t="shared" si="7"/>
        <v>0</v>
      </c>
      <c r="J95" s="66">
        <f t="shared" si="4"/>
        <v>0</v>
      </c>
      <c r="K95" s="44"/>
    </row>
    <row r="96" spans="1:11" x14ac:dyDescent="0.25">
      <c r="A96" s="57">
        <f>'A) Base RI'!A98</f>
        <v>5553</v>
      </c>
      <c r="B96" s="350" t="str">
        <f>'A) Base RI'!B98</f>
        <v>Champagne</v>
      </c>
      <c r="C96" s="109">
        <f>'B) D RI'!U98</f>
        <v>33369.783650793652</v>
      </c>
      <c r="D96" s="126">
        <f>'E) Fact soc'!G102/C96</f>
        <v>20.036740334037411</v>
      </c>
      <c r="E96" s="154">
        <f>'H) Péréquation directe'!I107/C96</f>
        <v>9.329044024747434</v>
      </c>
      <c r="F96" s="126">
        <f>'I) Dépenses thématiques'!P96</f>
        <v>-11.779986177290899</v>
      </c>
      <c r="G96" s="154">
        <f t="shared" si="5"/>
        <v>17.585798181493942</v>
      </c>
      <c r="H96" s="126">
        <f t="shared" si="6"/>
        <v>29.365784358784843</v>
      </c>
      <c r="I96" s="154">
        <f t="shared" si="7"/>
        <v>0</v>
      </c>
      <c r="J96" s="66">
        <f t="shared" si="4"/>
        <v>0</v>
      </c>
      <c r="K96" s="44"/>
    </row>
    <row r="97" spans="1:11" x14ac:dyDescent="0.25">
      <c r="A97" s="57">
        <f>'A) Base RI'!A99</f>
        <v>5554</v>
      </c>
      <c r="B97" s="350" t="str">
        <f>'A) Base RI'!B99</f>
        <v>Concise</v>
      </c>
      <c r="C97" s="109">
        <f>'B) D RI'!U99</f>
        <v>28986.7088</v>
      </c>
      <c r="D97" s="126">
        <f>'E) Fact soc'!G103/C97</f>
        <v>17.773006276473073</v>
      </c>
      <c r="E97" s="154">
        <f>'H) Péréquation directe'!I108/C97</f>
        <v>4.3118037470901429</v>
      </c>
      <c r="F97" s="126">
        <f>'I) Dépenses thématiques'!P97</f>
        <v>-9.2593194562859029</v>
      </c>
      <c r="G97" s="154">
        <f t="shared" si="5"/>
        <v>12.825490567277312</v>
      </c>
      <c r="H97" s="126">
        <f t="shared" si="6"/>
        <v>22.084810023563215</v>
      </c>
      <c r="I97" s="154">
        <f t="shared" si="7"/>
        <v>0</v>
      </c>
      <c r="J97" s="66">
        <f t="shared" si="4"/>
        <v>0</v>
      </c>
      <c r="K97" s="44"/>
    </row>
    <row r="98" spans="1:11" x14ac:dyDescent="0.25">
      <c r="A98" s="57">
        <f>'A) Base RI'!A100</f>
        <v>5555</v>
      </c>
      <c r="B98" s="350" t="str">
        <f>'A) Base RI'!B100</f>
        <v>Corcelles-près-Concise</v>
      </c>
      <c r="C98" s="109">
        <f>'B) D RI'!U100</f>
        <v>11040.372394366199</v>
      </c>
      <c r="D98" s="126">
        <f>'E) Fact soc'!G104/C98</f>
        <v>18.863476861372664</v>
      </c>
      <c r="E98" s="154">
        <f>'H) Péréquation directe'!I109/C98</f>
        <v>4.2563577095699614</v>
      </c>
      <c r="F98" s="126">
        <f>'I) Dépenses thématiques'!P98</f>
        <v>-8.1283837392109088</v>
      </c>
      <c r="G98" s="154">
        <f t="shared" si="5"/>
        <v>14.991450831731717</v>
      </c>
      <c r="H98" s="126">
        <f t="shared" si="6"/>
        <v>23.119834570942626</v>
      </c>
      <c r="I98" s="154">
        <f t="shared" si="7"/>
        <v>0</v>
      </c>
      <c r="J98" s="66">
        <f t="shared" si="4"/>
        <v>0</v>
      </c>
      <c r="K98" s="44"/>
    </row>
    <row r="99" spans="1:11" x14ac:dyDescent="0.25">
      <c r="A99" s="57">
        <f>'A) Base RI'!A101</f>
        <v>5556</v>
      </c>
      <c r="B99" s="350" t="str">
        <f>'A) Base RI'!B101</f>
        <v>Fiez</v>
      </c>
      <c r="C99" s="109">
        <f>'B) D RI'!U101</f>
        <v>12472.754202898552</v>
      </c>
      <c r="D99" s="126">
        <f>'E) Fact soc'!G105/C99</f>
        <v>17.115755309811334</v>
      </c>
      <c r="E99" s="154">
        <f>'H) Péréquation directe'!I110/C99</f>
        <v>4.9666206822424011</v>
      </c>
      <c r="F99" s="126">
        <f>'I) Dépenses thématiques'!P99</f>
        <v>-9.5788610504757656</v>
      </c>
      <c r="G99" s="154">
        <f t="shared" si="5"/>
        <v>12.503514941577969</v>
      </c>
      <c r="H99" s="126">
        <f t="shared" si="6"/>
        <v>22.082375992053734</v>
      </c>
      <c r="I99" s="154">
        <f t="shared" si="7"/>
        <v>0</v>
      </c>
      <c r="J99" s="66">
        <f t="shared" si="4"/>
        <v>0</v>
      </c>
      <c r="K99" s="44"/>
    </row>
    <row r="100" spans="1:11" x14ac:dyDescent="0.25">
      <c r="A100" s="57">
        <f>'A) Base RI'!A102</f>
        <v>5557</v>
      </c>
      <c r="B100" s="350" t="str">
        <f>'A) Base RI'!B102</f>
        <v>Fontaines-sur-Grandson</v>
      </c>
      <c r="C100" s="109">
        <f>'B) D RI'!U102</f>
        <v>4030.2872463768117</v>
      </c>
      <c r="D100" s="126">
        <f>'E) Fact soc'!G106/C100</f>
        <v>19.479011558309995</v>
      </c>
      <c r="E100" s="154">
        <f>'H) Péréquation directe'!I111/C100</f>
        <v>-9.7894816853227216</v>
      </c>
      <c r="F100" s="126">
        <f>'I) Dépenses thématiques'!P100</f>
        <v>-1.9839922055760695</v>
      </c>
      <c r="G100" s="154">
        <f t="shared" si="5"/>
        <v>7.7055376674112042</v>
      </c>
      <c r="H100" s="126">
        <f t="shared" si="6"/>
        <v>9.6895298729872739</v>
      </c>
      <c r="I100" s="154">
        <f t="shared" si="7"/>
        <v>0</v>
      </c>
      <c r="J100" s="66">
        <f t="shared" si="4"/>
        <v>0</v>
      </c>
      <c r="K100" s="44"/>
    </row>
    <row r="101" spans="1:11" x14ac:dyDescent="0.25">
      <c r="A101" s="57">
        <f>'A) Base RI'!A103</f>
        <v>5559</v>
      </c>
      <c r="B101" s="350" t="str">
        <f>'A) Base RI'!B103</f>
        <v>Giez</v>
      </c>
      <c r="C101" s="109">
        <f>'B) D RI'!U103</f>
        <v>18149.138484848489</v>
      </c>
      <c r="D101" s="126">
        <f>'E) Fact soc'!G107/C101</f>
        <v>24.351899349619252</v>
      </c>
      <c r="E101" s="154">
        <f>'H) Péréquation directe'!I112/C101</f>
        <v>16.267012504697771</v>
      </c>
      <c r="F101" s="126">
        <f>'I) Dépenses thématiques'!P101</f>
        <v>0</v>
      </c>
      <c r="G101" s="154">
        <f t="shared" si="5"/>
        <v>40.61891185431702</v>
      </c>
      <c r="H101" s="126">
        <f t="shared" si="6"/>
        <v>40.61891185431702</v>
      </c>
      <c r="I101" s="154">
        <f t="shared" si="7"/>
        <v>0</v>
      </c>
      <c r="J101" s="66">
        <f t="shared" si="4"/>
        <v>0</v>
      </c>
      <c r="K101" s="44"/>
    </row>
    <row r="102" spans="1:11" x14ac:dyDescent="0.25">
      <c r="A102" s="57">
        <f>'A) Base RI'!A104</f>
        <v>5560</v>
      </c>
      <c r="B102" s="350" t="str">
        <f>'A) Base RI'!B104</f>
        <v>Grandevent</v>
      </c>
      <c r="C102" s="109">
        <f>'B) D RI'!U104</f>
        <v>6446.6273529411765</v>
      </c>
      <c r="D102" s="126">
        <f>'E) Fact soc'!G108/C102</f>
        <v>16.038188764014176</v>
      </c>
      <c r="E102" s="154">
        <f>'H) Péréquation directe'!I113/C102</f>
        <v>3.6301296599233837</v>
      </c>
      <c r="F102" s="126">
        <f>'I) Dépenses thématiques'!P102</f>
        <v>-0.1624993805772989</v>
      </c>
      <c r="G102" s="154">
        <f t="shared" si="5"/>
        <v>19.505819043360262</v>
      </c>
      <c r="H102" s="126">
        <f t="shared" si="6"/>
        <v>19.66831842393756</v>
      </c>
      <c r="I102" s="154">
        <f t="shared" si="7"/>
        <v>0</v>
      </c>
      <c r="J102" s="66">
        <f t="shared" si="4"/>
        <v>0</v>
      </c>
      <c r="K102" s="44"/>
    </row>
    <row r="103" spans="1:11" x14ac:dyDescent="0.25">
      <c r="A103" s="57">
        <f>'A) Base RI'!A105</f>
        <v>5561</v>
      </c>
      <c r="B103" s="350" t="str">
        <f>'A) Base RI'!B105</f>
        <v>Grandson</v>
      </c>
      <c r="C103" s="109">
        <f>'B) D RI'!U105</f>
        <v>115170.40130434782</v>
      </c>
      <c r="D103" s="126">
        <f>'E) Fact soc'!G109/C103</f>
        <v>18.94761856883839</v>
      </c>
      <c r="E103" s="154">
        <f>'H) Péréquation directe'!I114/C103</f>
        <v>4.8580293361290794</v>
      </c>
      <c r="F103" s="126">
        <f>'I) Dépenses thématiques'!P103</f>
        <v>-205.09239404145237</v>
      </c>
      <c r="G103" s="154">
        <f t="shared" si="5"/>
        <v>-181.28674613648491</v>
      </c>
      <c r="H103" s="126">
        <f t="shared" si="6"/>
        <v>23.805647904967458</v>
      </c>
      <c r="I103" s="154">
        <f t="shared" si="7"/>
        <v>0</v>
      </c>
      <c r="J103" s="66">
        <f t="shared" si="4"/>
        <v>0</v>
      </c>
      <c r="K103" s="44"/>
    </row>
    <row r="104" spans="1:11" x14ac:dyDescent="0.25">
      <c r="A104" s="57">
        <f>'A) Base RI'!A106</f>
        <v>5562</v>
      </c>
      <c r="B104" s="350" t="str">
        <f>'A) Base RI'!B106</f>
        <v>Mauborget</v>
      </c>
      <c r="C104" s="109">
        <f>'B) D RI'!U106</f>
        <v>3662.5545714285713</v>
      </c>
      <c r="D104" s="126">
        <f>'E) Fact soc'!G110/C104</f>
        <v>17.308270872973157</v>
      </c>
      <c r="E104" s="154">
        <f>'H) Péréquation directe'!I115/C104</f>
        <v>5.3021414106870646</v>
      </c>
      <c r="F104" s="126">
        <f>'I) Dépenses thématiques'!P104</f>
        <v>-4.6712886432855303</v>
      </c>
      <c r="G104" s="154">
        <f t="shared" si="5"/>
        <v>17.939123640374689</v>
      </c>
      <c r="H104" s="126">
        <f t="shared" si="6"/>
        <v>22.610412283660217</v>
      </c>
      <c r="I104" s="154">
        <f t="shared" si="7"/>
        <v>0</v>
      </c>
      <c r="J104" s="66">
        <f t="shared" si="4"/>
        <v>0</v>
      </c>
      <c r="K104" s="44"/>
    </row>
    <row r="105" spans="1:11" x14ac:dyDescent="0.25">
      <c r="A105" s="57">
        <f>'A) Base RI'!A107</f>
        <v>5563</v>
      </c>
      <c r="B105" s="350" t="str">
        <f>'A) Base RI'!B107</f>
        <v>Mutrux</v>
      </c>
      <c r="C105" s="109">
        <f>'B) D RI'!U107</f>
        <v>4275.1686624203812</v>
      </c>
      <c r="D105" s="126">
        <f>'E) Fact soc'!G111/C105</f>
        <v>18.255419975404998</v>
      </c>
      <c r="E105" s="154">
        <f>'H) Péréquation directe'!I116/C105</f>
        <v>-2.547672837022438</v>
      </c>
      <c r="F105" s="126">
        <f>'I) Dépenses thématiques'!P105</f>
        <v>-10.546336780271504</v>
      </c>
      <c r="G105" s="154">
        <f t="shared" si="5"/>
        <v>5.1614103581110555</v>
      </c>
      <c r="H105" s="126">
        <f t="shared" si="6"/>
        <v>15.70774713838256</v>
      </c>
      <c r="I105" s="154">
        <f t="shared" si="7"/>
        <v>0</v>
      </c>
      <c r="J105" s="66">
        <f t="shared" si="4"/>
        <v>0</v>
      </c>
      <c r="K105" s="44"/>
    </row>
    <row r="106" spans="1:11" x14ac:dyDescent="0.25">
      <c r="A106" s="57">
        <f>'A) Base RI'!A108</f>
        <v>5564</v>
      </c>
      <c r="B106" s="350" t="str">
        <f>'A) Base RI'!B108</f>
        <v>Novalles</v>
      </c>
      <c r="C106" s="109">
        <f>'B) D RI'!U108</f>
        <v>2063.0078618421053</v>
      </c>
      <c r="D106" s="126">
        <f>'E) Fact soc'!G112/C106</f>
        <v>22.37378303223409</v>
      </c>
      <c r="E106" s="154">
        <f>'H) Péréquation directe'!I117/C106</f>
        <v>-14.081436141299644</v>
      </c>
      <c r="F106" s="126">
        <f>'I) Dépenses thématiques'!P106</f>
        <v>-0.545571095993444</v>
      </c>
      <c r="G106" s="154">
        <f t="shared" si="5"/>
        <v>7.7467757949410023</v>
      </c>
      <c r="H106" s="126">
        <f t="shared" si="6"/>
        <v>8.2923468909344464</v>
      </c>
      <c r="I106" s="154">
        <f t="shared" si="7"/>
        <v>0</v>
      </c>
      <c r="J106" s="66">
        <f t="shared" si="4"/>
        <v>0</v>
      </c>
      <c r="K106" s="44"/>
    </row>
    <row r="107" spans="1:11" x14ac:dyDescent="0.25">
      <c r="A107" s="57">
        <f>'A) Base RI'!A109</f>
        <v>5565</v>
      </c>
      <c r="B107" s="350" t="str">
        <f>'A) Base RI'!B109</f>
        <v>Onnens</v>
      </c>
      <c r="C107" s="109">
        <f>'B) D RI'!U109</f>
        <v>17902.806410256413</v>
      </c>
      <c r="D107" s="126">
        <f>'E) Fact soc'!G113/C107</f>
        <v>16.103900105697161</v>
      </c>
      <c r="E107" s="154">
        <f>'H) Péréquation directe'!I118/C107</f>
        <v>11.580478801691616</v>
      </c>
      <c r="F107" s="126">
        <f>'I) Dépenses thématiques'!P107</f>
        <v>-6.9159234767296986</v>
      </c>
      <c r="G107" s="154">
        <f t="shared" si="5"/>
        <v>20.768455430659078</v>
      </c>
      <c r="H107" s="126">
        <f t="shared" si="6"/>
        <v>27.684378907388776</v>
      </c>
      <c r="I107" s="154">
        <f t="shared" si="7"/>
        <v>0</v>
      </c>
      <c r="J107" s="66">
        <f t="shared" si="4"/>
        <v>0</v>
      </c>
      <c r="K107" s="44"/>
    </row>
    <row r="108" spans="1:11" x14ac:dyDescent="0.25">
      <c r="A108" s="57">
        <f>'A) Base RI'!A110</f>
        <v>5566</v>
      </c>
      <c r="B108" s="350" t="str">
        <f>'A) Base RI'!B110</f>
        <v>Provence</v>
      </c>
      <c r="C108" s="109">
        <f>'B) D RI'!U110</f>
        <v>8605.0976954732487</v>
      </c>
      <c r="D108" s="126">
        <f>'E) Fact soc'!G114/C108</f>
        <v>20.667156323139636</v>
      </c>
      <c r="E108" s="154">
        <f>'H) Péréquation directe'!I119/C108</f>
        <v>-13.226719559922273</v>
      </c>
      <c r="F108" s="126">
        <f>'I) Dépenses thématiques'!P108</f>
        <v>-1.3415679480231384</v>
      </c>
      <c r="G108" s="154">
        <f t="shared" si="5"/>
        <v>6.0988688151942245</v>
      </c>
      <c r="H108" s="126">
        <f t="shared" si="6"/>
        <v>7.4404367632173631</v>
      </c>
      <c r="I108" s="154">
        <f t="shared" si="7"/>
        <v>0</v>
      </c>
      <c r="J108" s="66">
        <f t="shared" si="4"/>
        <v>0</v>
      </c>
      <c r="K108" s="44"/>
    </row>
    <row r="109" spans="1:11" x14ac:dyDescent="0.25">
      <c r="A109" s="57">
        <f>'A) Base RI'!A111</f>
        <v>5568</v>
      </c>
      <c r="B109" s="350" t="str">
        <f>'A) Base RI'!B111</f>
        <v>Sainte-Croix</v>
      </c>
      <c r="C109" s="109">
        <f>'B) D RI'!U111</f>
        <v>96229.339714285714</v>
      </c>
      <c r="D109" s="126">
        <f>'E) Fact soc'!G115/C109</f>
        <v>24.243607061339485</v>
      </c>
      <c r="E109" s="154">
        <f>'H) Péréquation directe'!I120/C109</f>
        <v>-23.963951724129888</v>
      </c>
      <c r="F109" s="126">
        <f>'I) Dépenses thématiques'!P109</f>
        <v>-48.807417400519775</v>
      </c>
      <c r="G109" s="154">
        <f t="shared" si="5"/>
        <v>-48.527762063310178</v>
      </c>
      <c r="H109" s="126">
        <f t="shared" si="6"/>
        <v>0.27965533720959712</v>
      </c>
      <c r="I109" s="154">
        <f t="shared" si="7"/>
        <v>0</v>
      </c>
      <c r="J109" s="66">
        <f t="shared" si="4"/>
        <v>0</v>
      </c>
      <c r="K109" s="44"/>
    </row>
    <row r="110" spans="1:11" x14ac:dyDescent="0.25">
      <c r="A110" s="57">
        <f>'A) Base RI'!A112</f>
        <v>5571</v>
      </c>
      <c r="B110" s="350" t="str">
        <f>'A) Base RI'!B112</f>
        <v>Tévenon</v>
      </c>
      <c r="C110" s="109">
        <f>'B) D RI'!U112</f>
        <v>20963.465799086756</v>
      </c>
      <c r="D110" s="126">
        <f>'E) Fact soc'!G116/C110</f>
        <v>24.57006732794077</v>
      </c>
      <c r="E110" s="154">
        <f>'H) Péréquation directe'!I121/C110</f>
        <v>5.476611781393196E-3</v>
      </c>
      <c r="F110" s="126">
        <f>'I) Dépenses thématiques'!P110</f>
        <v>-0.70281560178652047</v>
      </c>
      <c r="G110" s="154">
        <f t="shared" si="5"/>
        <v>23.872728337935641</v>
      </c>
      <c r="H110" s="126">
        <f t="shared" si="6"/>
        <v>24.575543939722163</v>
      </c>
      <c r="I110" s="154">
        <f t="shared" si="7"/>
        <v>0</v>
      </c>
      <c r="J110" s="66">
        <f t="shared" si="4"/>
        <v>0</v>
      </c>
      <c r="K110" s="44"/>
    </row>
    <row r="111" spans="1:11" x14ac:dyDescent="0.25">
      <c r="A111" s="57">
        <f>'A) Base RI'!A113</f>
        <v>5581</v>
      </c>
      <c r="B111" s="350" t="str">
        <f>'A) Base RI'!B113</f>
        <v>Belmont-sur-Lausanne</v>
      </c>
      <c r="C111" s="109">
        <f>'B) D RI'!U113</f>
        <v>187042.91923261393</v>
      </c>
      <c r="D111" s="126">
        <f>'E) Fact soc'!G117/C111</f>
        <v>16.845667627981946</v>
      </c>
      <c r="E111" s="154">
        <f>'H) Péréquation directe'!I122/C111</f>
        <v>13.103341102022279</v>
      </c>
      <c r="F111" s="126">
        <f>'I) Dépenses thématiques'!P111</f>
        <v>-2.9621481076202789</v>
      </c>
      <c r="G111" s="154">
        <f t="shared" si="5"/>
        <v>26.986860622383944</v>
      </c>
      <c r="H111" s="126">
        <f t="shared" si="6"/>
        <v>29.949008730004223</v>
      </c>
      <c r="I111" s="154">
        <f t="shared" si="7"/>
        <v>0</v>
      </c>
      <c r="J111" s="66">
        <f t="shared" si="4"/>
        <v>0</v>
      </c>
      <c r="K111" s="44"/>
    </row>
    <row r="112" spans="1:11" x14ac:dyDescent="0.25">
      <c r="A112" s="57">
        <f>'A) Base RI'!A114</f>
        <v>5582</v>
      </c>
      <c r="B112" s="350" t="str">
        <f>'A) Base RI'!B114</f>
        <v>Cheseaux-sur-Lausanne</v>
      </c>
      <c r="C112" s="109">
        <f>'B) D RI'!U114</f>
        <v>203617.184295302</v>
      </c>
      <c r="D112" s="126">
        <f>'E) Fact soc'!G118/C112</f>
        <v>17.329890221630102</v>
      </c>
      <c r="E112" s="154">
        <f>'H) Péréquation directe'!I123/C112</f>
        <v>11.671939192848148</v>
      </c>
      <c r="F112" s="126">
        <f>'I) Dépenses thématiques'!P112</f>
        <v>-0.19526665409782401</v>
      </c>
      <c r="G112" s="154">
        <f t="shared" si="5"/>
        <v>28.806562760380427</v>
      </c>
      <c r="H112" s="126">
        <f t="shared" si="6"/>
        <v>29.001829414478252</v>
      </c>
      <c r="I112" s="154">
        <f t="shared" si="7"/>
        <v>0</v>
      </c>
      <c r="J112" s="66">
        <f t="shared" si="4"/>
        <v>0</v>
      </c>
      <c r="K112" s="44"/>
    </row>
    <row r="113" spans="1:11" x14ac:dyDescent="0.25">
      <c r="A113" s="57">
        <f>'A) Base RI'!A115</f>
        <v>5583</v>
      </c>
      <c r="B113" s="350" t="str">
        <f>'A) Base RI'!B115</f>
        <v>Crissier</v>
      </c>
      <c r="C113" s="109">
        <f>'B) D RI'!U115</f>
        <v>311741.22092307697</v>
      </c>
      <c r="D113" s="126">
        <f>'E) Fact soc'!G119/C113</f>
        <v>17.814734275778637</v>
      </c>
      <c r="E113" s="154">
        <f>'H) Péréquation directe'!I124/C113</f>
        <v>6.2607508153642639</v>
      </c>
      <c r="F113" s="126">
        <f>'I) Dépenses thématiques'!P113</f>
        <v>-4.7740308156741911</v>
      </c>
      <c r="G113" s="154">
        <f t="shared" si="5"/>
        <v>19.301454275468711</v>
      </c>
      <c r="H113" s="126">
        <f t="shared" si="6"/>
        <v>24.075485091142902</v>
      </c>
      <c r="I113" s="154">
        <f t="shared" si="7"/>
        <v>0</v>
      </c>
      <c r="J113" s="66">
        <f t="shared" si="4"/>
        <v>0</v>
      </c>
      <c r="K113" s="44"/>
    </row>
    <row r="114" spans="1:11" x14ac:dyDescent="0.25">
      <c r="A114" s="57">
        <f>'A) Base RI'!A116</f>
        <v>5584</v>
      </c>
      <c r="B114" s="350" t="str">
        <f>'A) Base RI'!B116</f>
        <v>Epalinges</v>
      </c>
      <c r="C114" s="109">
        <f>'B) D RI'!U116</f>
        <v>455692.51</v>
      </c>
      <c r="D114" s="126">
        <f>'E) Fact soc'!G120/C114</f>
        <v>20.083905782133055</v>
      </c>
      <c r="E114" s="154">
        <f>'H) Péréquation directe'!I125/C114</f>
        <v>9.1735166792235674</v>
      </c>
      <c r="F114" s="126">
        <f>'I) Dépenses thématiques'!P114</f>
        <v>-14.909923414526505</v>
      </c>
      <c r="G114" s="154">
        <f t="shared" si="5"/>
        <v>14.347499046830118</v>
      </c>
      <c r="H114" s="126">
        <f t="shared" si="6"/>
        <v>29.257422461356622</v>
      </c>
      <c r="I114" s="154">
        <f t="shared" si="7"/>
        <v>0</v>
      </c>
      <c r="J114" s="66">
        <f t="shared" si="4"/>
        <v>0</v>
      </c>
      <c r="K114" s="44"/>
    </row>
    <row r="115" spans="1:11" x14ac:dyDescent="0.25">
      <c r="A115" s="57">
        <f>'A) Base RI'!A117</f>
        <v>5585</v>
      </c>
      <c r="B115" s="350" t="str">
        <f>'A) Base RI'!B117</f>
        <v>Jouxtens-Mézery</v>
      </c>
      <c r="C115" s="109">
        <f>'B) D RI'!U117</f>
        <v>201546.16339622639</v>
      </c>
      <c r="D115" s="126">
        <f>'E) Fact soc'!G121/C115</f>
        <v>31.711455650760666</v>
      </c>
      <c r="E115" s="154">
        <f>'H) Péréquation directe'!I126/C115</f>
        <v>14.746399458619116</v>
      </c>
      <c r="F115" s="126">
        <f>'I) Dépenses thématiques'!P115</f>
        <v>0</v>
      </c>
      <c r="G115" s="154">
        <f t="shared" si="5"/>
        <v>46.457855109379778</v>
      </c>
      <c r="H115" s="126">
        <f t="shared" si="6"/>
        <v>46.457855109379778</v>
      </c>
      <c r="I115" s="154">
        <f t="shared" si="7"/>
        <v>0</v>
      </c>
      <c r="J115" s="66">
        <f t="shared" si="4"/>
        <v>0</v>
      </c>
      <c r="K115" s="44"/>
    </row>
    <row r="116" spans="1:11" x14ac:dyDescent="0.25">
      <c r="A116" s="57">
        <f>'A) Base RI'!A118</f>
        <v>5586</v>
      </c>
      <c r="B116" s="350" t="str">
        <f>'A) Base RI'!B118</f>
        <v>Lausanne</v>
      </c>
      <c r="C116" s="109">
        <f>'B) D RI'!U118</f>
        <v>6075429.3645991571</v>
      </c>
      <c r="D116" s="126">
        <f>'E) Fact soc'!G122/C116</f>
        <v>17.700244478362549</v>
      </c>
      <c r="E116" s="154">
        <f>'H) Péréquation directe'!I127/C116</f>
        <v>-4.123842399430341</v>
      </c>
      <c r="F116" s="126">
        <f>'I) Dépenses thématiques'!P116</f>
        <v>-109.7455123061516</v>
      </c>
      <c r="G116" s="154">
        <f t="shared" si="5"/>
        <v>-96.169110227219392</v>
      </c>
      <c r="H116" s="126">
        <f t="shared" si="6"/>
        <v>13.576402078932205</v>
      </c>
      <c r="I116" s="154">
        <f t="shared" si="7"/>
        <v>0</v>
      </c>
      <c r="J116" s="66">
        <f t="shared" si="4"/>
        <v>0</v>
      </c>
      <c r="K116" s="44"/>
    </row>
    <row r="117" spans="1:11" x14ac:dyDescent="0.25">
      <c r="A117" s="57">
        <f>'A) Base RI'!A119</f>
        <v>5587</v>
      </c>
      <c r="B117" s="350" t="str">
        <f>'A) Base RI'!B119</f>
        <v>Le Mont-sur-Lausanne</v>
      </c>
      <c r="C117" s="109">
        <f>'B) D RI'!U119</f>
        <v>413343.80273333337</v>
      </c>
      <c r="D117" s="126">
        <f>'E) Fact soc'!G123/C117</f>
        <v>17.778695555065312</v>
      </c>
      <c r="E117" s="154">
        <f>'H) Péréquation directe'!I128/C117</f>
        <v>10.390150282975036</v>
      </c>
      <c r="F117" s="126">
        <f>'I) Dépenses thématiques'!P117</f>
        <v>-13.614608139770469</v>
      </c>
      <c r="G117" s="154">
        <f t="shared" si="5"/>
        <v>14.554237698269878</v>
      </c>
      <c r="H117" s="126">
        <f t="shared" si="6"/>
        <v>28.168845838040347</v>
      </c>
      <c r="I117" s="154">
        <f t="shared" si="7"/>
        <v>0</v>
      </c>
      <c r="J117" s="66">
        <f t="shared" si="4"/>
        <v>0</v>
      </c>
      <c r="K117" s="44"/>
    </row>
    <row r="118" spans="1:11" x14ac:dyDescent="0.25">
      <c r="A118" s="57">
        <f>'A) Base RI'!A120</f>
        <v>5588</v>
      </c>
      <c r="B118" s="350" t="str">
        <f>'A) Base RI'!B120</f>
        <v>Paudex</v>
      </c>
      <c r="C118" s="109">
        <f>'B) D RI'!U120</f>
        <v>160000.57716608592</v>
      </c>
      <c r="D118" s="126">
        <f>'E) Fact soc'!G124/C118</f>
        <v>28.980264046672957</v>
      </c>
      <c r="E118" s="154">
        <f>'H) Péréquation directe'!I129/C118</f>
        <v>15.059073660953398</v>
      </c>
      <c r="F118" s="126">
        <f>'I) Dépenses thématiques'!P118</f>
        <v>0</v>
      </c>
      <c r="G118" s="154">
        <f t="shared" si="5"/>
        <v>44.039337707626359</v>
      </c>
      <c r="H118" s="126">
        <f t="shared" si="6"/>
        <v>44.039337707626359</v>
      </c>
      <c r="I118" s="154">
        <f t="shared" si="7"/>
        <v>0</v>
      </c>
      <c r="J118" s="66">
        <f t="shared" si="4"/>
        <v>0</v>
      </c>
      <c r="K118" s="44"/>
    </row>
    <row r="119" spans="1:11" x14ac:dyDescent="0.25">
      <c r="A119" s="57">
        <f>'A) Base RI'!A121</f>
        <v>5589</v>
      </c>
      <c r="B119" s="350" t="str">
        <f>'A) Base RI'!B121</f>
        <v>Prilly</v>
      </c>
      <c r="C119" s="109">
        <f>'B) D RI'!U121</f>
        <v>437574.2323809524</v>
      </c>
      <c r="D119" s="126">
        <f>'E) Fact soc'!G125/C119</f>
        <v>18.74589747201918</v>
      </c>
      <c r="E119" s="154">
        <f>'H) Péréquation directe'!I130/C119</f>
        <v>-1.093510689841251</v>
      </c>
      <c r="F119" s="126">
        <f>'I) Dépenses thématiques'!P119</f>
        <v>-1.2865272695305983</v>
      </c>
      <c r="G119" s="154">
        <f t="shared" si="5"/>
        <v>16.365859512647329</v>
      </c>
      <c r="H119" s="126">
        <f t="shared" si="6"/>
        <v>17.652386782177928</v>
      </c>
      <c r="I119" s="154">
        <f t="shared" si="7"/>
        <v>0</v>
      </c>
      <c r="J119" s="66">
        <f t="shared" si="4"/>
        <v>0</v>
      </c>
      <c r="K119" s="44"/>
    </row>
    <row r="120" spans="1:11" x14ac:dyDescent="0.25">
      <c r="A120" s="57">
        <f>'A) Base RI'!A122</f>
        <v>5590</v>
      </c>
      <c r="B120" s="350" t="str">
        <f>'A) Base RI'!B122</f>
        <v>Pully</v>
      </c>
      <c r="C120" s="109">
        <f>'B) D RI'!U122</f>
        <v>1422298.2200936768</v>
      </c>
      <c r="D120" s="126">
        <f>'E) Fact soc'!G126/C120</f>
        <v>24.156012416170775</v>
      </c>
      <c r="E120" s="154">
        <f>'H) Péréquation directe'!I131/C120</f>
        <v>8.7780089572946185</v>
      </c>
      <c r="F120" s="126">
        <f>'I) Dépenses thématiques'!P120</f>
        <v>-2.5209429040135607</v>
      </c>
      <c r="G120" s="154">
        <f t="shared" si="5"/>
        <v>30.413078469451833</v>
      </c>
      <c r="H120" s="126">
        <f t="shared" si="6"/>
        <v>32.934021373465391</v>
      </c>
      <c r="I120" s="154">
        <f t="shared" si="7"/>
        <v>0</v>
      </c>
      <c r="J120" s="66">
        <f t="shared" si="4"/>
        <v>0</v>
      </c>
      <c r="K120" s="44"/>
    </row>
    <row r="121" spans="1:11" x14ac:dyDescent="0.25">
      <c r="A121" s="57">
        <f>'A) Base RI'!A123</f>
        <v>5591</v>
      </c>
      <c r="B121" s="350" t="str">
        <f>'A) Base RI'!B123</f>
        <v>Renens</v>
      </c>
      <c r="C121" s="109">
        <f>'B) D RI'!U123</f>
        <v>529647.11015468603</v>
      </c>
      <c r="D121" s="126">
        <f>'E) Fact soc'!G127/C121</f>
        <v>18.308918031415178</v>
      </c>
      <c r="E121" s="154">
        <f>'H) Péréquation directe'!I132/C121</f>
        <v>-27.896653950041081</v>
      </c>
      <c r="F121" s="126">
        <f>'I) Dépenses thématiques'!P121</f>
        <v>-46.912424171706732</v>
      </c>
      <c r="G121" s="154">
        <f t="shared" si="5"/>
        <v>-56.500160090332635</v>
      </c>
      <c r="H121" s="126">
        <f t="shared" si="6"/>
        <v>-9.5877359186259028</v>
      </c>
      <c r="I121" s="154">
        <f t="shared" si="7"/>
        <v>-3.0877359186259028</v>
      </c>
      <c r="J121" s="66">
        <f t="shared" si="4"/>
        <v>1635410.4062210342</v>
      </c>
      <c r="K121" s="44"/>
    </row>
    <row r="122" spans="1:11" x14ac:dyDescent="0.25">
      <c r="A122" s="57">
        <f>'A) Base RI'!A124</f>
        <v>5592</v>
      </c>
      <c r="B122" s="350" t="str">
        <f>'A) Base RI'!B124</f>
        <v>Romanel-sur-Lausanne</v>
      </c>
      <c r="C122" s="109">
        <f>'B) D RI'!U124</f>
        <v>116555.94314285714</v>
      </c>
      <c r="D122" s="126">
        <f>'E) Fact soc'!G128/C122</f>
        <v>16.802262597163431</v>
      </c>
      <c r="E122" s="154">
        <f>'H) Péréquation directe'!I133/C122</f>
        <v>4.6287450142714093</v>
      </c>
      <c r="F122" s="126">
        <f>'I) Dépenses thématiques'!P122</f>
        <v>-1.9530206037419442</v>
      </c>
      <c r="G122" s="154">
        <f t="shared" si="5"/>
        <v>19.477987007692896</v>
      </c>
      <c r="H122" s="126">
        <f t="shared" si="6"/>
        <v>21.43100761143484</v>
      </c>
      <c r="I122" s="154">
        <f t="shared" si="7"/>
        <v>0</v>
      </c>
      <c r="J122" s="66">
        <f t="shared" si="4"/>
        <v>0</v>
      </c>
      <c r="K122" s="44"/>
    </row>
    <row r="123" spans="1:11" x14ac:dyDescent="0.25">
      <c r="A123" s="57">
        <f>'A) Base RI'!A125</f>
        <v>5601</v>
      </c>
      <c r="B123" s="350" t="str">
        <f>'A) Base RI'!B125</f>
        <v>Chexbres</v>
      </c>
      <c r="C123" s="109">
        <f>'B) D RI'!U125</f>
        <v>99746.160000000018</v>
      </c>
      <c r="D123" s="126">
        <f>'E) Fact soc'!G129/C123</f>
        <v>17.900229577788025</v>
      </c>
      <c r="E123" s="154">
        <f>'H) Péréquation directe'!I134/C123</f>
        <v>13.296212091273464</v>
      </c>
      <c r="F123" s="126">
        <f>'I) Dépenses thématiques'!P123</f>
        <v>-2.8992806550383015</v>
      </c>
      <c r="G123" s="154">
        <f t="shared" si="5"/>
        <v>28.297161014023189</v>
      </c>
      <c r="H123" s="126">
        <f t="shared" si="6"/>
        <v>31.196441669061489</v>
      </c>
      <c r="I123" s="154">
        <f t="shared" si="7"/>
        <v>0</v>
      </c>
      <c r="J123" s="66">
        <f t="shared" si="4"/>
        <v>0</v>
      </c>
      <c r="K123" s="44"/>
    </row>
    <row r="124" spans="1:11" x14ac:dyDescent="0.25">
      <c r="A124" s="57">
        <f>'A) Base RI'!A126</f>
        <v>5604</v>
      </c>
      <c r="B124" s="350" t="str">
        <f>'A) Base RI'!B126</f>
        <v>Forel (Lavaux)</v>
      </c>
      <c r="C124" s="109">
        <f>'B) D RI'!U126</f>
        <v>71240.347352941171</v>
      </c>
      <c r="D124" s="126">
        <f>'E) Fact soc'!G130/C124</f>
        <v>17.227430820620693</v>
      </c>
      <c r="E124" s="154">
        <f>'H) Péréquation directe'!I135/C124</f>
        <v>6.4687410112958199</v>
      </c>
      <c r="F124" s="126">
        <f>'I) Dépenses thématiques'!P124</f>
        <v>-0.3431609626802547</v>
      </c>
      <c r="G124" s="154">
        <f t="shared" si="5"/>
        <v>23.353010869236257</v>
      </c>
      <c r="H124" s="126">
        <f t="shared" si="6"/>
        <v>23.696171831916512</v>
      </c>
      <c r="I124" s="154">
        <f t="shared" si="7"/>
        <v>0</v>
      </c>
      <c r="J124" s="66">
        <f t="shared" si="4"/>
        <v>0</v>
      </c>
      <c r="K124" s="44"/>
    </row>
    <row r="125" spans="1:11" x14ac:dyDescent="0.25">
      <c r="A125" s="57">
        <f>'A) Base RI'!A127</f>
        <v>5606</v>
      </c>
      <c r="B125" s="350" t="str">
        <f>'A) Base RI'!B127</f>
        <v>Lutry</v>
      </c>
      <c r="C125" s="109">
        <f>'B) D RI'!U127</f>
        <v>770648.37755469768</v>
      </c>
      <c r="D125" s="126">
        <f>'E) Fact soc'!G131/C125</f>
        <v>24.782375294591411</v>
      </c>
      <c r="E125" s="154">
        <f>'H) Péréquation directe'!I136/C125</f>
        <v>11.414411989744391</v>
      </c>
      <c r="F125" s="126">
        <f>'I) Dépenses thématiques'!P125</f>
        <v>-20.687516109871609</v>
      </c>
      <c r="G125" s="154">
        <f t="shared" si="5"/>
        <v>15.509271174464189</v>
      </c>
      <c r="H125" s="126">
        <f t="shared" si="6"/>
        <v>36.196787284335798</v>
      </c>
      <c r="I125" s="154">
        <f t="shared" si="7"/>
        <v>0</v>
      </c>
      <c r="J125" s="66">
        <f t="shared" si="4"/>
        <v>0</v>
      </c>
      <c r="K125" s="44"/>
    </row>
    <row r="126" spans="1:11" x14ac:dyDescent="0.25">
      <c r="A126" s="57">
        <f>'A) Base RI'!A128</f>
        <v>5607</v>
      </c>
      <c r="B126" s="350" t="str">
        <f>'A) Base RI'!B128</f>
        <v>Puidoux</v>
      </c>
      <c r="C126" s="109">
        <f>'B) D RI'!U128</f>
        <v>97147.534937888209</v>
      </c>
      <c r="D126" s="126">
        <f>'E) Fact soc'!G132/C126</f>
        <v>19.54000030818554</v>
      </c>
      <c r="E126" s="154">
        <f>'H) Péréquation directe'!I137/C126</f>
        <v>4.4825591475722737</v>
      </c>
      <c r="F126" s="126">
        <f>'I) Dépenses thématiques'!P126</f>
        <v>-49.062361677790413</v>
      </c>
      <c r="G126" s="154">
        <f t="shared" si="5"/>
        <v>-25.039802222032598</v>
      </c>
      <c r="H126" s="126">
        <f t="shared" si="6"/>
        <v>24.022559455757815</v>
      </c>
      <c r="I126" s="154">
        <f t="shared" si="7"/>
        <v>0</v>
      </c>
      <c r="J126" s="66">
        <f t="shared" si="4"/>
        <v>0</v>
      </c>
      <c r="K126" s="44"/>
    </row>
    <row r="127" spans="1:11" x14ac:dyDescent="0.25">
      <c r="A127" s="57">
        <f>'A) Base RI'!A129</f>
        <v>5609</v>
      </c>
      <c r="B127" s="350" t="str">
        <f>'A) Base RI'!B129</f>
        <v>Rivaz</v>
      </c>
      <c r="C127" s="109">
        <f>'B) D RI'!U129</f>
        <v>16888.91165354331</v>
      </c>
      <c r="D127" s="126">
        <f>'E) Fact soc'!G133/C127</f>
        <v>17.349873577289166</v>
      </c>
      <c r="E127" s="154">
        <f>'H) Péréquation directe'!I138/C127</f>
        <v>16.722593129150564</v>
      </c>
      <c r="F127" s="126">
        <f>'I) Dépenses thématiques'!P127</f>
        <v>-3.6113064200404787</v>
      </c>
      <c r="G127" s="154">
        <f t="shared" si="5"/>
        <v>30.461160286399249</v>
      </c>
      <c r="H127" s="126">
        <f t="shared" si="6"/>
        <v>34.072466706439727</v>
      </c>
      <c r="I127" s="154">
        <f t="shared" si="7"/>
        <v>0</v>
      </c>
      <c r="J127" s="66">
        <f t="shared" si="4"/>
        <v>0</v>
      </c>
      <c r="K127" s="44"/>
    </row>
    <row r="128" spans="1:11" x14ac:dyDescent="0.25">
      <c r="A128" s="57">
        <f>'A) Base RI'!A130</f>
        <v>5610</v>
      </c>
      <c r="B128" s="350" t="str">
        <f>'A) Base RI'!B130</f>
        <v>St-Saphorin (Lavaux)</v>
      </c>
      <c r="C128" s="109">
        <f>'B) D RI'!U130</f>
        <v>20007.714179104478</v>
      </c>
      <c r="D128" s="126">
        <f>'E) Fact soc'!G134/C128</f>
        <v>18.750788450460398</v>
      </c>
      <c r="E128" s="154">
        <f>'H) Péréquation directe'!I139/C128</f>
        <v>16.845418683504107</v>
      </c>
      <c r="F128" s="126">
        <f>'I) Dépenses thématiques'!P128</f>
        <v>-0.70771637728040704</v>
      </c>
      <c r="G128" s="154">
        <f t="shared" si="5"/>
        <v>34.888490756684099</v>
      </c>
      <c r="H128" s="126">
        <f t="shared" si="6"/>
        <v>35.596207133964505</v>
      </c>
      <c r="I128" s="154">
        <f t="shared" si="7"/>
        <v>0</v>
      </c>
      <c r="J128" s="66">
        <f t="shared" si="4"/>
        <v>0</v>
      </c>
      <c r="K128" s="44"/>
    </row>
    <row r="129" spans="1:11" x14ac:dyDescent="0.25">
      <c r="A129" s="57">
        <f>'A) Base RI'!A131</f>
        <v>5611</v>
      </c>
      <c r="B129" s="350" t="str">
        <f>'A) Base RI'!B131</f>
        <v>Savigny</v>
      </c>
      <c r="C129" s="109">
        <f>'B) D RI'!U131</f>
        <v>115537.42516908211</v>
      </c>
      <c r="D129" s="126">
        <f>'E) Fact soc'!G135/C129</f>
        <v>17.677336597002959</v>
      </c>
      <c r="E129" s="154">
        <f>'H) Péréquation directe'!I140/C129</f>
        <v>5.3960015973878424</v>
      </c>
      <c r="F129" s="126">
        <f>'I) Dépenses thématiques'!P129</f>
        <v>-1.5075168554957599</v>
      </c>
      <c r="G129" s="154">
        <f t="shared" si="5"/>
        <v>21.565821338895041</v>
      </c>
      <c r="H129" s="126">
        <f t="shared" si="6"/>
        <v>23.0733381943908</v>
      </c>
      <c r="I129" s="154">
        <f t="shared" si="7"/>
        <v>0</v>
      </c>
      <c r="J129" s="66">
        <f t="shared" si="4"/>
        <v>0</v>
      </c>
      <c r="K129" s="44"/>
    </row>
    <row r="130" spans="1:11" x14ac:dyDescent="0.25">
      <c r="A130" s="57">
        <f>'A) Base RI'!A132</f>
        <v>5613</v>
      </c>
      <c r="B130" s="350" t="str">
        <f>'A) Base RI'!B132</f>
        <v>Bourg-en-Lavaux</v>
      </c>
      <c r="C130" s="109">
        <f>'B) D RI'!U132</f>
        <v>301872.13311475411</v>
      </c>
      <c r="D130" s="126">
        <f>'E) Fact soc'!G136/C130</f>
        <v>18.564224553740225</v>
      </c>
      <c r="E130" s="154">
        <f>'H) Péréquation directe'!I141/C130</f>
        <v>12.283564818356075</v>
      </c>
      <c r="F130" s="126">
        <f>'I) Dépenses thématiques'!P130</f>
        <v>-10.126168679994882</v>
      </c>
      <c r="G130" s="154">
        <f t="shared" si="5"/>
        <v>20.721620692101418</v>
      </c>
      <c r="H130" s="126">
        <f t="shared" si="6"/>
        <v>30.847789372096301</v>
      </c>
      <c r="I130" s="154">
        <f t="shared" si="7"/>
        <v>0</v>
      </c>
      <c r="J130" s="66">
        <f t="shared" si="4"/>
        <v>0</v>
      </c>
      <c r="K130" s="44"/>
    </row>
    <row r="131" spans="1:11" x14ac:dyDescent="0.25">
      <c r="A131" s="57">
        <f>'A) Base RI'!A133</f>
        <v>5621</v>
      </c>
      <c r="B131" s="350" t="str">
        <f>'A) Base RI'!B133</f>
        <v>Aclens</v>
      </c>
      <c r="C131" s="109">
        <f>'B) D RI'!U133</f>
        <v>26820.105850439882</v>
      </c>
      <c r="D131" s="126">
        <f>'E) Fact soc'!G137/C131</f>
        <v>18.299598406507034</v>
      </c>
      <c r="E131" s="154">
        <f>'H) Péréquation directe'!I142/C131</f>
        <v>16.891421734866398</v>
      </c>
      <c r="F131" s="126">
        <f>'I) Dépenses thématiques'!P131</f>
        <v>-0.96862418315808463</v>
      </c>
      <c r="G131" s="154">
        <f t="shared" si="5"/>
        <v>34.222395958215344</v>
      </c>
      <c r="H131" s="126">
        <f t="shared" si="6"/>
        <v>35.191020141373428</v>
      </c>
      <c r="I131" s="154">
        <f t="shared" si="7"/>
        <v>0</v>
      </c>
      <c r="J131" s="66">
        <f t="shared" si="4"/>
        <v>0</v>
      </c>
      <c r="K131" s="44"/>
    </row>
    <row r="132" spans="1:11" x14ac:dyDescent="0.25">
      <c r="A132" s="57">
        <f>'A) Base RI'!A134</f>
        <v>5622</v>
      </c>
      <c r="B132" s="350" t="str">
        <f>'A) Base RI'!B134</f>
        <v>Bremblens</v>
      </c>
      <c r="C132" s="109">
        <f>'B) D RI'!U134</f>
        <v>32681.756515151512</v>
      </c>
      <c r="D132" s="126">
        <f>'E) Fact soc'!G138/C132</f>
        <v>22.245269666154179</v>
      </c>
      <c r="E132" s="154">
        <f>'H) Péréquation directe'!I143/C132</f>
        <v>16.85353196279334</v>
      </c>
      <c r="F132" s="126">
        <f>'I) Dépenses thématiques'!P132</f>
        <v>0</v>
      </c>
      <c r="G132" s="154">
        <f t="shared" si="5"/>
        <v>39.09880162894752</v>
      </c>
      <c r="H132" s="126">
        <f t="shared" si="6"/>
        <v>39.09880162894752</v>
      </c>
      <c r="I132" s="154">
        <f t="shared" si="7"/>
        <v>0</v>
      </c>
      <c r="J132" s="66">
        <f t="shared" si="4"/>
        <v>0</v>
      </c>
      <c r="K132" s="44"/>
    </row>
    <row r="133" spans="1:11" x14ac:dyDescent="0.25">
      <c r="A133" s="57">
        <f>'A) Base RI'!A135</f>
        <v>5623</v>
      </c>
      <c r="B133" s="350" t="str">
        <f>'A) Base RI'!B135</f>
        <v>Buchillon</v>
      </c>
      <c r="C133" s="109">
        <f>'B) D RI'!U135</f>
        <v>82402.410188679249</v>
      </c>
      <c r="D133" s="126">
        <f>'E) Fact soc'!G139/C133</f>
        <v>40.073041658897061</v>
      </c>
      <c r="E133" s="154">
        <f>'H) Péréquation directe'!I144/C133</f>
        <v>15.344579669324833</v>
      </c>
      <c r="F133" s="126">
        <f>'I) Dépenses thématiques'!P133</f>
        <v>0</v>
      </c>
      <c r="G133" s="154">
        <f t="shared" si="5"/>
        <v>55.417621328221898</v>
      </c>
      <c r="H133" s="126">
        <f t="shared" si="6"/>
        <v>55.417621328221898</v>
      </c>
      <c r="I133" s="154">
        <f t="shared" si="7"/>
        <v>0</v>
      </c>
      <c r="J133" s="66">
        <f t="shared" ref="J133:J196" si="8">-I133*C133</f>
        <v>0</v>
      </c>
      <c r="K133" s="44"/>
    </row>
    <row r="134" spans="1:11" x14ac:dyDescent="0.25">
      <c r="A134" s="57">
        <f>'A) Base RI'!A136</f>
        <v>5624</v>
      </c>
      <c r="B134" s="350" t="str">
        <f>'A) Base RI'!B136</f>
        <v>Bussigny</v>
      </c>
      <c r="C134" s="109">
        <f>'B) D RI'!U136</f>
        <v>334130.13322580641</v>
      </c>
      <c r="D134" s="126">
        <f>'E) Fact soc'!G140/C134</f>
        <v>18.193325613805882</v>
      </c>
      <c r="E134" s="154">
        <f>'H) Péréquation directe'!I145/C134</f>
        <v>6.0094524324570964</v>
      </c>
      <c r="F134" s="126">
        <f>'I) Dépenses thématiques'!P134</f>
        <v>-68.654274355800752</v>
      </c>
      <c r="G134" s="154">
        <f t="shared" ref="G134:G197" si="9">SUM(D134:F134)</f>
        <v>-44.451496309537774</v>
      </c>
      <c r="H134" s="126">
        <f t="shared" ref="H134:H197" si="10">G134-F134</f>
        <v>24.202778046262978</v>
      </c>
      <c r="I134" s="154">
        <f t="shared" ref="I134:I197" si="11">IF(H134&lt;I$4,H134-I$4,0)</f>
        <v>0</v>
      </c>
      <c r="J134" s="66">
        <f t="shared" si="8"/>
        <v>0</v>
      </c>
      <c r="K134" s="44"/>
    </row>
    <row r="135" spans="1:11" x14ac:dyDescent="0.25">
      <c r="A135" s="57">
        <f>'A) Base RI'!A137</f>
        <v>5625</v>
      </c>
      <c r="B135" s="350" t="str">
        <f>'A) Base RI'!B137</f>
        <v>Bussy-Chardonney</v>
      </c>
      <c r="C135" s="109">
        <f>'B) D RI'!U137</f>
        <v>13745.926324786325</v>
      </c>
      <c r="D135" s="126">
        <f>'E) Fact soc'!G141/C135</f>
        <v>19.259041736122345</v>
      </c>
      <c r="E135" s="154">
        <f>'H) Péréquation directe'!I146/C135</f>
        <v>10.91134054960129</v>
      </c>
      <c r="F135" s="126">
        <f>'I) Dépenses thématiques'!P135</f>
        <v>-0.27412472350769646</v>
      </c>
      <c r="G135" s="154">
        <f t="shared" si="9"/>
        <v>29.896257562215936</v>
      </c>
      <c r="H135" s="126">
        <f t="shared" si="10"/>
        <v>30.170382285723633</v>
      </c>
      <c r="I135" s="154">
        <f t="shared" si="11"/>
        <v>0</v>
      </c>
      <c r="J135" s="66">
        <f t="shared" si="8"/>
        <v>0</v>
      </c>
      <c r="K135" s="44"/>
    </row>
    <row r="136" spans="1:11" x14ac:dyDescent="0.25">
      <c r="A136" s="57">
        <f>'A) Base RI'!A138</f>
        <v>5627</v>
      </c>
      <c r="B136" s="350" t="str">
        <f>'A) Base RI'!B138</f>
        <v>Chavannes-près-Renens</v>
      </c>
      <c r="C136" s="109">
        <f>'B) D RI'!U138</f>
        <v>171770.86046413501</v>
      </c>
      <c r="D136" s="126">
        <f>'E) Fact soc'!G142/C136</f>
        <v>17.441170311737544</v>
      </c>
      <c r="E136" s="154">
        <f>'H) Péréquation directe'!I147/C136</f>
        <v>-24.914401183876354</v>
      </c>
      <c r="F136" s="126">
        <f>'I) Dépenses thématiques'!P136</f>
        <v>-68.251709560632406</v>
      </c>
      <c r="G136" s="154">
        <f t="shared" si="9"/>
        <v>-75.72494043277122</v>
      </c>
      <c r="H136" s="126">
        <f t="shared" si="10"/>
        <v>-7.4732308721388137</v>
      </c>
      <c r="I136" s="154">
        <f t="shared" si="11"/>
        <v>-0.97323087213881365</v>
      </c>
      <c r="J136" s="66">
        <f t="shared" si="8"/>
        <v>167172.70433754459</v>
      </c>
      <c r="K136" s="44"/>
    </row>
    <row r="137" spans="1:11" x14ac:dyDescent="0.25">
      <c r="A137" s="57">
        <f>'A) Base RI'!A139</f>
        <v>5628</v>
      </c>
      <c r="B137" s="350" t="str">
        <f>'A) Base RI'!B139</f>
        <v>Chigny</v>
      </c>
      <c r="C137" s="109">
        <f>'B) D RI'!U139</f>
        <v>19361.666733870967</v>
      </c>
      <c r="D137" s="126">
        <f>'E) Fact soc'!G143/C137</f>
        <v>17.503966686350928</v>
      </c>
      <c r="E137" s="154">
        <f>'H) Péréquation directe'!I148/C137</f>
        <v>17.028299770560235</v>
      </c>
      <c r="F137" s="126">
        <f>'I) Dépenses thématiques'!P137</f>
        <v>0</v>
      </c>
      <c r="G137" s="154">
        <f t="shared" si="9"/>
        <v>34.532266456911159</v>
      </c>
      <c r="H137" s="126">
        <f t="shared" si="10"/>
        <v>34.532266456911159</v>
      </c>
      <c r="I137" s="154">
        <f t="shared" si="11"/>
        <v>0</v>
      </c>
      <c r="J137" s="66">
        <f t="shared" si="8"/>
        <v>0</v>
      </c>
      <c r="K137" s="44"/>
    </row>
    <row r="138" spans="1:11" x14ac:dyDescent="0.25">
      <c r="A138" s="57">
        <f>'A) Base RI'!A140</f>
        <v>5629</v>
      </c>
      <c r="B138" s="350" t="str">
        <f>'A) Base RI'!B140</f>
        <v>Clarmont</v>
      </c>
      <c r="C138" s="109">
        <f>'B) D RI'!U140</f>
        <v>7536.1791999999996</v>
      </c>
      <c r="D138" s="126">
        <f>'E) Fact soc'!G144/C138</f>
        <v>20.567420076570397</v>
      </c>
      <c r="E138" s="154">
        <f>'H) Péréquation directe'!I149/C138</f>
        <v>15.346769614899594</v>
      </c>
      <c r="F138" s="126">
        <f>'I) Dépenses thématiques'!P138</f>
        <v>-1.4573228402110618</v>
      </c>
      <c r="G138" s="154">
        <f t="shared" si="9"/>
        <v>34.45686685125893</v>
      </c>
      <c r="H138" s="126">
        <f t="shared" si="10"/>
        <v>35.914189691469993</v>
      </c>
      <c r="I138" s="154">
        <f t="shared" si="11"/>
        <v>0</v>
      </c>
      <c r="J138" s="66">
        <f t="shared" si="8"/>
        <v>0</v>
      </c>
      <c r="K138" s="44"/>
    </row>
    <row r="139" spans="1:11" x14ac:dyDescent="0.25">
      <c r="A139" s="57">
        <f>'A) Base RI'!A141</f>
        <v>5631</v>
      </c>
      <c r="B139" s="350" t="str">
        <f>'A) Base RI'!B141</f>
        <v>Denens</v>
      </c>
      <c r="C139" s="109">
        <f>'B) D RI'!U141</f>
        <v>42221.936176470583</v>
      </c>
      <c r="D139" s="126">
        <f>'E) Fact soc'!G145/C139</f>
        <v>22.295375183266362</v>
      </c>
      <c r="E139" s="154">
        <f>'H) Péréquation directe'!I150/C139</f>
        <v>17.010958436461625</v>
      </c>
      <c r="F139" s="126">
        <f>'I) Dépenses thématiques'!P139</f>
        <v>0</v>
      </c>
      <c r="G139" s="154">
        <f t="shared" si="9"/>
        <v>39.306333619727987</v>
      </c>
      <c r="H139" s="126">
        <f t="shared" si="10"/>
        <v>39.306333619727987</v>
      </c>
      <c r="I139" s="154">
        <f t="shared" si="11"/>
        <v>0</v>
      </c>
      <c r="J139" s="66">
        <f t="shared" si="8"/>
        <v>0</v>
      </c>
      <c r="K139" s="44"/>
    </row>
    <row r="140" spans="1:11" x14ac:dyDescent="0.25">
      <c r="A140" s="57">
        <f>'A) Base RI'!A142</f>
        <v>5632</v>
      </c>
      <c r="B140" s="350" t="str">
        <f>'A) Base RI'!B142</f>
        <v>Denges</v>
      </c>
      <c r="C140" s="109">
        <f>'B) D RI'!U142</f>
        <v>67310.066612903232</v>
      </c>
      <c r="D140" s="126">
        <f>'E) Fact soc'!G146/C140</f>
        <v>17.909701632542337</v>
      </c>
      <c r="E140" s="154">
        <f>'H) Péréquation directe'!I151/C140</f>
        <v>12.713909612652827</v>
      </c>
      <c r="F140" s="126">
        <f>'I) Dépenses thématiques'!P140</f>
        <v>0</v>
      </c>
      <c r="G140" s="154">
        <f t="shared" si="9"/>
        <v>30.623611245195164</v>
      </c>
      <c r="H140" s="126">
        <f t="shared" si="10"/>
        <v>30.623611245195164</v>
      </c>
      <c r="I140" s="154">
        <f t="shared" si="11"/>
        <v>0</v>
      </c>
      <c r="J140" s="66">
        <f t="shared" si="8"/>
        <v>0</v>
      </c>
      <c r="K140" s="44"/>
    </row>
    <row r="141" spans="1:11" x14ac:dyDescent="0.25">
      <c r="A141" s="57">
        <f>'A) Base RI'!A143</f>
        <v>5633</v>
      </c>
      <c r="B141" s="350" t="str">
        <f>'A) Base RI'!B143</f>
        <v>Echandens</v>
      </c>
      <c r="C141" s="109">
        <f>'B) D RI'!U143</f>
        <v>139554.44612903227</v>
      </c>
      <c r="D141" s="126">
        <f>'E) Fact soc'!G147/C141</f>
        <v>17.268344150606676</v>
      </c>
      <c r="E141" s="154">
        <f>'H) Péréquation directe'!I152/C141</f>
        <v>13.819989273369544</v>
      </c>
      <c r="F141" s="126">
        <f>'I) Dépenses thématiques'!P141</f>
        <v>-1.7768264950934021</v>
      </c>
      <c r="G141" s="154">
        <f t="shared" si="9"/>
        <v>29.311506928882817</v>
      </c>
      <c r="H141" s="126">
        <f t="shared" si="10"/>
        <v>31.08833342397622</v>
      </c>
      <c r="I141" s="154">
        <f t="shared" si="11"/>
        <v>0</v>
      </c>
      <c r="J141" s="66">
        <f t="shared" si="8"/>
        <v>0</v>
      </c>
      <c r="K141" s="44"/>
    </row>
    <row r="142" spans="1:11" x14ac:dyDescent="0.25">
      <c r="A142" s="57">
        <f>'A) Base RI'!A144</f>
        <v>5634</v>
      </c>
      <c r="B142" s="350" t="str">
        <f>'A) Base RI'!B144</f>
        <v>Echichens</v>
      </c>
      <c r="C142" s="109">
        <f>'B) D RI'!U144</f>
        <v>125699.21529411766</v>
      </c>
      <c r="D142" s="126">
        <f>'E) Fact soc'!G148/C142</f>
        <v>19.181619010143955</v>
      </c>
      <c r="E142" s="154">
        <f>'H) Péréquation directe'!I153/C142</f>
        <v>13.522894056055485</v>
      </c>
      <c r="F142" s="126">
        <f>'I) Dépenses thématiques'!P142</f>
        <v>0</v>
      </c>
      <c r="G142" s="154">
        <f t="shared" si="9"/>
        <v>32.704513066199439</v>
      </c>
      <c r="H142" s="126">
        <f t="shared" si="10"/>
        <v>32.704513066199439</v>
      </c>
      <c r="I142" s="154">
        <f t="shared" si="11"/>
        <v>0</v>
      </c>
      <c r="J142" s="66">
        <f t="shared" si="8"/>
        <v>0</v>
      </c>
      <c r="K142" s="44"/>
    </row>
    <row r="143" spans="1:11" x14ac:dyDescent="0.25">
      <c r="A143" s="57">
        <f>'A) Base RI'!A145</f>
        <v>5635</v>
      </c>
      <c r="B143" s="350" t="str">
        <f>'A) Base RI'!B145</f>
        <v>Ecublens</v>
      </c>
      <c r="C143" s="109">
        <f>'B) D RI'!U145</f>
        <v>424543.31159592536</v>
      </c>
      <c r="D143" s="126">
        <f>'E) Fact soc'!G149/C143</f>
        <v>18.602274820856319</v>
      </c>
      <c r="E143" s="154">
        <f>'H) Péréquation directe'!I154/C143</f>
        <v>-2.5181157174339082</v>
      </c>
      <c r="F143" s="126">
        <f>'I) Dépenses thématiques'!P143</f>
        <v>-18.847228894050136</v>
      </c>
      <c r="G143" s="154">
        <f t="shared" si="9"/>
        <v>-2.7630697906277248</v>
      </c>
      <c r="H143" s="126">
        <f t="shared" si="10"/>
        <v>16.084159103422412</v>
      </c>
      <c r="I143" s="154">
        <f t="shared" si="11"/>
        <v>0</v>
      </c>
      <c r="J143" s="66">
        <f t="shared" si="8"/>
        <v>0</v>
      </c>
      <c r="K143" s="44"/>
    </row>
    <row r="144" spans="1:11" x14ac:dyDescent="0.25">
      <c r="A144" s="57">
        <f>'A) Base RI'!A146</f>
        <v>5636</v>
      </c>
      <c r="B144" s="350" t="str">
        <f>'A) Base RI'!B146</f>
        <v>Etoy</v>
      </c>
      <c r="C144" s="109">
        <f>'B) D RI'!U146</f>
        <v>150854.83475409835</v>
      </c>
      <c r="D144" s="126">
        <f>'E) Fact soc'!G150/C144</f>
        <v>32.734471561657791</v>
      </c>
      <c r="E144" s="154">
        <f>'H) Péréquation directe'!I155/C144</f>
        <v>13.793233087732025</v>
      </c>
      <c r="F144" s="126">
        <f>'I) Dépenses thématiques'!P144</f>
        <v>0</v>
      </c>
      <c r="G144" s="154">
        <f t="shared" si="9"/>
        <v>46.527704649389818</v>
      </c>
      <c r="H144" s="126">
        <f t="shared" si="10"/>
        <v>46.527704649389818</v>
      </c>
      <c r="I144" s="154">
        <f t="shared" si="11"/>
        <v>0</v>
      </c>
      <c r="J144" s="66">
        <f t="shared" si="8"/>
        <v>0</v>
      </c>
      <c r="K144" s="44"/>
    </row>
    <row r="145" spans="1:11" x14ac:dyDescent="0.25">
      <c r="A145" s="57">
        <f>'A) Base RI'!A147</f>
        <v>5637</v>
      </c>
      <c r="B145" s="350" t="str">
        <f>'A) Base RI'!B147</f>
        <v>Lavigny</v>
      </c>
      <c r="C145" s="109">
        <f>'B) D RI'!U147</f>
        <v>35788.809619686814</v>
      </c>
      <c r="D145" s="126">
        <f>'E) Fact soc'!G151/C145</f>
        <v>18.992298984498934</v>
      </c>
      <c r="E145" s="154">
        <f>'H) Péréquation directe'!I156/C145</f>
        <v>9.9371324081592203</v>
      </c>
      <c r="F145" s="126">
        <f>'I) Dépenses thématiques'!P145</f>
        <v>-0.41496025470902448</v>
      </c>
      <c r="G145" s="154">
        <f t="shared" si="9"/>
        <v>28.514471137949126</v>
      </c>
      <c r="H145" s="126">
        <f t="shared" si="10"/>
        <v>28.929431392658152</v>
      </c>
      <c r="I145" s="154">
        <f t="shared" si="11"/>
        <v>0</v>
      </c>
      <c r="J145" s="66">
        <f t="shared" si="8"/>
        <v>0</v>
      </c>
      <c r="K145" s="44"/>
    </row>
    <row r="146" spans="1:11" x14ac:dyDescent="0.25">
      <c r="A146" s="57">
        <f>'A) Base RI'!A148</f>
        <v>5638</v>
      </c>
      <c r="B146" s="350" t="str">
        <f>'A) Base RI'!B148</f>
        <v>Lonay</v>
      </c>
      <c r="C146" s="109">
        <f>'B) D RI'!U148</f>
        <v>150874.30218181817</v>
      </c>
      <c r="D146" s="126">
        <f>'E) Fact soc'!G152/C146</f>
        <v>25.454859492949293</v>
      </c>
      <c r="E146" s="154">
        <f>'H) Péréquation directe'!I157/C146</f>
        <v>14.442933583178755</v>
      </c>
      <c r="F146" s="126">
        <f>'I) Dépenses thématiques'!P146</f>
        <v>-8.1687422199622208</v>
      </c>
      <c r="G146" s="154">
        <f t="shared" si="9"/>
        <v>31.729050856165827</v>
      </c>
      <c r="H146" s="126">
        <f t="shared" si="10"/>
        <v>39.897793076128046</v>
      </c>
      <c r="I146" s="154">
        <f t="shared" si="11"/>
        <v>0</v>
      </c>
      <c r="J146" s="66">
        <f t="shared" si="8"/>
        <v>0</v>
      </c>
      <c r="K146" s="44"/>
    </row>
    <row r="147" spans="1:11" x14ac:dyDescent="0.25">
      <c r="A147" s="57">
        <f>'A) Base RI'!A149</f>
        <v>5639</v>
      </c>
      <c r="B147" s="350" t="str">
        <f>'A) Base RI'!B149</f>
        <v>Lully</v>
      </c>
      <c r="C147" s="109">
        <f>'B) D RI'!U149</f>
        <v>41723.705573770494</v>
      </c>
      <c r="D147" s="126">
        <f>'E) Fact soc'!G153/C147</f>
        <v>16.888797583577073</v>
      </c>
      <c r="E147" s="154">
        <f>'H) Péréquation directe'!I158/C147</f>
        <v>16.951708537609367</v>
      </c>
      <c r="F147" s="126">
        <f>'I) Dépenses thématiques'!P147</f>
        <v>0</v>
      </c>
      <c r="G147" s="154">
        <f t="shared" si="9"/>
        <v>33.840506121186436</v>
      </c>
      <c r="H147" s="126">
        <f t="shared" si="10"/>
        <v>33.840506121186436</v>
      </c>
      <c r="I147" s="154">
        <f t="shared" si="11"/>
        <v>0</v>
      </c>
      <c r="J147" s="66">
        <f t="shared" si="8"/>
        <v>0</v>
      </c>
      <c r="K147" s="44"/>
    </row>
    <row r="148" spans="1:11" x14ac:dyDescent="0.25">
      <c r="A148" s="57">
        <f>'A) Base RI'!A150</f>
        <v>5640</v>
      </c>
      <c r="B148" s="350" t="str">
        <f>'A) Base RI'!B150</f>
        <v>Lussy-sur-Morges</v>
      </c>
      <c r="C148" s="109">
        <f>'B) D RI'!U150</f>
        <v>54175.567575757566</v>
      </c>
      <c r="D148" s="126">
        <f>'E) Fact soc'!G154/C148</f>
        <v>26.730975414117978</v>
      </c>
      <c r="E148" s="154">
        <f>'H) Péréquation directe'!I159/C148</f>
        <v>16.340654896867715</v>
      </c>
      <c r="F148" s="126">
        <f>'I) Dépenses thématiques'!P148</f>
        <v>0</v>
      </c>
      <c r="G148" s="154">
        <f t="shared" si="9"/>
        <v>43.071630310985697</v>
      </c>
      <c r="H148" s="126">
        <f t="shared" si="10"/>
        <v>43.071630310985697</v>
      </c>
      <c r="I148" s="154">
        <f t="shared" si="11"/>
        <v>0</v>
      </c>
      <c r="J148" s="66">
        <f t="shared" si="8"/>
        <v>0</v>
      </c>
      <c r="K148" s="44"/>
    </row>
    <row r="149" spans="1:11" x14ac:dyDescent="0.25">
      <c r="A149" s="57">
        <f>'A) Base RI'!A151</f>
        <v>5642</v>
      </c>
      <c r="B149" s="350" t="str">
        <f>'A) Base RI'!B151</f>
        <v>Morges</v>
      </c>
      <c r="C149" s="109">
        <f>'B) D RI'!U151</f>
        <v>781778.61635036487</v>
      </c>
      <c r="D149" s="126">
        <f>'E) Fact soc'!G155/C149</f>
        <v>18.30888586654326</v>
      </c>
      <c r="E149" s="154">
        <f>'H) Péréquation directe'!I160/C149</f>
        <v>5.4262295967205016</v>
      </c>
      <c r="F149" s="126">
        <f>'I) Dépenses thématiques'!P149</f>
        <v>-0.98108527995385508</v>
      </c>
      <c r="G149" s="154">
        <f t="shared" si="9"/>
        <v>22.754030183309904</v>
      </c>
      <c r="H149" s="126">
        <f t="shared" si="10"/>
        <v>23.73511546326376</v>
      </c>
      <c r="I149" s="154">
        <f t="shared" si="11"/>
        <v>0</v>
      </c>
      <c r="J149" s="66">
        <f t="shared" si="8"/>
        <v>0</v>
      </c>
      <c r="K149" s="44"/>
    </row>
    <row r="150" spans="1:11" x14ac:dyDescent="0.25">
      <c r="A150" s="57">
        <f>'A) Base RI'!A152</f>
        <v>5643</v>
      </c>
      <c r="B150" s="350" t="str">
        <f>'A) Base RI'!B152</f>
        <v>Préverenges</v>
      </c>
      <c r="C150" s="109">
        <f>'B) D RI'!U152</f>
        <v>262779.91921874997</v>
      </c>
      <c r="D150" s="126">
        <f>'E) Fact soc'!G156/C150</f>
        <v>17.203668144660504</v>
      </c>
      <c r="E150" s="154">
        <f>'H) Péréquation directe'!I161/C150</f>
        <v>11.431962891331953</v>
      </c>
      <c r="F150" s="126">
        <f>'I) Dépenses thématiques'!P150</f>
        <v>0</v>
      </c>
      <c r="G150" s="154">
        <f t="shared" si="9"/>
        <v>28.635631035992457</v>
      </c>
      <c r="H150" s="126">
        <f t="shared" si="10"/>
        <v>28.635631035992457</v>
      </c>
      <c r="I150" s="154">
        <f t="shared" si="11"/>
        <v>0</v>
      </c>
      <c r="J150" s="66">
        <f t="shared" si="8"/>
        <v>0</v>
      </c>
      <c r="K150" s="44"/>
    </row>
    <row r="151" spans="1:11" x14ac:dyDescent="0.25">
      <c r="A151" s="57">
        <f>'A) Base RI'!A153</f>
        <v>5644</v>
      </c>
      <c r="B151" s="350" t="str">
        <f>'A) Base RI'!B153</f>
        <v>Reverolle</v>
      </c>
      <c r="C151" s="109">
        <f>'B) D RI'!U153</f>
        <v>14128.860263157892</v>
      </c>
      <c r="D151" s="126">
        <f>'E) Fact soc'!G157/C151</f>
        <v>17.352694551901241</v>
      </c>
      <c r="E151" s="154">
        <f>'H) Péréquation directe'!I162/C151</f>
        <v>12.088936931917216</v>
      </c>
      <c r="F151" s="126">
        <f>'I) Dépenses thématiques'!P151</f>
        <v>-1.8135113733400312</v>
      </c>
      <c r="G151" s="154">
        <f t="shared" si="9"/>
        <v>27.628120110478424</v>
      </c>
      <c r="H151" s="126">
        <f t="shared" si="10"/>
        <v>29.441631483818455</v>
      </c>
      <c r="I151" s="154">
        <f t="shared" si="11"/>
        <v>0</v>
      </c>
      <c r="J151" s="66">
        <f t="shared" si="8"/>
        <v>0</v>
      </c>
      <c r="K151" s="44"/>
    </row>
    <row r="152" spans="1:11" x14ac:dyDescent="0.25">
      <c r="A152" s="57">
        <f>'A) Base RI'!A154</f>
        <v>5645</v>
      </c>
      <c r="B152" s="350" t="str">
        <f>'A) Base RI'!B154</f>
        <v>Romanel-sur-Morges</v>
      </c>
      <c r="C152" s="109">
        <f>'B) D RI'!U154</f>
        <v>26355.884598214288</v>
      </c>
      <c r="D152" s="126">
        <f>'E) Fact soc'!G158/C152</f>
        <v>17.80254614010472</v>
      </c>
      <c r="E152" s="154">
        <f>'H) Péréquation directe'!I163/C152</f>
        <v>17.022282298248133</v>
      </c>
      <c r="F152" s="126">
        <f>'I) Dépenses thématiques'!P152</f>
        <v>0</v>
      </c>
      <c r="G152" s="154">
        <f t="shared" si="9"/>
        <v>34.824828438352853</v>
      </c>
      <c r="H152" s="126">
        <f t="shared" si="10"/>
        <v>34.824828438352853</v>
      </c>
      <c r="I152" s="154">
        <f t="shared" si="11"/>
        <v>0</v>
      </c>
      <c r="J152" s="66">
        <f t="shared" si="8"/>
        <v>0</v>
      </c>
      <c r="K152" s="44"/>
    </row>
    <row r="153" spans="1:11" x14ac:dyDescent="0.25">
      <c r="A153" s="57">
        <f>'A) Base RI'!A155</f>
        <v>5646</v>
      </c>
      <c r="B153" s="350" t="str">
        <f>'A) Base RI'!B155</f>
        <v>Saint-Prex</v>
      </c>
      <c r="C153" s="109">
        <f>'B) D RI'!U155</f>
        <v>529776.58672727272</v>
      </c>
      <c r="D153" s="126">
        <f>'E) Fact soc'!G159/C153</f>
        <v>24.874146898484504</v>
      </c>
      <c r="E153" s="154">
        <f>'H) Péréquation directe'!I164/C153</f>
        <v>13.114439568104613</v>
      </c>
      <c r="F153" s="126">
        <f>'I) Dépenses thématiques'!P153</f>
        <v>0</v>
      </c>
      <c r="G153" s="154">
        <f t="shared" si="9"/>
        <v>37.988586466589119</v>
      </c>
      <c r="H153" s="126">
        <f t="shared" si="10"/>
        <v>37.988586466589119</v>
      </c>
      <c r="I153" s="154">
        <f t="shared" si="11"/>
        <v>0</v>
      </c>
      <c r="J153" s="66">
        <f t="shared" si="8"/>
        <v>0</v>
      </c>
      <c r="K153" s="44"/>
    </row>
    <row r="154" spans="1:11" x14ac:dyDescent="0.25">
      <c r="A154" s="57">
        <f>'A) Base RI'!A156</f>
        <v>5648</v>
      </c>
      <c r="B154" s="350" t="str">
        <f>'A) Base RI'!B156</f>
        <v>Saint-Sulpice</v>
      </c>
      <c r="C154" s="109">
        <f>'B) D RI'!U156</f>
        <v>320539.61704545456</v>
      </c>
      <c r="D154" s="126">
        <f>'E) Fact soc'!G160/C154</f>
        <v>24.673945341875179</v>
      </c>
      <c r="E154" s="154">
        <f>'H) Péréquation directe'!I165/C154</f>
        <v>13.555133549666916</v>
      </c>
      <c r="F154" s="126">
        <f>'I) Dépenses thématiques'!P154</f>
        <v>0</v>
      </c>
      <c r="G154" s="154">
        <f t="shared" si="9"/>
        <v>38.229078891542095</v>
      </c>
      <c r="H154" s="126">
        <f t="shared" si="10"/>
        <v>38.229078891542095</v>
      </c>
      <c r="I154" s="154">
        <f t="shared" si="11"/>
        <v>0</v>
      </c>
      <c r="J154" s="66">
        <f t="shared" si="8"/>
        <v>0</v>
      </c>
      <c r="K154" s="44"/>
    </row>
    <row r="155" spans="1:11" x14ac:dyDescent="0.25">
      <c r="A155" s="57">
        <f>'A) Base RI'!A157</f>
        <v>5649</v>
      </c>
      <c r="B155" s="350" t="str">
        <f>'A) Base RI'!B157</f>
        <v>Tolochenaz</v>
      </c>
      <c r="C155" s="109">
        <f>'B) D RI'!U157</f>
        <v>78727.730769230766</v>
      </c>
      <c r="D155" s="126">
        <f>'E) Fact soc'!G161/C155</f>
        <v>20.829322034020468</v>
      </c>
      <c r="E155" s="154">
        <f>'H) Péréquation directe'!I166/C155</f>
        <v>12.526614943010175</v>
      </c>
      <c r="F155" s="126">
        <f>'I) Dépenses thématiques'!P155</f>
        <v>-0.6089502401977035</v>
      </c>
      <c r="G155" s="154">
        <f t="shared" si="9"/>
        <v>32.746986736832945</v>
      </c>
      <c r="H155" s="126">
        <f t="shared" si="10"/>
        <v>33.355936977030645</v>
      </c>
      <c r="I155" s="154">
        <f t="shared" si="11"/>
        <v>0</v>
      </c>
      <c r="J155" s="66">
        <f t="shared" si="8"/>
        <v>0</v>
      </c>
      <c r="K155" s="44"/>
    </row>
    <row r="156" spans="1:11" x14ac:dyDescent="0.25">
      <c r="A156" s="57">
        <f>'A) Base RI'!A158</f>
        <v>5650</v>
      </c>
      <c r="B156" s="350" t="str">
        <f>'A) Base RI'!B158</f>
        <v>Vaux-sur-Morges</v>
      </c>
      <c r="C156" s="109">
        <f>'B) D RI'!U158</f>
        <v>167594.44571428568</v>
      </c>
      <c r="D156" s="126">
        <f>'E) Fact soc'!G162/C156</f>
        <v>44.180616642124285</v>
      </c>
      <c r="E156" s="154">
        <f>'H) Péréquation directe'!I167/C156</f>
        <v>13.048578744827878</v>
      </c>
      <c r="F156" s="126">
        <f>'I) Dépenses thématiques'!P156</f>
        <v>0</v>
      </c>
      <c r="G156" s="154">
        <f t="shared" si="9"/>
        <v>57.229195386952163</v>
      </c>
      <c r="H156" s="126">
        <f t="shared" si="10"/>
        <v>57.229195386952163</v>
      </c>
      <c r="I156" s="154">
        <f t="shared" si="11"/>
        <v>0</v>
      </c>
      <c r="J156" s="66">
        <f t="shared" si="8"/>
        <v>0</v>
      </c>
      <c r="K156" s="44"/>
    </row>
    <row r="157" spans="1:11" x14ac:dyDescent="0.25">
      <c r="A157" s="57">
        <f>'A) Base RI'!A159</f>
        <v>5651</v>
      </c>
      <c r="B157" s="350" t="str">
        <f>'A) Base RI'!B159</f>
        <v>Villars-Sainte-Croix</v>
      </c>
      <c r="C157" s="109">
        <f>'B) D RI'!U159</f>
        <v>39092.930338983046</v>
      </c>
      <c r="D157" s="126">
        <f>'E) Fact soc'!G163/C157</f>
        <v>20.877525942196758</v>
      </c>
      <c r="E157" s="154">
        <f>'H) Péréquation directe'!I168/C157</f>
        <v>16.685649718612012</v>
      </c>
      <c r="F157" s="126">
        <f>'I) Dépenses thématiques'!P157</f>
        <v>0</v>
      </c>
      <c r="G157" s="154">
        <f t="shared" si="9"/>
        <v>37.563175660808767</v>
      </c>
      <c r="H157" s="126">
        <f t="shared" si="10"/>
        <v>37.563175660808767</v>
      </c>
      <c r="I157" s="154">
        <f t="shared" si="11"/>
        <v>0</v>
      </c>
      <c r="J157" s="66">
        <f t="shared" si="8"/>
        <v>0</v>
      </c>
      <c r="K157" s="44"/>
    </row>
    <row r="158" spans="1:11" x14ac:dyDescent="0.25">
      <c r="A158" s="57">
        <f>'A) Base RI'!A160</f>
        <v>5652</v>
      </c>
      <c r="B158" s="350" t="str">
        <f>'A) Base RI'!B160</f>
        <v>Villars-sous-Yens</v>
      </c>
      <c r="C158" s="109">
        <f>'B) D RI'!U160</f>
        <v>21921.455131578947</v>
      </c>
      <c r="D158" s="126">
        <f>'E) Fact soc'!G164/C158</f>
        <v>18.055936393287023</v>
      </c>
      <c r="E158" s="154">
        <f>'H) Péréquation directe'!I169/C158</f>
        <v>10.680303355659959</v>
      </c>
      <c r="F158" s="126">
        <f>'I) Dépenses thématiques'!P158</f>
        <v>-2.3050444713855187</v>
      </c>
      <c r="G158" s="154">
        <f t="shared" si="9"/>
        <v>26.431195277561464</v>
      </c>
      <c r="H158" s="126">
        <f t="shared" si="10"/>
        <v>28.736239748946982</v>
      </c>
      <c r="I158" s="154">
        <f t="shared" si="11"/>
        <v>0</v>
      </c>
      <c r="J158" s="66">
        <f t="shared" si="8"/>
        <v>0</v>
      </c>
      <c r="K158" s="44"/>
    </row>
    <row r="159" spans="1:11" x14ac:dyDescent="0.25">
      <c r="A159" s="57">
        <f>'A) Base RI'!A161</f>
        <v>5653</v>
      </c>
      <c r="B159" s="350" t="str">
        <f>'A) Base RI'!B161</f>
        <v>Vufflens-le-Château</v>
      </c>
      <c r="C159" s="109">
        <f>'B) D RI'!U161</f>
        <v>61105.159227272721</v>
      </c>
      <c r="D159" s="126">
        <f>'E) Fact soc'!G165/C159</f>
        <v>20.923619600132607</v>
      </c>
      <c r="E159" s="154">
        <f>'H) Péréquation directe'!I170/C159</f>
        <v>16.634102134656981</v>
      </c>
      <c r="F159" s="126">
        <f>'I) Dépenses thématiques'!P159</f>
        <v>0</v>
      </c>
      <c r="G159" s="154">
        <f t="shared" si="9"/>
        <v>37.557721734789588</v>
      </c>
      <c r="H159" s="126">
        <f t="shared" si="10"/>
        <v>37.557721734789588</v>
      </c>
      <c r="I159" s="154">
        <f t="shared" si="11"/>
        <v>0</v>
      </c>
      <c r="J159" s="66">
        <f t="shared" si="8"/>
        <v>0</v>
      </c>
      <c r="K159" s="44"/>
    </row>
    <row r="160" spans="1:11" x14ac:dyDescent="0.25">
      <c r="A160" s="57">
        <f>'A) Base RI'!A162</f>
        <v>5654</v>
      </c>
      <c r="B160" s="350" t="str">
        <f>'A) Base RI'!B162</f>
        <v>Vullierens</v>
      </c>
      <c r="C160" s="109">
        <f>'B) D RI'!U162</f>
        <v>17141.735000000001</v>
      </c>
      <c r="D160" s="126">
        <f>'E) Fact soc'!G166/C160</f>
        <v>17.952287230667576</v>
      </c>
      <c r="E160" s="154">
        <f>'H) Péréquation directe'!I171/C160</f>
        <v>11.1209570821194</v>
      </c>
      <c r="F160" s="126">
        <f>'I) Dépenses thématiques'!P160</f>
        <v>-5.936281843216527</v>
      </c>
      <c r="G160" s="154">
        <f t="shared" si="9"/>
        <v>23.136962469570449</v>
      </c>
      <c r="H160" s="126">
        <f t="shared" si="10"/>
        <v>29.073244312786976</v>
      </c>
      <c r="I160" s="154">
        <f t="shared" si="11"/>
        <v>0</v>
      </c>
      <c r="J160" s="66">
        <f t="shared" si="8"/>
        <v>0</v>
      </c>
      <c r="K160" s="44"/>
    </row>
    <row r="161" spans="1:11" x14ac:dyDescent="0.25">
      <c r="A161" s="57">
        <f>'A) Base RI'!A163</f>
        <v>5655</v>
      </c>
      <c r="B161" s="350" t="str">
        <f>'A) Base RI'!B163</f>
        <v>Yens</v>
      </c>
      <c r="C161" s="109">
        <f>'B) D RI'!U163</f>
        <v>83580.564109589031</v>
      </c>
      <c r="D161" s="126">
        <f>'E) Fact soc'!G167/C161</f>
        <v>18.232895340954485</v>
      </c>
      <c r="E161" s="154">
        <f>'H) Péréquation directe'!I172/C161</f>
        <v>15.783526510320563</v>
      </c>
      <c r="F161" s="126">
        <f>'I) Dépenses thématiques'!P161</f>
        <v>0</v>
      </c>
      <c r="G161" s="154">
        <f t="shared" si="9"/>
        <v>34.016421851275048</v>
      </c>
      <c r="H161" s="126">
        <f t="shared" si="10"/>
        <v>34.016421851275048</v>
      </c>
      <c r="I161" s="154">
        <f t="shared" si="11"/>
        <v>0</v>
      </c>
      <c r="J161" s="66">
        <f t="shared" si="8"/>
        <v>0</v>
      </c>
      <c r="K161" s="44"/>
    </row>
    <row r="162" spans="1:11" x14ac:dyDescent="0.25">
      <c r="A162" s="57">
        <f>'A) Base RI'!A164</f>
        <v>5661</v>
      </c>
      <c r="B162" s="350" t="str">
        <f>'A) Base RI'!B164</f>
        <v>Boulens</v>
      </c>
      <c r="C162" s="109">
        <f>'B) D RI'!U164</f>
        <v>9592.9711392405043</v>
      </c>
      <c r="D162" s="126">
        <f>'E) Fact soc'!G168/C162</f>
        <v>17.594297750551402</v>
      </c>
      <c r="E162" s="154">
        <f>'H) Péréquation directe'!I173/C162</f>
        <v>-3.3469283986844367</v>
      </c>
      <c r="F162" s="126">
        <f>'I) Dépenses thématiques'!P162</f>
        <v>-4.4968038671249895</v>
      </c>
      <c r="G162" s="154">
        <f t="shared" si="9"/>
        <v>9.7505654847419763</v>
      </c>
      <c r="H162" s="126">
        <f t="shared" si="10"/>
        <v>14.247369351866965</v>
      </c>
      <c r="I162" s="154">
        <f t="shared" si="11"/>
        <v>0</v>
      </c>
      <c r="J162" s="66">
        <f t="shared" si="8"/>
        <v>0</v>
      </c>
      <c r="K162" s="44"/>
    </row>
    <row r="163" spans="1:11" x14ac:dyDescent="0.25">
      <c r="A163" s="57">
        <f>'A) Base RI'!A165</f>
        <v>5663</v>
      </c>
      <c r="B163" s="350" t="str">
        <f>'A) Base RI'!B165</f>
        <v>Bussy-sur-Moudon</v>
      </c>
      <c r="C163" s="109">
        <f>'B) D RI'!U165</f>
        <v>5468.4132499999996</v>
      </c>
      <c r="D163" s="126">
        <f>'E) Fact soc'!G169/C163</f>
        <v>17.009987953551313</v>
      </c>
      <c r="E163" s="154">
        <f>'H) Péréquation directe'!I174/C163</f>
        <v>-3.4073648380888129</v>
      </c>
      <c r="F163" s="126">
        <f>'I) Dépenses thématiques'!P163</f>
        <v>-9.7612882376915895</v>
      </c>
      <c r="G163" s="154">
        <f t="shared" si="9"/>
        <v>3.84133487777091</v>
      </c>
      <c r="H163" s="126">
        <f t="shared" si="10"/>
        <v>13.602623115462499</v>
      </c>
      <c r="I163" s="154">
        <f t="shared" si="11"/>
        <v>0</v>
      </c>
      <c r="J163" s="66">
        <f t="shared" si="8"/>
        <v>0</v>
      </c>
      <c r="K163" s="44"/>
    </row>
    <row r="164" spans="1:11" x14ac:dyDescent="0.25">
      <c r="A164" s="57">
        <f>'A) Base RI'!A166</f>
        <v>5665</v>
      </c>
      <c r="B164" s="350" t="str">
        <f>'A) Base RI'!B166</f>
        <v>Chavannes-sur-Moudon</v>
      </c>
      <c r="C164" s="109">
        <f>'B) D RI'!U166</f>
        <v>4982.8790410958891</v>
      </c>
      <c r="D164" s="126">
        <f>'E) Fact soc'!G170/C164</f>
        <v>15.36015891055459</v>
      </c>
      <c r="E164" s="154">
        <f>'H) Péréquation directe'!I175/C164</f>
        <v>-7.6600065413367604</v>
      </c>
      <c r="F164" s="126">
        <f>'I) Dépenses thématiques'!P164</f>
        <v>-1.8591864078873583</v>
      </c>
      <c r="G164" s="154">
        <f t="shared" si="9"/>
        <v>5.8409659613304719</v>
      </c>
      <c r="H164" s="126">
        <f t="shared" si="10"/>
        <v>7.7001523692178306</v>
      </c>
      <c r="I164" s="154">
        <f t="shared" si="11"/>
        <v>0</v>
      </c>
      <c r="J164" s="66">
        <f t="shared" si="8"/>
        <v>0</v>
      </c>
      <c r="K164" s="44"/>
    </row>
    <row r="165" spans="1:11" x14ac:dyDescent="0.25">
      <c r="A165" s="57">
        <f>'A) Base RI'!A167</f>
        <v>5669</v>
      </c>
      <c r="B165" s="350" t="str">
        <f>'A) Base RI'!B167</f>
        <v>Curtilles</v>
      </c>
      <c r="C165" s="109">
        <f>'B) D RI'!U167</f>
        <v>8279.174027777779</v>
      </c>
      <c r="D165" s="126">
        <f>'E) Fact soc'!G171/C165</f>
        <v>15.483692458119899</v>
      </c>
      <c r="E165" s="154">
        <f>'H) Péréquation directe'!I176/C165</f>
        <v>0.84002257732418562</v>
      </c>
      <c r="F165" s="126">
        <f>'I) Dépenses thématiques'!P165</f>
        <v>-4.7297308005681549</v>
      </c>
      <c r="G165" s="154">
        <f t="shared" si="9"/>
        <v>11.593984234875929</v>
      </c>
      <c r="H165" s="126">
        <f t="shared" si="10"/>
        <v>16.323715035444085</v>
      </c>
      <c r="I165" s="154">
        <f t="shared" si="11"/>
        <v>0</v>
      </c>
      <c r="J165" s="66">
        <f t="shared" si="8"/>
        <v>0</v>
      </c>
      <c r="K165" s="44"/>
    </row>
    <row r="166" spans="1:11" x14ac:dyDescent="0.25">
      <c r="A166" s="57">
        <f>'A) Base RI'!A168</f>
        <v>5671</v>
      </c>
      <c r="B166" s="350" t="str">
        <f>'A) Base RI'!B168</f>
        <v>Dompierre</v>
      </c>
      <c r="C166" s="109">
        <f>'B) D RI'!U168</f>
        <v>6672.7971250000001</v>
      </c>
      <c r="D166" s="126">
        <f>'E) Fact soc'!G172/C166</f>
        <v>15.117327408922577</v>
      </c>
      <c r="E166" s="154">
        <f>'H) Péréquation directe'!I177/C166</f>
        <v>-1.1860838615218379</v>
      </c>
      <c r="F166" s="126">
        <f>'I) Dépenses thématiques'!P166</f>
        <v>-6.5528457050664253</v>
      </c>
      <c r="G166" s="154">
        <f t="shared" si="9"/>
        <v>7.3783978423343148</v>
      </c>
      <c r="H166" s="126">
        <f t="shared" si="10"/>
        <v>13.93124354740074</v>
      </c>
      <c r="I166" s="154">
        <f t="shared" si="11"/>
        <v>0</v>
      </c>
      <c r="J166" s="66">
        <f t="shared" si="8"/>
        <v>0</v>
      </c>
      <c r="K166" s="44"/>
    </row>
    <row r="167" spans="1:11" x14ac:dyDescent="0.25">
      <c r="A167" s="57">
        <f>'A) Base RI'!A169</f>
        <v>5673</v>
      </c>
      <c r="B167" s="350" t="str">
        <f>'A) Base RI'!B169</f>
        <v>Hermenches</v>
      </c>
      <c r="C167" s="109">
        <f>'B) D RI'!U169</f>
        <v>7873.3323555555571</v>
      </c>
      <c r="D167" s="126">
        <f>'E) Fact soc'!G173/C167</f>
        <v>16.739448059143601</v>
      </c>
      <c r="E167" s="154">
        <f>'H) Péréquation directe'!I178/C167</f>
        <v>-12.433067265538517</v>
      </c>
      <c r="F167" s="126">
        <f>'I) Dépenses thématiques'!P167</f>
        <v>-6.9451210160734487</v>
      </c>
      <c r="G167" s="154">
        <f t="shared" si="9"/>
        <v>-2.638740222468364</v>
      </c>
      <c r="H167" s="126">
        <f t="shared" si="10"/>
        <v>4.3063807936050846</v>
      </c>
      <c r="I167" s="154">
        <f t="shared" si="11"/>
        <v>0</v>
      </c>
      <c r="J167" s="66">
        <f t="shared" si="8"/>
        <v>0</v>
      </c>
      <c r="K167" s="44"/>
    </row>
    <row r="168" spans="1:11" x14ac:dyDescent="0.25">
      <c r="A168" s="57">
        <f>'A) Base RI'!A170</f>
        <v>5674</v>
      </c>
      <c r="B168" s="350" t="str">
        <f>'A) Base RI'!B170</f>
        <v>Lovatens</v>
      </c>
      <c r="C168" s="109">
        <f>'B) D RI'!U170</f>
        <v>3776.8391809523814</v>
      </c>
      <c r="D168" s="126">
        <f>'E) Fact soc'!G174/C168</f>
        <v>22.427183263848924</v>
      </c>
      <c r="E168" s="154">
        <f>'H) Péréquation directe'!I179/C168</f>
        <v>-0.97718839927395607</v>
      </c>
      <c r="F168" s="126">
        <f>'I) Dépenses thématiques'!P168</f>
        <v>-0.23133551564211891</v>
      </c>
      <c r="G168" s="154">
        <f t="shared" si="9"/>
        <v>21.218659348932849</v>
      </c>
      <c r="H168" s="126">
        <f t="shared" si="10"/>
        <v>21.449994864574968</v>
      </c>
      <c r="I168" s="154">
        <f t="shared" si="11"/>
        <v>0</v>
      </c>
      <c r="J168" s="66">
        <f t="shared" si="8"/>
        <v>0</v>
      </c>
      <c r="K168" s="44"/>
    </row>
    <row r="169" spans="1:11" x14ac:dyDescent="0.25">
      <c r="A169" s="57">
        <f>'A) Base RI'!A171</f>
        <v>5675</v>
      </c>
      <c r="B169" s="350" t="str">
        <f>'A) Base RI'!B171</f>
        <v>Lucens</v>
      </c>
      <c r="C169" s="109">
        <f>'B) D RI'!U171</f>
        <v>92926.657086941384</v>
      </c>
      <c r="D169" s="126">
        <f>'E) Fact soc'!G175/C169</f>
        <v>17.487133629262189</v>
      </c>
      <c r="E169" s="154">
        <f>'H) Péréquation directe'!I180/C169</f>
        <v>-12.545796966657417</v>
      </c>
      <c r="F169" s="126">
        <f>'I) Dépenses thématiques'!P169</f>
        <v>-3.8736654902999845</v>
      </c>
      <c r="G169" s="154">
        <f t="shared" si="9"/>
        <v>1.067671172304788</v>
      </c>
      <c r="H169" s="126">
        <f t="shared" si="10"/>
        <v>4.9413366626047726</v>
      </c>
      <c r="I169" s="154">
        <f t="shared" si="11"/>
        <v>0</v>
      </c>
      <c r="J169" s="66">
        <f t="shared" si="8"/>
        <v>0</v>
      </c>
      <c r="K169" s="44"/>
    </row>
    <row r="170" spans="1:11" x14ac:dyDescent="0.25">
      <c r="A170" s="57">
        <f>'A) Base RI'!A172</f>
        <v>5678</v>
      </c>
      <c r="B170" s="350" t="str">
        <f>'A) Base RI'!B172</f>
        <v>Moudon</v>
      </c>
      <c r="C170" s="109">
        <f>'B) D RI'!U172</f>
        <v>123116.47720000001</v>
      </c>
      <c r="D170" s="126">
        <f>'E) Fact soc'!G176/C170</f>
        <v>18.379640781872141</v>
      </c>
      <c r="E170" s="154">
        <f>'H) Péréquation directe'!I181/C170</f>
        <v>-27.552430054654184</v>
      </c>
      <c r="F170" s="126">
        <f>'I) Dépenses thématiques'!P170</f>
        <v>-158.12953906228057</v>
      </c>
      <c r="G170" s="154">
        <f t="shared" si="9"/>
        <v>-167.30232833506261</v>
      </c>
      <c r="H170" s="126">
        <f t="shared" si="10"/>
        <v>-9.1727892727820404</v>
      </c>
      <c r="I170" s="154">
        <f t="shared" si="11"/>
        <v>-2.6727892727820404</v>
      </c>
      <c r="J170" s="66">
        <f t="shared" si="8"/>
        <v>329064.39956287469</v>
      </c>
      <c r="K170" s="44"/>
    </row>
    <row r="171" spans="1:11" x14ac:dyDescent="0.25">
      <c r="A171" s="57">
        <f>'A) Base RI'!A173</f>
        <v>5680</v>
      </c>
      <c r="B171" s="350" t="str">
        <f>'A) Base RI'!B173</f>
        <v>Ogens</v>
      </c>
      <c r="C171" s="109">
        <f>'B) D RI'!U173</f>
        <v>8504.3488034188031</v>
      </c>
      <c r="D171" s="126">
        <f>'E) Fact soc'!G177/C171</f>
        <v>17.437901912177477</v>
      </c>
      <c r="E171" s="154">
        <f>'H) Péréquation directe'!I182/C171</f>
        <v>1.3745294625166735</v>
      </c>
      <c r="F171" s="126">
        <f>'I) Dépenses thématiques'!P171</f>
        <v>-4.9157029238652594</v>
      </c>
      <c r="G171" s="154">
        <f t="shared" si="9"/>
        <v>13.89672845082889</v>
      </c>
      <c r="H171" s="126">
        <f t="shared" si="10"/>
        <v>18.81243137469415</v>
      </c>
      <c r="I171" s="154">
        <f t="shared" si="11"/>
        <v>0</v>
      </c>
      <c r="J171" s="66">
        <f t="shared" si="8"/>
        <v>0</v>
      </c>
      <c r="K171" s="44"/>
    </row>
    <row r="172" spans="1:11" x14ac:dyDescent="0.25">
      <c r="A172" s="57">
        <f>'A) Base RI'!A174</f>
        <v>5683</v>
      </c>
      <c r="B172" s="350" t="str">
        <f>'A) Base RI'!B174</f>
        <v>Prévonloup</v>
      </c>
      <c r="C172" s="109">
        <f>'B) D RI'!U174</f>
        <v>4128.5685135135127</v>
      </c>
      <c r="D172" s="126">
        <f>'E) Fact soc'!G178/C172</f>
        <v>15.117327408922577</v>
      </c>
      <c r="E172" s="154">
        <f>'H) Péréquation directe'!I183/C172</f>
        <v>-3.1037516813844288</v>
      </c>
      <c r="F172" s="126">
        <f>'I) Dépenses thématiques'!P172</f>
        <v>-9.1441834150315646</v>
      </c>
      <c r="G172" s="154">
        <f t="shared" si="9"/>
        <v>2.8693923125065837</v>
      </c>
      <c r="H172" s="126">
        <f t="shared" si="10"/>
        <v>12.013575727538148</v>
      </c>
      <c r="I172" s="154">
        <f t="shared" si="11"/>
        <v>0</v>
      </c>
      <c r="J172" s="66">
        <f t="shared" si="8"/>
        <v>0</v>
      </c>
      <c r="K172" s="44"/>
    </row>
    <row r="173" spans="1:11" x14ac:dyDescent="0.25">
      <c r="A173" s="57">
        <f>'A) Base RI'!A175</f>
        <v>5684</v>
      </c>
      <c r="B173" s="350" t="str">
        <f>'A) Base RI'!B175</f>
        <v>Rossenges</v>
      </c>
      <c r="C173" s="109">
        <f>'B) D RI'!U175</f>
        <v>2119.9519999999998</v>
      </c>
      <c r="D173" s="126">
        <f>'E) Fact soc'!G179/C173</f>
        <v>15.117327408922577</v>
      </c>
      <c r="E173" s="154">
        <f>'H) Péréquation directe'!I184/C173</f>
        <v>11.962003981574544</v>
      </c>
      <c r="F173" s="126">
        <f>'I) Dépenses thématiques'!P173</f>
        <v>0</v>
      </c>
      <c r="G173" s="154">
        <f t="shared" si="9"/>
        <v>27.079331390497121</v>
      </c>
      <c r="H173" s="126">
        <f t="shared" si="10"/>
        <v>27.079331390497121</v>
      </c>
      <c r="I173" s="154">
        <f t="shared" si="11"/>
        <v>0</v>
      </c>
      <c r="J173" s="66">
        <f t="shared" si="8"/>
        <v>0</v>
      </c>
      <c r="K173" s="44"/>
    </row>
    <row r="174" spans="1:11" x14ac:dyDescent="0.25">
      <c r="A174" s="57">
        <f>'A) Base RI'!A176</f>
        <v>5688</v>
      </c>
      <c r="B174" s="350" t="str">
        <f>'A) Base RI'!B176</f>
        <v>Syens</v>
      </c>
      <c r="C174" s="109">
        <f>'B) D RI'!U176</f>
        <v>4845.4007936507942</v>
      </c>
      <c r="D174" s="126">
        <f>'E) Fact soc'!G180/C174</f>
        <v>19.565483695238925</v>
      </c>
      <c r="E174" s="154">
        <f>'H) Péréquation directe'!I185/C174</f>
        <v>7.74395152630838</v>
      </c>
      <c r="F174" s="126">
        <f>'I) Dépenses thématiques'!P174</f>
        <v>-5.6676749770469499</v>
      </c>
      <c r="G174" s="154">
        <f t="shared" si="9"/>
        <v>21.641760244500354</v>
      </c>
      <c r="H174" s="126">
        <f t="shared" si="10"/>
        <v>27.309435221547304</v>
      </c>
      <c r="I174" s="154">
        <f t="shared" si="11"/>
        <v>0</v>
      </c>
      <c r="J174" s="66">
        <f t="shared" si="8"/>
        <v>0</v>
      </c>
      <c r="K174" s="44"/>
    </row>
    <row r="175" spans="1:11" x14ac:dyDescent="0.25">
      <c r="A175" s="57">
        <f>'A) Base RI'!A177</f>
        <v>5690</v>
      </c>
      <c r="B175" s="350" t="str">
        <f>'A) Base RI'!B177</f>
        <v>Villars-le-Comte</v>
      </c>
      <c r="C175" s="109">
        <f>'B) D RI'!U177</f>
        <v>3252.2851315789467</v>
      </c>
      <c r="D175" s="126">
        <f>'E) Fact soc'!G181/C175</f>
        <v>15.53953055054361</v>
      </c>
      <c r="E175" s="154">
        <f>'H) Péréquation directe'!I186/C175</f>
        <v>-8.3833597281076386</v>
      </c>
      <c r="F175" s="126">
        <f>'I) Dépenses thématiques'!P175</f>
        <v>-3.4450937349806594E-2</v>
      </c>
      <c r="G175" s="154">
        <f t="shared" si="9"/>
        <v>7.1217198850861649</v>
      </c>
      <c r="H175" s="126">
        <f t="shared" si="10"/>
        <v>7.1561708224359712</v>
      </c>
      <c r="I175" s="154">
        <f t="shared" si="11"/>
        <v>0</v>
      </c>
      <c r="J175" s="66">
        <f t="shared" si="8"/>
        <v>0</v>
      </c>
      <c r="K175" s="44"/>
    </row>
    <row r="176" spans="1:11" x14ac:dyDescent="0.25">
      <c r="A176" s="57">
        <f>'A) Base RI'!A178</f>
        <v>5692</v>
      </c>
      <c r="B176" s="350" t="str">
        <f>'A) Base RI'!B178</f>
        <v>Vucherens</v>
      </c>
      <c r="C176" s="109">
        <f>'B) D RI'!U178</f>
        <v>16993.232405063292</v>
      </c>
      <c r="D176" s="126">
        <f>'E) Fact soc'!G182/C176</f>
        <v>19.219703774894505</v>
      </c>
      <c r="E176" s="154">
        <f>'H) Péréquation directe'!I187/C176</f>
        <v>3.5000306293940677</v>
      </c>
      <c r="F176" s="126">
        <f>'I) Dépenses thématiques'!P176</f>
        <v>-0.68482101179569888</v>
      </c>
      <c r="G176" s="154">
        <f t="shared" si="9"/>
        <v>22.034913392492875</v>
      </c>
      <c r="H176" s="126">
        <f t="shared" si="10"/>
        <v>22.719734404288573</v>
      </c>
      <c r="I176" s="154">
        <f t="shared" si="11"/>
        <v>0</v>
      </c>
      <c r="J176" s="66">
        <f t="shared" si="8"/>
        <v>0</v>
      </c>
      <c r="K176" s="44"/>
    </row>
    <row r="177" spans="1:11" x14ac:dyDescent="0.25">
      <c r="A177" s="57">
        <f>'A) Base RI'!A179</f>
        <v>5693</v>
      </c>
      <c r="B177" s="350" t="str">
        <f>'A) Base RI'!B179</f>
        <v>Montanaire</v>
      </c>
      <c r="C177" s="109">
        <f>'B) D RI'!U179</f>
        <v>63585.08152777778</v>
      </c>
      <c r="D177" s="126">
        <f>'E) Fact soc'!G183/C177</f>
        <v>17.424035468043719</v>
      </c>
      <c r="E177" s="154">
        <f>'H) Péréquation directe'!I188/C177</f>
        <v>-7.0397025023138964</v>
      </c>
      <c r="F177" s="126">
        <f>'I) Dépenses thématiques'!P177</f>
        <v>-27.863737659636719</v>
      </c>
      <c r="G177" s="154">
        <f t="shared" si="9"/>
        <v>-17.479404693906897</v>
      </c>
      <c r="H177" s="126">
        <f t="shared" si="10"/>
        <v>10.384332965729822</v>
      </c>
      <c r="I177" s="154">
        <f t="shared" si="11"/>
        <v>0</v>
      </c>
      <c r="J177" s="66">
        <f t="shared" si="8"/>
        <v>0</v>
      </c>
      <c r="K177" s="44"/>
    </row>
    <row r="178" spans="1:11" x14ac:dyDescent="0.25">
      <c r="A178" s="57">
        <f>'A) Base RI'!A180</f>
        <v>5701</v>
      </c>
      <c r="B178" s="350" t="str">
        <f>'A) Base RI'!B180</f>
        <v>Arnex-sur-Nyon</v>
      </c>
      <c r="C178" s="109">
        <f>'B) D RI'!U180</f>
        <v>15270.610714285714</v>
      </c>
      <c r="D178" s="126">
        <f>'E) Fact soc'!G184/C178</f>
        <v>23.835848223301728</v>
      </c>
      <c r="E178" s="154">
        <f>'H) Péréquation directe'!I189/C178</f>
        <v>16.673317712288849</v>
      </c>
      <c r="F178" s="126">
        <f>'I) Dépenses thématiques'!P178</f>
        <v>0</v>
      </c>
      <c r="G178" s="154">
        <f t="shared" si="9"/>
        <v>40.509165935590573</v>
      </c>
      <c r="H178" s="126">
        <f t="shared" si="10"/>
        <v>40.509165935590573</v>
      </c>
      <c r="I178" s="154">
        <f t="shared" si="11"/>
        <v>0</v>
      </c>
      <c r="J178" s="66">
        <f t="shared" si="8"/>
        <v>0</v>
      </c>
      <c r="K178" s="44"/>
    </row>
    <row r="179" spans="1:11" x14ac:dyDescent="0.25">
      <c r="A179" s="57">
        <f>'A) Base RI'!A181</f>
        <v>5702</v>
      </c>
      <c r="B179" s="350" t="str">
        <f>'A) Base RI'!B181</f>
        <v>Arzier-Le Muids</v>
      </c>
      <c r="C179" s="109">
        <f>'B) D RI'!U181</f>
        <v>153872.87421874999</v>
      </c>
      <c r="D179" s="126">
        <f>'E) Fact soc'!G185/C179</f>
        <v>19.558002598899947</v>
      </c>
      <c r="E179" s="154">
        <f>'H) Péréquation directe'!I190/C179</f>
        <v>14.426569441593637</v>
      </c>
      <c r="F179" s="126">
        <f>'I) Dépenses thématiques'!P179</f>
        <v>-4.3762135631914694</v>
      </c>
      <c r="G179" s="154">
        <f t="shared" si="9"/>
        <v>29.608358477302112</v>
      </c>
      <c r="H179" s="126">
        <f t="shared" si="10"/>
        <v>33.984572040493582</v>
      </c>
      <c r="I179" s="154">
        <f t="shared" si="11"/>
        <v>0</v>
      </c>
      <c r="J179" s="66">
        <f t="shared" si="8"/>
        <v>0</v>
      </c>
      <c r="K179" s="44"/>
    </row>
    <row r="180" spans="1:11" x14ac:dyDescent="0.25">
      <c r="A180" s="57">
        <f>'A) Base RI'!A182</f>
        <v>5703</v>
      </c>
      <c r="B180" s="350" t="str">
        <f>'A) Base RI'!B182</f>
        <v>Bassins</v>
      </c>
      <c r="C180" s="109">
        <f>'B) D RI'!U182</f>
        <v>52372.205915492945</v>
      </c>
      <c r="D180" s="126">
        <f>'E) Fact soc'!G186/C180</f>
        <v>17.129632851432561</v>
      </c>
      <c r="E180" s="154">
        <f>'H) Péréquation directe'!I191/C180</f>
        <v>12.176514633207344</v>
      </c>
      <c r="F180" s="126">
        <f>'I) Dépenses thématiques'!P180</f>
        <v>-1.7031725563672289</v>
      </c>
      <c r="G180" s="154">
        <f t="shared" si="9"/>
        <v>27.602974928272676</v>
      </c>
      <c r="H180" s="126">
        <f t="shared" si="10"/>
        <v>29.306147484639904</v>
      </c>
      <c r="I180" s="154">
        <f t="shared" si="11"/>
        <v>0</v>
      </c>
      <c r="J180" s="66">
        <f t="shared" si="8"/>
        <v>0</v>
      </c>
      <c r="K180" s="44"/>
    </row>
    <row r="181" spans="1:11" x14ac:dyDescent="0.25">
      <c r="A181" s="57">
        <f>'A) Base RI'!A183</f>
        <v>5704</v>
      </c>
      <c r="B181" s="350" t="str">
        <f>'A) Base RI'!B183</f>
        <v>Begnins</v>
      </c>
      <c r="C181" s="109">
        <f>'B) D RI'!U183</f>
        <v>118306.82039800995</v>
      </c>
      <c r="D181" s="126">
        <f>'E) Fact soc'!G187/C181</f>
        <v>20.865200555853178</v>
      </c>
      <c r="E181" s="154">
        <f>'H) Péréquation directe'!I192/C181</f>
        <v>15.061027719031612</v>
      </c>
      <c r="F181" s="126">
        <f>'I) Dépenses thématiques'!P181</f>
        <v>0</v>
      </c>
      <c r="G181" s="154">
        <f t="shared" si="9"/>
        <v>35.926228274884792</v>
      </c>
      <c r="H181" s="126">
        <f t="shared" si="10"/>
        <v>35.926228274884792</v>
      </c>
      <c r="I181" s="154">
        <f t="shared" si="11"/>
        <v>0</v>
      </c>
      <c r="J181" s="66">
        <f t="shared" si="8"/>
        <v>0</v>
      </c>
      <c r="K181" s="44"/>
    </row>
    <row r="182" spans="1:11" x14ac:dyDescent="0.25">
      <c r="A182" s="57">
        <f>'A) Base RI'!A184</f>
        <v>5705</v>
      </c>
      <c r="B182" s="350" t="str">
        <f>'A) Base RI'!B184</f>
        <v>Bogis-Bossey</v>
      </c>
      <c r="C182" s="109">
        <f>'B) D RI'!U184</f>
        <v>49610.676285714275</v>
      </c>
      <c r="D182" s="126">
        <f>'E) Fact soc'!G188/C182</f>
        <v>18.199968964673214</v>
      </c>
      <c r="E182" s="154">
        <f>'H) Péréquation directe'!I193/C182</f>
        <v>16.93345799296053</v>
      </c>
      <c r="F182" s="126">
        <f>'I) Dépenses thématiques'!P182</f>
        <v>0</v>
      </c>
      <c r="G182" s="154">
        <f t="shared" si="9"/>
        <v>35.133426957633745</v>
      </c>
      <c r="H182" s="126">
        <f t="shared" si="10"/>
        <v>35.133426957633745</v>
      </c>
      <c r="I182" s="154">
        <f t="shared" si="11"/>
        <v>0</v>
      </c>
      <c r="J182" s="66">
        <f t="shared" si="8"/>
        <v>0</v>
      </c>
      <c r="K182" s="44"/>
    </row>
    <row r="183" spans="1:11" x14ac:dyDescent="0.25">
      <c r="A183" s="57">
        <f>'A) Base RI'!A185</f>
        <v>5706</v>
      </c>
      <c r="B183" s="350" t="str">
        <f>'A) Base RI'!B185</f>
        <v>Borex</v>
      </c>
      <c r="C183" s="109">
        <f>'B) D RI'!U185</f>
        <v>68211.153151515144</v>
      </c>
      <c r="D183" s="126">
        <f>'E) Fact soc'!G189/C183</f>
        <v>19.92690745011938</v>
      </c>
      <c r="E183" s="154">
        <f>'H) Péréquation directe'!I194/C183</f>
        <v>16.525105896718078</v>
      </c>
      <c r="F183" s="126">
        <f>'I) Dépenses thématiques'!P183</f>
        <v>0</v>
      </c>
      <c r="G183" s="154">
        <f t="shared" si="9"/>
        <v>36.452013346837461</v>
      </c>
      <c r="H183" s="126">
        <f t="shared" si="10"/>
        <v>36.452013346837461</v>
      </c>
      <c r="I183" s="154">
        <f t="shared" si="11"/>
        <v>0</v>
      </c>
      <c r="J183" s="66">
        <f t="shared" si="8"/>
        <v>0</v>
      </c>
      <c r="K183" s="44"/>
    </row>
    <row r="184" spans="1:11" x14ac:dyDescent="0.25">
      <c r="A184" s="57">
        <f>'A) Base RI'!A186</f>
        <v>5707</v>
      </c>
      <c r="B184" s="350" t="str">
        <f>'A) Base RI'!B186</f>
        <v>Chavannes-de-Bogis</v>
      </c>
      <c r="C184" s="109">
        <f>'B) D RI'!U186</f>
        <v>101262.00960451979</v>
      </c>
      <c r="D184" s="126">
        <f>'E) Fact soc'!G190/C184</f>
        <v>26.644461282493094</v>
      </c>
      <c r="E184" s="154">
        <f>'H) Péréquation directe'!I195/C184</f>
        <v>15.889873961222261</v>
      </c>
      <c r="F184" s="126">
        <f>'I) Dépenses thématiques'!P184</f>
        <v>0</v>
      </c>
      <c r="G184" s="154">
        <f t="shared" si="9"/>
        <v>42.534335243715354</v>
      </c>
      <c r="H184" s="126">
        <f t="shared" si="10"/>
        <v>42.534335243715354</v>
      </c>
      <c r="I184" s="154">
        <f t="shared" si="11"/>
        <v>0</v>
      </c>
      <c r="J184" s="66">
        <f t="shared" si="8"/>
        <v>0</v>
      </c>
      <c r="K184" s="44"/>
    </row>
    <row r="185" spans="1:11" x14ac:dyDescent="0.25">
      <c r="A185" s="57">
        <f>'A) Base RI'!A187</f>
        <v>5708</v>
      </c>
      <c r="B185" s="350" t="str">
        <f>'A) Base RI'!B187</f>
        <v>Chavannes-des-Bois</v>
      </c>
      <c r="C185" s="109">
        <f>'B) D RI'!U187</f>
        <v>66077.93781420766</v>
      </c>
      <c r="D185" s="126">
        <f>'E) Fact soc'!G191/C185</f>
        <v>23.226741160713914</v>
      </c>
      <c r="E185" s="154">
        <f>'H) Péréquation directe'!I196/C185</f>
        <v>16.493382292541209</v>
      </c>
      <c r="F185" s="126">
        <f>'I) Dépenses thématiques'!P185</f>
        <v>0</v>
      </c>
      <c r="G185" s="154">
        <f t="shared" si="9"/>
        <v>39.720123453255127</v>
      </c>
      <c r="H185" s="126">
        <f t="shared" si="10"/>
        <v>39.720123453255127</v>
      </c>
      <c r="I185" s="154">
        <f t="shared" si="11"/>
        <v>0</v>
      </c>
      <c r="J185" s="66">
        <f t="shared" si="8"/>
        <v>0</v>
      </c>
      <c r="K185" s="44"/>
    </row>
    <row r="186" spans="1:11" x14ac:dyDescent="0.25">
      <c r="A186" s="57">
        <f>'A) Base RI'!A188</f>
        <v>5709</v>
      </c>
      <c r="B186" s="350" t="str">
        <f>'A) Base RI'!B188</f>
        <v>Chéserex</v>
      </c>
      <c r="C186" s="109">
        <f>'B) D RI'!U188</f>
        <v>141681.04461538463</v>
      </c>
      <c r="D186" s="126">
        <f>'E) Fact soc'!G192/C186</f>
        <v>30.957757107598724</v>
      </c>
      <c r="E186" s="154">
        <f>'H) Péréquation directe'!I197/C186</f>
        <v>15.259661490684124</v>
      </c>
      <c r="F186" s="126">
        <f>'I) Dépenses thématiques'!P186</f>
        <v>0</v>
      </c>
      <c r="G186" s="154">
        <f t="shared" si="9"/>
        <v>46.217418598282848</v>
      </c>
      <c r="H186" s="126">
        <f t="shared" si="10"/>
        <v>46.217418598282848</v>
      </c>
      <c r="I186" s="154">
        <f t="shared" si="11"/>
        <v>0</v>
      </c>
      <c r="J186" s="66">
        <f t="shared" si="8"/>
        <v>0</v>
      </c>
      <c r="K186" s="44"/>
    </row>
    <row r="187" spans="1:11" x14ac:dyDescent="0.25">
      <c r="A187" s="57">
        <f>'A) Base RI'!A189</f>
        <v>5710</v>
      </c>
      <c r="B187" s="350" t="str">
        <f>'A) Base RI'!B189</f>
        <v>Coinsins</v>
      </c>
      <c r="C187" s="109">
        <f>'B) D RI'!U189</f>
        <v>77522.491219512216</v>
      </c>
      <c r="D187" s="126">
        <f>'E) Fact soc'!G193/C187</f>
        <v>27.234167476594273</v>
      </c>
      <c r="E187" s="154">
        <f>'H) Péréquation directe'!I198/C187</f>
        <v>14.974035398716083</v>
      </c>
      <c r="F187" s="126">
        <f>'I) Dépenses thématiques'!P187</f>
        <v>0</v>
      </c>
      <c r="G187" s="154">
        <f t="shared" si="9"/>
        <v>42.208202875310356</v>
      </c>
      <c r="H187" s="126">
        <f t="shared" si="10"/>
        <v>42.208202875310356</v>
      </c>
      <c r="I187" s="154">
        <f t="shared" si="11"/>
        <v>0</v>
      </c>
      <c r="J187" s="66">
        <f t="shared" si="8"/>
        <v>0</v>
      </c>
      <c r="K187" s="44"/>
    </row>
    <row r="188" spans="1:11" x14ac:dyDescent="0.25">
      <c r="A188" s="57">
        <f>'A) Base RI'!A190</f>
        <v>5711</v>
      </c>
      <c r="B188" s="350" t="str">
        <f>'A) Base RI'!B190</f>
        <v>Commugny</v>
      </c>
      <c r="C188" s="109">
        <f>'B) D RI'!U190</f>
        <v>249621.80260458836</v>
      </c>
      <c r="D188" s="126">
        <f>'E) Fact soc'!G194/C188</f>
        <v>26.760679186868543</v>
      </c>
      <c r="E188" s="154">
        <f>'H) Péréquation directe'!I199/C188</f>
        <v>14.503456658602945</v>
      </c>
      <c r="F188" s="126">
        <f>'I) Dépenses thématiques'!P188</f>
        <v>0</v>
      </c>
      <c r="G188" s="154">
        <f t="shared" si="9"/>
        <v>41.264135845471486</v>
      </c>
      <c r="H188" s="126">
        <f t="shared" si="10"/>
        <v>41.264135845471486</v>
      </c>
      <c r="I188" s="154">
        <f t="shared" si="11"/>
        <v>0</v>
      </c>
      <c r="J188" s="66">
        <f t="shared" si="8"/>
        <v>0</v>
      </c>
      <c r="K188" s="44"/>
    </row>
    <row r="189" spans="1:11" x14ac:dyDescent="0.25">
      <c r="A189" s="57">
        <f>'A) Base RI'!A191</f>
        <v>5712</v>
      </c>
      <c r="B189" s="350" t="str">
        <f>'A) Base RI'!B191</f>
        <v>Coppet</v>
      </c>
      <c r="C189" s="109">
        <f>'B) D RI'!U191</f>
        <v>316866.86955974839</v>
      </c>
      <c r="D189" s="126">
        <f>'E) Fact soc'!G195/C189</f>
        <v>29.189851968205094</v>
      </c>
      <c r="E189" s="154">
        <f>'H) Péréquation directe'!I200/C189</f>
        <v>14.296259749408899</v>
      </c>
      <c r="F189" s="126">
        <f>'I) Dépenses thématiques'!P189</f>
        <v>0</v>
      </c>
      <c r="G189" s="154">
        <f t="shared" si="9"/>
        <v>43.486111717613994</v>
      </c>
      <c r="H189" s="126">
        <f t="shared" si="10"/>
        <v>43.486111717613994</v>
      </c>
      <c r="I189" s="154">
        <f t="shared" si="11"/>
        <v>0</v>
      </c>
      <c r="J189" s="66">
        <f t="shared" si="8"/>
        <v>0</v>
      </c>
      <c r="K189" s="44"/>
    </row>
    <row r="190" spans="1:11" x14ac:dyDescent="0.25">
      <c r="A190" s="57">
        <f>'A) Base RI'!A192</f>
        <v>5713</v>
      </c>
      <c r="B190" s="350" t="str">
        <f>'A) Base RI'!B192</f>
        <v>Crans-près-Céligny</v>
      </c>
      <c r="C190" s="109">
        <f>'B) D RI'!U192</f>
        <v>229285.72754716981</v>
      </c>
      <c r="D190" s="126">
        <f>'E) Fact soc'!G196/C190</f>
        <v>29.138949021146807</v>
      </c>
      <c r="E190" s="154">
        <f>'H) Péréquation directe'!I201/C190</f>
        <v>14.59411705207993</v>
      </c>
      <c r="F190" s="126">
        <f>'I) Dépenses thématiques'!P190</f>
        <v>-0.34868899660433073</v>
      </c>
      <c r="G190" s="154">
        <f t="shared" si="9"/>
        <v>43.384377076622407</v>
      </c>
      <c r="H190" s="126">
        <f t="shared" si="10"/>
        <v>43.733066073226738</v>
      </c>
      <c r="I190" s="154">
        <f t="shared" si="11"/>
        <v>0</v>
      </c>
      <c r="J190" s="66">
        <f t="shared" si="8"/>
        <v>0</v>
      </c>
      <c r="K190" s="44"/>
    </row>
    <row r="191" spans="1:11" x14ac:dyDescent="0.25">
      <c r="A191" s="57">
        <f>'A) Base RI'!A193</f>
        <v>5714</v>
      </c>
      <c r="B191" s="350" t="str">
        <f>'A) Base RI'!B193</f>
        <v>Crassier</v>
      </c>
      <c r="C191" s="109">
        <f>'B) D RI'!U193</f>
        <v>82427.7421875</v>
      </c>
      <c r="D191" s="126">
        <f>'E) Fact soc'!G197/C191</f>
        <v>21.34051597510383</v>
      </c>
      <c r="E191" s="154">
        <f>'H) Péréquation directe'!I202/C191</f>
        <v>16.191012548137305</v>
      </c>
      <c r="F191" s="126">
        <f>'I) Dépenses thématiques'!P191</f>
        <v>0</v>
      </c>
      <c r="G191" s="154">
        <f t="shared" si="9"/>
        <v>37.531528523241136</v>
      </c>
      <c r="H191" s="126">
        <f t="shared" si="10"/>
        <v>37.531528523241136</v>
      </c>
      <c r="I191" s="154">
        <f t="shared" si="11"/>
        <v>0</v>
      </c>
      <c r="J191" s="66">
        <f t="shared" si="8"/>
        <v>0</v>
      </c>
      <c r="K191" s="44"/>
    </row>
    <row r="192" spans="1:11" x14ac:dyDescent="0.25">
      <c r="A192" s="57">
        <f>'A) Base RI'!A194</f>
        <v>5715</v>
      </c>
      <c r="B192" s="350" t="str">
        <f>'A) Base RI'!B194</f>
        <v>Duillier</v>
      </c>
      <c r="C192" s="109">
        <f>'B) D RI'!U194</f>
        <v>64112.353030303027</v>
      </c>
      <c r="D192" s="126">
        <f>'E) Fact soc'!G198/C192</f>
        <v>20.169914932054958</v>
      </c>
      <c r="E192" s="154">
        <f>'H) Péréquation directe'!I203/C192</f>
        <v>16.741447923090789</v>
      </c>
      <c r="F192" s="126">
        <f>'I) Dépenses thématiques'!P192</f>
        <v>0</v>
      </c>
      <c r="G192" s="154">
        <f t="shared" si="9"/>
        <v>36.911362855145747</v>
      </c>
      <c r="H192" s="126">
        <f t="shared" si="10"/>
        <v>36.911362855145747</v>
      </c>
      <c r="I192" s="154">
        <f t="shared" si="11"/>
        <v>0</v>
      </c>
      <c r="J192" s="66">
        <f t="shared" si="8"/>
        <v>0</v>
      </c>
      <c r="K192" s="44"/>
    </row>
    <row r="193" spans="1:11" x14ac:dyDescent="0.25">
      <c r="A193" s="57">
        <f>'A) Base RI'!A195</f>
        <v>5716</v>
      </c>
      <c r="B193" s="350" t="str">
        <f>'A) Base RI'!B195</f>
        <v>Eysins</v>
      </c>
      <c r="C193" s="109">
        <f>'B) D RI'!U195</f>
        <v>93259.046229508182</v>
      </c>
      <c r="D193" s="126">
        <f>'E) Fact soc'!G199/C193</f>
        <v>25.348678021402556</v>
      </c>
      <c r="E193" s="154">
        <f>'H) Péréquation directe'!I204/C193</f>
        <v>15.588936453454624</v>
      </c>
      <c r="F193" s="126">
        <f>'I) Dépenses thématiques'!P193</f>
        <v>0</v>
      </c>
      <c r="G193" s="154">
        <f t="shared" si="9"/>
        <v>40.937614474857178</v>
      </c>
      <c r="H193" s="126">
        <f t="shared" si="10"/>
        <v>40.937614474857178</v>
      </c>
      <c r="I193" s="154">
        <f t="shared" si="11"/>
        <v>0</v>
      </c>
      <c r="J193" s="66">
        <f t="shared" si="8"/>
        <v>0</v>
      </c>
      <c r="K193" s="44"/>
    </row>
    <row r="194" spans="1:11" x14ac:dyDescent="0.25">
      <c r="A194" s="57">
        <f>'A) Base RI'!A196</f>
        <v>5717</v>
      </c>
      <c r="B194" s="350" t="str">
        <f>'A) Base RI'!B196</f>
        <v>Founex</v>
      </c>
      <c r="C194" s="109">
        <f>'B) D RI'!U196</f>
        <v>359686.500877193</v>
      </c>
      <c r="D194" s="126">
        <f>'E) Fact soc'!G200/C194</f>
        <v>27.972201857940401</v>
      </c>
      <c r="E194" s="154">
        <f>'H) Péréquation directe'!I205/C194</f>
        <v>14.034611445829936</v>
      </c>
      <c r="F194" s="126">
        <f>'I) Dépenses thématiques'!P194</f>
        <v>0</v>
      </c>
      <c r="G194" s="154">
        <f t="shared" si="9"/>
        <v>42.006813303770336</v>
      </c>
      <c r="H194" s="126">
        <f t="shared" si="10"/>
        <v>42.006813303770336</v>
      </c>
      <c r="I194" s="154">
        <f t="shared" si="11"/>
        <v>0</v>
      </c>
      <c r="J194" s="66">
        <f t="shared" si="8"/>
        <v>0</v>
      </c>
      <c r="K194" s="44"/>
    </row>
    <row r="195" spans="1:11" x14ac:dyDescent="0.25">
      <c r="A195" s="57">
        <f>'A) Base RI'!A197</f>
        <v>5718</v>
      </c>
      <c r="B195" s="350" t="str">
        <f>'A) Base RI'!B197</f>
        <v>Genolier</v>
      </c>
      <c r="C195" s="109">
        <f>'B) D RI'!U197</f>
        <v>194551.61054545455</v>
      </c>
      <c r="D195" s="126">
        <f>'E) Fact soc'!G201/C195</f>
        <v>28.137629026907241</v>
      </c>
      <c r="E195" s="154">
        <f>'H) Péréquation directe'!I206/C195</f>
        <v>14.784206209171456</v>
      </c>
      <c r="F195" s="126">
        <f>'I) Dépenses thématiques'!P195</f>
        <v>0</v>
      </c>
      <c r="G195" s="154">
        <f t="shared" si="9"/>
        <v>42.921835236078699</v>
      </c>
      <c r="H195" s="126">
        <f t="shared" si="10"/>
        <v>42.921835236078699</v>
      </c>
      <c r="I195" s="154">
        <f t="shared" si="11"/>
        <v>0</v>
      </c>
      <c r="J195" s="66">
        <f t="shared" si="8"/>
        <v>0</v>
      </c>
      <c r="K195" s="44"/>
    </row>
    <row r="196" spans="1:11" x14ac:dyDescent="0.25">
      <c r="A196" s="57">
        <f>'A) Base RI'!A198</f>
        <v>5719</v>
      </c>
      <c r="B196" s="350" t="str">
        <f>'A) Base RI'!B198</f>
        <v>Gingins</v>
      </c>
      <c r="C196" s="109">
        <f>'B) D RI'!U198</f>
        <v>90011.711578947361</v>
      </c>
      <c r="D196" s="126">
        <f>'E) Fact soc'!G202/C196</f>
        <v>25.833016741677667</v>
      </c>
      <c r="E196" s="154">
        <f>'H) Péréquation directe'!I207/C196</f>
        <v>16.02393487082848</v>
      </c>
      <c r="F196" s="126">
        <f>'I) Dépenses thématiques'!P196</f>
        <v>0</v>
      </c>
      <c r="G196" s="154">
        <f t="shared" si="9"/>
        <v>41.856951612506151</v>
      </c>
      <c r="H196" s="126">
        <f t="shared" si="10"/>
        <v>41.856951612506151</v>
      </c>
      <c r="I196" s="154">
        <f t="shared" si="11"/>
        <v>0</v>
      </c>
      <c r="J196" s="66">
        <f t="shared" si="8"/>
        <v>0</v>
      </c>
      <c r="K196" s="44"/>
    </row>
    <row r="197" spans="1:11" x14ac:dyDescent="0.25">
      <c r="A197" s="57">
        <f>'A) Base RI'!A199</f>
        <v>5720</v>
      </c>
      <c r="B197" s="350" t="str">
        <f>'A) Base RI'!B199</f>
        <v>Givrins</v>
      </c>
      <c r="C197" s="109">
        <f>'B) D RI'!U199</f>
        <v>73631.281876138426</v>
      </c>
      <c r="D197" s="126">
        <f>'E) Fact soc'!G203/C197</f>
        <v>21.927198161939717</v>
      </c>
      <c r="E197" s="154">
        <f>'H) Péréquation directe'!I208/C197</f>
        <v>16.605635564919041</v>
      </c>
      <c r="F197" s="126">
        <f>'I) Dépenses thématiques'!P197</f>
        <v>-1.8409437858040768E-2</v>
      </c>
      <c r="G197" s="154">
        <f t="shared" si="9"/>
        <v>38.514424289000715</v>
      </c>
      <c r="H197" s="126">
        <f t="shared" si="10"/>
        <v>38.532833726858755</v>
      </c>
      <c r="I197" s="154">
        <f t="shared" si="11"/>
        <v>0</v>
      </c>
      <c r="J197" s="66">
        <f t="shared" ref="J197:J260" si="12">-I197*C197</f>
        <v>0</v>
      </c>
      <c r="K197" s="44"/>
    </row>
    <row r="198" spans="1:11" x14ac:dyDescent="0.25">
      <c r="A198" s="57">
        <f>'A) Base RI'!A200</f>
        <v>5721</v>
      </c>
      <c r="B198" s="350" t="str">
        <f>'A) Base RI'!B200</f>
        <v>Gland</v>
      </c>
      <c r="C198" s="109">
        <f>'B) D RI'!U200</f>
        <v>541149.08192000003</v>
      </c>
      <c r="D198" s="126">
        <f>'E) Fact soc'!G204/C198</f>
        <v>18.481303549362778</v>
      </c>
      <c r="E198" s="154">
        <f>'H) Péréquation directe'!I209/C198</f>
        <v>3.8429367979879006</v>
      </c>
      <c r="F198" s="126">
        <f>'I) Dépenses thématiques'!P198</f>
        <v>0</v>
      </c>
      <c r="G198" s="154">
        <f t="shared" ref="G198:G261" si="13">SUM(D198:F198)</f>
        <v>22.324240347350678</v>
      </c>
      <c r="H198" s="126">
        <f t="shared" ref="H198:H261" si="14">G198-F198</f>
        <v>22.324240347350678</v>
      </c>
      <c r="I198" s="154">
        <f t="shared" ref="I198:I261" si="15">IF(H198&lt;I$4,H198-I$4,0)</f>
        <v>0</v>
      </c>
      <c r="J198" s="66">
        <f t="shared" si="12"/>
        <v>0</v>
      </c>
      <c r="K198" s="44"/>
    </row>
    <row r="199" spans="1:11" x14ac:dyDescent="0.25">
      <c r="A199" s="57">
        <f>'A) Base RI'!A201</f>
        <v>5722</v>
      </c>
      <c r="B199" s="350" t="str">
        <f>'A) Base RI'!B201</f>
        <v>Grens</v>
      </c>
      <c r="C199" s="109">
        <f>'B) D RI'!U201</f>
        <v>20499.342258064513</v>
      </c>
      <c r="D199" s="126">
        <f>'E) Fact soc'!G205/C199</f>
        <v>24.294671132035898</v>
      </c>
      <c r="E199" s="154">
        <f>'H) Péréquation directe'!I210/C199</f>
        <v>16.99345324203254</v>
      </c>
      <c r="F199" s="126">
        <f>'I) Dépenses thématiques'!P199</f>
        <v>0</v>
      </c>
      <c r="G199" s="154">
        <f t="shared" si="13"/>
        <v>41.288124374068438</v>
      </c>
      <c r="H199" s="126">
        <f t="shared" si="14"/>
        <v>41.288124374068438</v>
      </c>
      <c r="I199" s="154">
        <f t="shared" si="15"/>
        <v>0</v>
      </c>
      <c r="J199" s="66">
        <f t="shared" si="12"/>
        <v>0</v>
      </c>
      <c r="K199" s="44"/>
    </row>
    <row r="200" spans="1:11" x14ac:dyDescent="0.25">
      <c r="A200" s="57">
        <f>'A) Base RI'!A202</f>
        <v>5723</v>
      </c>
      <c r="B200" s="350" t="str">
        <f>'A) Base RI'!B202</f>
        <v>Mies</v>
      </c>
      <c r="C200" s="109">
        <f>'B) D RI'!U202</f>
        <v>621558.82755102031</v>
      </c>
      <c r="D200" s="126">
        <f>'E) Fact soc'!G206/C200</f>
        <v>37.987099308214383</v>
      </c>
      <c r="E200" s="154">
        <f>'H) Péréquation directe'!I211/C200</f>
        <v>13.368832764580413</v>
      </c>
      <c r="F200" s="126">
        <f>'I) Dépenses thématiques'!P200</f>
        <v>0</v>
      </c>
      <c r="G200" s="154">
        <f t="shared" si="13"/>
        <v>51.355932072794793</v>
      </c>
      <c r="H200" s="126">
        <f t="shared" si="14"/>
        <v>51.355932072794793</v>
      </c>
      <c r="I200" s="154">
        <f t="shared" si="15"/>
        <v>0</v>
      </c>
      <c r="J200" s="66">
        <f t="shared" si="12"/>
        <v>0</v>
      </c>
      <c r="K200" s="44"/>
    </row>
    <row r="201" spans="1:11" x14ac:dyDescent="0.25">
      <c r="A201" s="57">
        <f>'A) Base RI'!A203</f>
        <v>5724</v>
      </c>
      <c r="B201" s="350" t="str">
        <f>'A) Base RI'!B203</f>
        <v>Nyon</v>
      </c>
      <c r="C201" s="109">
        <f>'B) D RI'!U203</f>
        <v>1418675.3806683479</v>
      </c>
      <c r="D201" s="126">
        <f>'E) Fact soc'!G207/C201</f>
        <v>23.103612439786815</v>
      </c>
      <c r="E201" s="154">
        <f>'H) Péréquation directe'!I212/C201</f>
        <v>7.6261666712886207</v>
      </c>
      <c r="F201" s="126">
        <f>'I) Dépenses thématiques'!P201</f>
        <v>0</v>
      </c>
      <c r="G201" s="154">
        <f t="shared" si="13"/>
        <v>30.729779111075437</v>
      </c>
      <c r="H201" s="126">
        <f t="shared" si="14"/>
        <v>30.729779111075437</v>
      </c>
      <c r="I201" s="154">
        <f t="shared" si="15"/>
        <v>0</v>
      </c>
      <c r="J201" s="66">
        <f t="shared" si="12"/>
        <v>0</v>
      </c>
      <c r="K201" s="44"/>
    </row>
    <row r="202" spans="1:11" x14ac:dyDescent="0.25">
      <c r="A202" s="57">
        <f>'A) Base RI'!A204</f>
        <v>5725</v>
      </c>
      <c r="B202" s="350" t="str">
        <f>'A) Base RI'!B204</f>
        <v>Prangins</v>
      </c>
      <c r="C202" s="109">
        <f>'B) D RI'!U204</f>
        <v>319840.55765306117</v>
      </c>
      <c r="D202" s="126">
        <f>'E) Fact soc'!G208/C202</f>
        <v>23.530221654324496</v>
      </c>
      <c r="E202" s="154">
        <f>'H) Péréquation directe'!I213/C202</f>
        <v>13.655026192906679</v>
      </c>
      <c r="F202" s="126">
        <f>'I) Dépenses thématiques'!P202</f>
        <v>0</v>
      </c>
      <c r="G202" s="154">
        <f t="shared" si="13"/>
        <v>37.185247847231174</v>
      </c>
      <c r="H202" s="126">
        <f t="shared" si="14"/>
        <v>37.185247847231174</v>
      </c>
      <c r="I202" s="154">
        <f t="shared" si="15"/>
        <v>0</v>
      </c>
      <c r="J202" s="66">
        <f t="shared" si="12"/>
        <v>0</v>
      </c>
      <c r="K202" s="44"/>
    </row>
    <row r="203" spans="1:11" x14ac:dyDescent="0.25">
      <c r="A203" s="57">
        <f>'A) Base RI'!A205</f>
        <v>5726</v>
      </c>
      <c r="B203" s="350" t="str">
        <f>'A) Base RI'!B205</f>
        <v>La Rippe</v>
      </c>
      <c r="C203" s="109">
        <f>'B) D RI'!U205</f>
        <v>62420.845692307696</v>
      </c>
      <c r="D203" s="126">
        <f>'E) Fact soc'!G209/C203</f>
        <v>17.054708161437802</v>
      </c>
      <c r="E203" s="154">
        <f>'H) Péréquation directe'!I214/C203</f>
        <v>16.563793568380479</v>
      </c>
      <c r="F203" s="126">
        <f>'I) Dépenses thématiques'!P203</f>
        <v>-0.4357682554929499</v>
      </c>
      <c r="G203" s="154">
        <f t="shared" si="13"/>
        <v>33.182733474325325</v>
      </c>
      <c r="H203" s="126">
        <f t="shared" si="14"/>
        <v>33.618501729818277</v>
      </c>
      <c r="I203" s="154">
        <f t="shared" si="15"/>
        <v>0</v>
      </c>
      <c r="J203" s="66">
        <f t="shared" si="12"/>
        <v>0</v>
      </c>
      <c r="K203" s="44"/>
    </row>
    <row r="204" spans="1:11" x14ac:dyDescent="0.25">
      <c r="A204" s="57">
        <f>'A) Base RI'!A206</f>
        <v>5727</v>
      </c>
      <c r="B204" s="350" t="str">
        <f>'A) Base RI'!B206</f>
        <v>Saint-Cergue</v>
      </c>
      <c r="C204" s="109">
        <f>'B) D RI'!U206</f>
        <v>94126.01979797981</v>
      </c>
      <c r="D204" s="126">
        <f>'E) Fact soc'!G210/C204</f>
        <v>18.992295412274061</v>
      </c>
      <c r="E204" s="154">
        <f>'H) Péréquation directe'!I215/C204</f>
        <v>8.9543945135646261</v>
      </c>
      <c r="F204" s="126">
        <f>'I) Dépenses thématiques'!P204</f>
        <v>-7.1594170211756314</v>
      </c>
      <c r="G204" s="154">
        <f t="shared" si="13"/>
        <v>20.787272904663055</v>
      </c>
      <c r="H204" s="126">
        <f t="shared" si="14"/>
        <v>27.946689925838687</v>
      </c>
      <c r="I204" s="154">
        <f t="shared" si="15"/>
        <v>0</v>
      </c>
      <c r="J204" s="66">
        <f t="shared" si="12"/>
        <v>0</v>
      </c>
      <c r="K204" s="44"/>
    </row>
    <row r="205" spans="1:11" x14ac:dyDescent="0.25">
      <c r="A205" s="57">
        <f>'A) Base RI'!A207</f>
        <v>5728</v>
      </c>
      <c r="B205" s="350" t="str">
        <f>'A) Base RI'!B207</f>
        <v>Signy-Avenex</v>
      </c>
      <c r="C205" s="109">
        <f>'B) D RI'!U207</f>
        <v>33547.613749999997</v>
      </c>
      <c r="D205" s="126">
        <f>'E) Fact soc'!G211/C205</f>
        <v>24.328170334432862</v>
      </c>
      <c r="E205" s="154">
        <f>'H) Péréquation directe'!I216/C205</f>
        <v>16.816569952314019</v>
      </c>
      <c r="F205" s="126">
        <f>'I) Dépenses thématiques'!P205</f>
        <v>0</v>
      </c>
      <c r="G205" s="154">
        <f t="shared" si="13"/>
        <v>41.144740286746881</v>
      </c>
      <c r="H205" s="126">
        <f t="shared" si="14"/>
        <v>41.144740286746881</v>
      </c>
      <c r="I205" s="154">
        <f t="shared" si="15"/>
        <v>0</v>
      </c>
      <c r="J205" s="66">
        <f t="shared" si="12"/>
        <v>0</v>
      </c>
      <c r="K205" s="44"/>
    </row>
    <row r="206" spans="1:11" x14ac:dyDescent="0.25">
      <c r="A206" s="57">
        <f>'A) Base RI'!A208</f>
        <v>5729</v>
      </c>
      <c r="B206" s="350" t="str">
        <f>'A) Base RI'!B208</f>
        <v>Tannay</v>
      </c>
      <c r="C206" s="109">
        <f>'B) D RI'!U208</f>
        <v>141635.67650273221</v>
      </c>
      <c r="D206" s="126">
        <f>'E) Fact soc'!G212/C206</f>
        <v>26.885589587284631</v>
      </c>
      <c r="E206" s="154">
        <f>'H) Péréquation directe'!I217/C206</f>
        <v>15.256672332163003</v>
      </c>
      <c r="F206" s="126">
        <f>'I) Dépenses thématiques'!P206</f>
        <v>0</v>
      </c>
      <c r="G206" s="154">
        <f t="shared" si="13"/>
        <v>42.142261919447634</v>
      </c>
      <c r="H206" s="126">
        <f t="shared" si="14"/>
        <v>42.142261919447634</v>
      </c>
      <c r="I206" s="154">
        <f t="shared" si="15"/>
        <v>0</v>
      </c>
      <c r="J206" s="66">
        <f t="shared" si="12"/>
        <v>0</v>
      </c>
      <c r="K206" s="44"/>
    </row>
    <row r="207" spans="1:11" x14ac:dyDescent="0.25">
      <c r="A207" s="57">
        <f>'A) Base RI'!A209</f>
        <v>5730</v>
      </c>
      <c r="B207" s="350" t="str">
        <f>'A) Base RI'!B209</f>
        <v>Trélex</v>
      </c>
      <c r="C207" s="109">
        <f>'B) D RI'!U209</f>
        <v>125167.38524366473</v>
      </c>
      <c r="D207" s="126">
        <f>'E) Fact soc'!G213/C207</f>
        <v>24.070165307811262</v>
      </c>
      <c r="E207" s="154">
        <f>'H) Péréquation directe'!I218/C207</f>
        <v>15.433050534864202</v>
      </c>
      <c r="F207" s="126">
        <f>'I) Dépenses thématiques'!P207</f>
        <v>0</v>
      </c>
      <c r="G207" s="154">
        <f t="shared" si="13"/>
        <v>39.503215842675466</v>
      </c>
      <c r="H207" s="126">
        <f t="shared" si="14"/>
        <v>39.503215842675466</v>
      </c>
      <c r="I207" s="154">
        <f t="shared" si="15"/>
        <v>0</v>
      </c>
      <c r="J207" s="66">
        <f t="shared" si="12"/>
        <v>0</v>
      </c>
      <c r="K207" s="44"/>
    </row>
    <row r="208" spans="1:11" x14ac:dyDescent="0.25">
      <c r="A208" s="57">
        <f>'A) Base RI'!A210</f>
        <v>5731</v>
      </c>
      <c r="B208" s="350" t="str">
        <f>'A) Base RI'!B210</f>
        <v>Le Vaud</v>
      </c>
      <c r="C208" s="109">
        <f>'B) D RI'!U210</f>
        <v>47266.974133333322</v>
      </c>
      <c r="D208" s="126">
        <f>'E) Fact soc'!G214/C208</f>
        <v>18.076788693780905</v>
      </c>
      <c r="E208" s="154">
        <f>'H) Péréquation directe'!I219/C208</f>
        <v>10.160268619043435</v>
      </c>
      <c r="F208" s="126">
        <f>'I) Dépenses thématiques'!P208</f>
        <v>-1.3994129082840143</v>
      </c>
      <c r="G208" s="154">
        <f t="shared" si="13"/>
        <v>26.837644404540328</v>
      </c>
      <c r="H208" s="126">
        <f t="shared" si="14"/>
        <v>28.237057312824341</v>
      </c>
      <c r="I208" s="154">
        <f t="shared" si="15"/>
        <v>0</v>
      </c>
      <c r="J208" s="66">
        <f t="shared" si="12"/>
        <v>0</v>
      </c>
      <c r="K208" s="44"/>
    </row>
    <row r="209" spans="1:11" x14ac:dyDescent="0.25">
      <c r="A209" s="57">
        <f>'A) Base RI'!A211</f>
        <v>5732</v>
      </c>
      <c r="B209" s="350" t="str">
        <f>'A) Base RI'!B211</f>
        <v>Vich</v>
      </c>
      <c r="C209" s="109">
        <f>'B) D RI'!U211</f>
        <v>76343.818235294122</v>
      </c>
      <c r="D209" s="126">
        <f>'E) Fact soc'!G215/C209</f>
        <v>24.645104421875079</v>
      </c>
      <c r="E209" s="154">
        <f>'H) Péréquation directe'!I220/C209</f>
        <v>16.444090227648218</v>
      </c>
      <c r="F209" s="126">
        <f>'I) Dépenses thématiques'!P209</f>
        <v>0</v>
      </c>
      <c r="G209" s="154">
        <f t="shared" si="13"/>
        <v>41.089194649523293</v>
      </c>
      <c r="H209" s="126">
        <f t="shared" si="14"/>
        <v>41.089194649523293</v>
      </c>
      <c r="I209" s="154">
        <f t="shared" si="15"/>
        <v>0</v>
      </c>
      <c r="J209" s="66">
        <f t="shared" si="12"/>
        <v>0</v>
      </c>
      <c r="K209" s="44"/>
    </row>
    <row r="210" spans="1:11" x14ac:dyDescent="0.25">
      <c r="A210" s="57">
        <f>'A) Base RI'!A212</f>
        <v>5741</v>
      </c>
      <c r="B210" s="350" t="str">
        <f>'A) Base RI'!B212</f>
        <v>L'Abergement</v>
      </c>
      <c r="C210" s="109">
        <f>'B) D RI'!U212</f>
        <v>6474.3855761316872</v>
      </c>
      <c r="D210" s="126">
        <f>'E) Fact soc'!G216/C210</f>
        <v>18.120918216317587</v>
      </c>
      <c r="E210" s="154">
        <f>'H) Péréquation directe'!I221/C210</f>
        <v>-2.6295468200554959</v>
      </c>
      <c r="F210" s="126">
        <f>'I) Dépenses thématiques'!P210</f>
        <v>-7.6275297668690705</v>
      </c>
      <c r="G210" s="154">
        <f t="shared" si="13"/>
        <v>7.863841629393022</v>
      </c>
      <c r="H210" s="126">
        <f t="shared" si="14"/>
        <v>15.491371396262092</v>
      </c>
      <c r="I210" s="154">
        <f t="shared" si="15"/>
        <v>0</v>
      </c>
      <c r="J210" s="66">
        <f t="shared" si="12"/>
        <v>0</v>
      </c>
      <c r="K210" s="44"/>
    </row>
    <row r="211" spans="1:11" x14ac:dyDescent="0.25">
      <c r="A211" s="57">
        <f>'A) Base RI'!A213</f>
        <v>5742</v>
      </c>
      <c r="B211" s="350" t="str">
        <f>'A) Base RI'!B213</f>
        <v>Agiez</v>
      </c>
      <c r="C211" s="109">
        <f>'B) D RI'!U213</f>
        <v>8406.0221052631568</v>
      </c>
      <c r="D211" s="126">
        <f>'E) Fact soc'!G217/C211</f>
        <v>20.842612733816846</v>
      </c>
      <c r="E211" s="154">
        <f>'H) Péréquation directe'!I222/C211</f>
        <v>2.0259143923412402</v>
      </c>
      <c r="F211" s="126">
        <f>'I) Dépenses thématiques'!P211</f>
        <v>-1.4678735203400157</v>
      </c>
      <c r="G211" s="154">
        <f t="shared" si="13"/>
        <v>21.400653605818068</v>
      </c>
      <c r="H211" s="126">
        <f t="shared" si="14"/>
        <v>22.868527126158085</v>
      </c>
      <c r="I211" s="154">
        <f t="shared" si="15"/>
        <v>0</v>
      </c>
      <c r="J211" s="66">
        <f t="shared" si="12"/>
        <v>0</v>
      </c>
      <c r="K211" s="44"/>
    </row>
    <row r="212" spans="1:11" x14ac:dyDescent="0.25">
      <c r="A212" s="57">
        <f>'A) Base RI'!A214</f>
        <v>5743</v>
      </c>
      <c r="B212" s="350" t="str">
        <f>'A) Base RI'!B214</f>
        <v>Arnex-sur-Orbe</v>
      </c>
      <c r="C212" s="109">
        <f>'B) D RI'!U214</f>
        <v>16157.310890410963</v>
      </c>
      <c r="D212" s="126">
        <f>'E) Fact soc'!G218/C212</f>
        <v>16.515436299270569</v>
      </c>
      <c r="E212" s="154">
        <f>'H) Péréquation directe'!I223/C212</f>
        <v>-1.4626429348901728</v>
      </c>
      <c r="F212" s="126">
        <f>'I) Dépenses thématiques'!P212</f>
        <v>-1.5514372222393242</v>
      </c>
      <c r="G212" s="154">
        <f t="shared" si="13"/>
        <v>13.501356142141072</v>
      </c>
      <c r="H212" s="126">
        <f t="shared" si="14"/>
        <v>15.052793364380396</v>
      </c>
      <c r="I212" s="154">
        <f t="shared" si="15"/>
        <v>0</v>
      </c>
      <c r="J212" s="66">
        <f t="shared" si="12"/>
        <v>0</v>
      </c>
      <c r="K212" s="44"/>
    </row>
    <row r="213" spans="1:11" x14ac:dyDescent="0.25">
      <c r="A213" s="57">
        <f>'A) Base RI'!A215</f>
        <v>5744</v>
      </c>
      <c r="B213" s="350" t="str">
        <f>'A) Base RI'!B215</f>
        <v>Ballaigues</v>
      </c>
      <c r="C213" s="109">
        <f>'B) D RI'!U215</f>
        <v>67876.800151515155</v>
      </c>
      <c r="D213" s="126">
        <f>'E) Fact soc'!G219/C213</f>
        <v>24.140982896113844</v>
      </c>
      <c r="E213" s="154">
        <f>'H) Péréquation directe'!I224/C213</f>
        <v>16.525952494617574</v>
      </c>
      <c r="F213" s="126">
        <f>'I) Dépenses thématiques'!P213</f>
        <v>-10.985031790620624</v>
      </c>
      <c r="G213" s="154">
        <f t="shared" si="13"/>
        <v>29.681903600110793</v>
      </c>
      <c r="H213" s="126">
        <f t="shared" si="14"/>
        <v>40.666935390731417</v>
      </c>
      <c r="I213" s="154">
        <f t="shared" si="15"/>
        <v>0</v>
      </c>
      <c r="J213" s="66">
        <f t="shared" si="12"/>
        <v>0</v>
      </c>
      <c r="K213" s="44"/>
    </row>
    <row r="214" spans="1:11" x14ac:dyDescent="0.25">
      <c r="A214" s="57">
        <f>'A) Base RI'!A216</f>
        <v>5745</v>
      </c>
      <c r="B214" s="350" t="str">
        <f>'A) Base RI'!B216</f>
        <v>Baulmes</v>
      </c>
      <c r="C214" s="109">
        <f>'B) D RI'!U216</f>
        <v>26708.244230769233</v>
      </c>
      <c r="D214" s="126">
        <f>'E) Fact soc'!G220/C214</f>
        <v>18.23358335899043</v>
      </c>
      <c r="E214" s="154">
        <f>'H) Péréquation directe'!I225/C214</f>
        <v>-4.7573175898328355</v>
      </c>
      <c r="F214" s="126">
        <f>'I) Dépenses thématiques'!P214</f>
        <v>-13.022923007556944</v>
      </c>
      <c r="G214" s="154">
        <f t="shared" si="13"/>
        <v>0.45334276160065023</v>
      </c>
      <c r="H214" s="126">
        <f t="shared" si="14"/>
        <v>13.476265769157594</v>
      </c>
      <c r="I214" s="154">
        <f t="shared" si="15"/>
        <v>0</v>
      </c>
      <c r="J214" s="66">
        <f t="shared" si="12"/>
        <v>0</v>
      </c>
      <c r="K214" s="44"/>
    </row>
    <row r="215" spans="1:11" x14ac:dyDescent="0.25">
      <c r="A215" s="57">
        <f>'A) Base RI'!A217</f>
        <v>5746</v>
      </c>
      <c r="B215" s="350" t="str">
        <f>'A) Base RI'!B217</f>
        <v>Bavois</v>
      </c>
      <c r="C215" s="109">
        <f>'B) D RI'!U217</f>
        <v>26575.73502283105</v>
      </c>
      <c r="D215" s="126">
        <f>'E) Fact soc'!G221/C215</f>
        <v>17.263402012353222</v>
      </c>
      <c r="E215" s="154">
        <f>'H) Péréquation directe'!I226/C215</f>
        <v>2.5522737888814011</v>
      </c>
      <c r="F215" s="126">
        <f>'I) Dépenses thématiques'!P215</f>
        <v>-41.231276106246739</v>
      </c>
      <c r="G215" s="154">
        <f t="shared" si="13"/>
        <v>-21.415600305012116</v>
      </c>
      <c r="H215" s="126">
        <f t="shared" si="14"/>
        <v>19.815675801234622</v>
      </c>
      <c r="I215" s="154">
        <f t="shared" si="15"/>
        <v>0</v>
      </c>
      <c r="J215" s="66">
        <f t="shared" si="12"/>
        <v>0</v>
      </c>
      <c r="K215" s="44"/>
    </row>
    <row r="216" spans="1:11" x14ac:dyDescent="0.25">
      <c r="A216" s="57">
        <f>'A) Base RI'!A218</f>
        <v>5747</v>
      </c>
      <c r="B216" s="350" t="str">
        <f>'A) Base RI'!B218</f>
        <v>Bofflens</v>
      </c>
      <c r="C216" s="109">
        <f>'B) D RI'!U218</f>
        <v>5307.8250724637683</v>
      </c>
      <c r="D216" s="126">
        <f>'E) Fact soc'!G222/C216</f>
        <v>16.51758549929519</v>
      </c>
      <c r="E216" s="154">
        <f>'H) Péréquation directe'!I227/C216</f>
        <v>3.8306097618888915</v>
      </c>
      <c r="F216" s="126">
        <f>'I) Dépenses thématiques'!P216</f>
        <v>-1.0846504250217406</v>
      </c>
      <c r="G216" s="154">
        <f t="shared" si="13"/>
        <v>19.263544836162339</v>
      </c>
      <c r="H216" s="126">
        <f t="shared" si="14"/>
        <v>20.348195261184081</v>
      </c>
      <c r="I216" s="154">
        <f t="shared" si="15"/>
        <v>0</v>
      </c>
      <c r="J216" s="66">
        <f t="shared" si="12"/>
        <v>0</v>
      </c>
      <c r="K216" s="44"/>
    </row>
    <row r="217" spans="1:11" x14ac:dyDescent="0.25">
      <c r="A217" s="57">
        <f>'A) Base RI'!A219</f>
        <v>5748</v>
      </c>
      <c r="B217" s="350" t="str">
        <f>'A) Base RI'!B219</f>
        <v>Bretonnières</v>
      </c>
      <c r="C217" s="109">
        <f>'B) D RI'!U219</f>
        <v>7260.9913888888877</v>
      </c>
      <c r="D217" s="126">
        <f>'E) Fact soc'!G223/C217</f>
        <v>18.838773772479684</v>
      </c>
      <c r="E217" s="154">
        <f>'H) Péréquation directe'!I228/C217</f>
        <v>2.6933782607943813</v>
      </c>
      <c r="F217" s="126">
        <f>'I) Dépenses thématiques'!P217</f>
        <v>-0.49538678830503768</v>
      </c>
      <c r="G217" s="154">
        <f t="shared" si="13"/>
        <v>21.036765244969029</v>
      </c>
      <c r="H217" s="126">
        <f t="shared" si="14"/>
        <v>21.532152033274066</v>
      </c>
      <c r="I217" s="154">
        <f t="shared" si="15"/>
        <v>0</v>
      </c>
      <c r="J217" s="66">
        <f t="shared" si="12"/>
        <v>0</v>
      </c>
      <c r="K217" s="44"/>
    </row>
    <row r="218" spans="1:11" x14ac:dyDescent="0.25">
      <c r="A218" s="57">
        <f>'A) Base RI'!A220</f>
        <v>5749</v>
      </c>
      <c r="B218" s="350" t="str">
        <f>'A) Base RI'!B220</f>
        <v>Chavornay</v>
      </c>
      <c r="C218" s="109">
        <f>'B) D RI'!U220</f>
        <v>132615.92523493644</v>
      </c>
      <c r="D218" s="126">
        <f>'E) Fact soc'!G224/C218</f>
        <v>19.477249597571454</v>
      </c>
      <c r="E218" s="154">
        <f>'H) Péréquation directe'!I229/C218</f>
        <v>-7.379422532678598</v>
      </c>
      <c r="F218" s="126">
        <f>'I) Dépenses thématiques'!P218</f>
        <v>-125.16979877232789</v>
      </c>
      <c r="G218" s="154">
        <f t="shared" si="13"/>
        <v>-113.07197170743504</v>
      </c>
      <c r="H218" s="126">
        <f t="shared" si="14"/>
        <v>12.097827064892854</v>
      </c>
      <c r="I218" s="154">
        <f t="shared" si="15"/>
        <v>0</v>
      </c>
      <c r="J218" s="66">
        <f t="shared" si="12"/>
        <v>0</v>
      </c>
      <c r="K218" s="44"/>
    </row>
    <row r="219" spans="1:11" x14ac:dyDescent="0.25">
      <c r="A219" s="57">
        <f>'A) Base RI'!A221</f>
        <v>5750</v>
      </c>
      <c r="B219" s="350" t="str">
        <f>'A) Base RI'!B221</f>
        <v>Les Clées</v>
      </c>
      <c r="C219" s="109">
        <f>'B) D RI'!U221</f>
        <v>4790.0727916666665</v>
      </c>
      <c r="D219" s="126">
        <f>'E) Fact soc'!G225/C219</f>
        <v>17.469404400236915</v>
      </c>
      <c r="E219" s="154">
        <f>'H) Péréquation directe'!I230/C219</f>
        <v>-1.7834608308868614</v>
      </c>
      <c r="F219" s="126">
        <f>'I) Dépenses thématiques'!P219</f>
        <v>-4.9753393551603606</v>
      </c>
      <c r="G219" s="154">
        <f t="shared" si="13"/>
        <v>10.710604214189694</v>
      </c>
      <c r="H219" s="126">
        <f t="shared" si="14"/>
        <v>15.685943569350055</v>
      </c>
      <c r="I219" s="154">
        <f t="shared" si="15"/>
        <v>0</v>
      </c>
      <c r="J219" s="66">
        <f t="shared" si="12"/>
        <v>0</v>
      </c>
      <c r="K219" s="44"/>
    </row>
    <row r="220" spans="1:11" x14ac:dyDescent="0.25">
      <c r="A220" s="57">
        <f>'A) Base RI'!A222</f>
        <v>5752</v>
      </c>
      <c r="B220" s="350" t="str">
        <f>'A) Base RI'!B222</f>
        <v>Croy</v>
      </c>
      <c r="C220" s="109">
        <f>'B) D RI'!U222</f>
        <v>9213.5061196911174</v>
      </c>
      <c r="D220" s="126">
        <f>'E) Fact soc'!G226/C220</f>
        <v>17.642864885938991</v>
      </c>
      <c r="E220" s="154">
        <f>'H) Péréquation directe'!I231/C220</f>
        <v>2.0126205479933768E-2</v>
      </c>
      <c r="F220" s="126">
        <f>'I) Dépenses thématiques'!P220</f>
        <v>-56.479711843403251</v>
      </c>
      <c r="G220" s="154">
        <f t="shared" si="13"/>
        <v>-38.816720751984327</v>
      </c>
      <c r="H220" s="126">
        <f t="shared" si="14"/>
        <v>17.662991091418924</v>
      </c>
      <c r="I220" s="154">
        <f t="shared" si="15"/>
        <v>0</v>
      </c>
      <c r="J220" s="66">
        <f t="shared" si="12"/>
        <v>0</v>
      </c>
      <c r="K220" s="44"/>
    </row>
    <row r="221" spans="1:11" x14ac:dyDescent="0.25">
      <c r="A221" s="57">
        <f>'A) Base RI'!A223</f>
        <v>5754</v>
      </c>
      <c r="B221" s="350" t="str">
        <f>'A) Base RI'!B223</f>
        <v>Juriens</v>
      </c>
      <c r="C221" s="109">
        <f>'B) D RI'!U223</f>
        <v>7202.565316455697</v>
      </c>
      <c r="D221" s="126">
        <f>'E) Fact soc'!G227/C221</f>
        <v>17.325116481472783</v>
      </c>
      <c r="E221" s="154">
        <f>'H) Péréquation directe'!I232/C221</f>
        <v>-7.7222849368436286</v>
      </c>
      <c r="F221" s="126">
        <f>'I) Dépenses thématiques'!P221</f>
        <v>-4.5352469342062589</v>
      </c>
      <c r="G221" s="154">
        <f t="shared" si="13"/>
        <v>5.0675846104228954</v>
      </c>
      <c r="H221" s="126">
        <f t="shared" si="14"/>
        <v>9.6028315446291543</v>
      </c>
      <c r="I221" s="154">
        <f t="shared" si="15"/>
        <v>0</v>
      </c>
      <c r="J221" s="66">
        <f t="shared" si="12"/>
        <v>0</v>
      </c>
      <c r="K221" s="44"/>
    </row>
    <row r="222" spans="1:11" x14ac:dyDescent="0.25">
      <c r="A222" s="57">
        <f>'A) Base RI'!A224</f>
        <v>5755</v>
      </c>
      <c r="B222" s="350" t="str">
        <f>'A) Base RI'!B224</f>
        <v>Lignerolle</v>
      </c>
      <c r="C222" s="109">
        <f>'B) D RI'!U224</f>
        <v>9116.1979107142852</v>
      </c>
      <c r="D222" s="126">
        <f>'E) Fact soc'!G228/C222</f>
        <v>19.465217328404851</v>
      </c>
      <c r="E222" s="154">
        <f>'H) Péréquation directe'!I233/C222</f>
        <v>-11.426401201942936</v>
      </c>
      <c r="F222" s="126">
        <f>'I) Dépenses thématiques'!P222</f>
        <v>-12.7144444719641</v>
      </c>
      <c r="G222" s="154">
        <f t="shared" si="13"/>
        <v>-4.6756283455021848</v>
      </c>
      <c r="H222" s="126">
        <f t="shared" si="14"/>
        <v>8.0388161264619153</v>
      </c>
      <c r="I222" s="154">
        <f t="shared" si="15"/>
        <v>0</v>
      </c>
      <c r="J222" s="66">
        <f t="shared" si="12"/>
        <v>0</v>
      </c>
      <c r="K222" s="44"/>
    </row>
    <row r="223" spans="1:11" x14ac:dyDescent="0.25">
      <c r="A223" s="57">
        <f>'A) Base RI'!A225</f>
        <v>5756</v>
      </c>
      <c r="B223" s="350" t="str">
        <f>'A) Base RI'!B225</f>
        <v>Montcherand</v>
      </c>
      <c r="C223" s="109">
        <f>'B) D RI'!U225</f>
        <v>14643.939999999999</v>
      </c>
      <c r="D223" s="126">
        <f>'E) Fact soc'!G229/C223</f>
        <v>19.442687592042692</v>
      </c>
      <c r="E223" s="154">
        <f>'H) Péréquation directe'!I234/C223</f>
        <v>6.3224310232720375</v>
      </c>
      <c r="F223" s="126">
        <f>'I) Dépenses thématiques'!P223</f>
        <v>-0.22126218668497027</v>
      </c>
      <c r="G223" s="154">
        <f t="shared" si="13"/>
        <v>25.543856428629759</v>
      </c>
      <c r="H223" s="126">
        <f t="shared" si="14"/>
        <v>25.76511861531473</v>
      </c>
      <c r="I223" s="154">
        <f t="shared" si="15"/>
        <v>0</v>
      </c>
      <c r="J223" s="66">
        <f t="shared" si="12"/>
        <v>0</v>
      </c>
      <c r="K223" s="44"/>
    </row>
    <row r="224" spans="1:11" x14ac:dyDescent="0.25">
      <c r="A224" s="57">
        <f>'A) Base RI'!A226</f>
        <v>5757</v>
      </c>
      <c r="B224" s="350" t="str">
        <f>'A) Base RI'!B226</f>
        <v>Orbe</v>
      </c>
      <c r="C224" s="109">
        <f>'B) D RI'!U226</f>
        <v>219459.11337837842</v>
      </c>
      <c r="D224" s="126">
        <f>'E) Fact soc'!G230/C224</f>
        <v>19.855206957389029</v>
      </c>
      <c r="E224" s="154">
        <f>'H) Péréquation directe'!I235/C224</f>
        <v>-2.9890677166999238</v>
      </c>
      <c r="F224" s="126">
        <f>'I) Dépenses thématiques'!P224</f>
        <v>-377.4378089019479</v>
      </c>
      <c r="G224" s="154">
        <f t="shared" si="13"/>
        <v>-360.5716696612588</v>
      </c>
      <c r="H224" s="126">
        <f t="shared" si="14"/>
        <v>16.866139240689108</v>
      </c>
      <c r="I224" s="154">
        <f t="shared" si="15"/>
        <v>0</v>
      </c>
      <c r="J224" s="66">
        <f t="shared" si="12"/>
        <v>0</v>
      </c>
      <c r="K224" s="44"/>
    </row>
    <row r="225" spans="1:11" x14ac:dyDescent="0.25">
      <c r="A225" s="57">
        <f>'A) Base RI'!A227</f>
        <v>5758</v>
      </c>
      <c r="B225" s="350" t="str">
        <f>'A) Base RI'!B227</f>
        <v>La Praz</v>
      </c>
      <c r="C225" s="109">
        <f>'B) D RI'!U227</f>
        <v>3792.6817536813919</v>
      </c>
      <c r="D225" s="126">
        <f>'E) Fact soc'!G231/C225</f>
        <v>16.655612289887603</v>
      </c>
      <c r="E225" s="154">
        <f>'H) Péréquation directe'!I236/C225</f>
        <v>-10.038599245720647</v>
      </c>
      <c r="F225" s="126">
        <f>'I) Dépenses thématiques'!P225</f>
        <v>-4.4182530050407678</v>
      </c>
      <c r="G225" s="154">
        <f t="shared" si="13"/>
        <v>2.1987600391261886</v>
      </c>
      <c r="H225" s="126">
        <f t="shared" si="14"/>
        <v>6.6170130441669563</v>
      </c>
      <c r="I225" s="154">
        <f t="shared" si="15"/>
        <v>0</v>
      </c>
      <c r="J225" s="66">
        <f t="shared" si="12"/>
        <v>0</v>
      </c>
      <c r="K225" s="44"/>
    </row>
    <row r="226" spans="1:11" x14ac:dyDescent="0.25">
      <c r="A226" s="57">
        <f>'A) Base RI'!A228</f>
        <v>5759</v>
      </c>
      <c r="B226" s="350" t="str">
        <f>'A) Base RI'!B228</f>
        <v>Premier</v>
      </c>
      <c r="C226" s="109">
        <f>'B) D RI'!U228</f>
        <v>4689.5245679012341</v>
      </c>
      <c r="D226" s="126">
        <f>'E) Fact soc'!G232/C226</f>
        <v>15.788457276018795</v>
      </c>
      <c r="E226" s="154">
        <f>'H) Péréquation directe'!I237/C226</f>
        <v>-8.6982115796489463</v>
      </c>
      <c r="F226" s="126">
        <f>'I) Dépenses thématiques'!P226</f>
        <v>-5.9248820075340181</v>
      </c>
      <c r="G226" s="154">
        <f t="shared" si="13"/>
        <v>1.1653636888358303</v>
      </c>
      <c r="H226" s="126">
        <f t="shared" si="14"/>
        <v>7.0902456963698484</v>
      </c>
      <c r="I226" s="154">
        <f t="shared" si="15"/>
        <v>0</v>
      </c>
      <c r="J226" s="66">
        <f t="shared" si="12"/>
        <v>0</v>
      </c>
      <c r="K226" s="44"/>
    </row>
    <row r="227" spans="1:11" x14ac:dyDescent="0.25">
      <c r="A227" s="57">
        <f>'A) Base RI'!A229</f>
        <v>5760</v>
      </c>
      <c r="B227" s="350" t="str">
        <f>'A) Base RI'!B229</f>
        <v>Rances</v>
      </c>
      <c r="C227" s="109">
        <f>'B) D RI'!U229</f>
        <v>13227.609572649571</v>
      </c>
      <c r="D227" s="126">
        <f>'E) Fact soc'!G233/C227</f>
        <v>23.231480945924879</v>
      </c>
      <c r="E227" s="154">
        <f>'H) Péréquation directe'!I238/C227</f>
        <v>0.23316799043038958</v>
      </c>
      <c r="F227" s="126">
        <f>'I) Dépenses thématiques'!P227</f>
        <v>-9.3465718501819897</v>
      </c>
      <c r="G227" s="154">
        <f t="shared" si="13"/>
        <v>14.118077086173278</v>
      </c>
      <c r="H227" s="126">
        <f t="shared" si="14"/>
        <v>23.464648936355267</v>
      </c>
      <c r="I227" s="154">
        <f t="shared" si="15"/>
        <v>0</v>
      </c>
      <c r="J227" s="66">
        <f t="shared" si="12"/>
        <v>0</v>
      </c>
      <c r="K227" s="44"/>
    </row>
    <row r="228" spans="1:11" x14ac:dyDescent="0.25">
      <c r="A228" s="57">
        <f>'A) Base RI'!A230</f>
        <v>5761</v>
      </c>
      <c r="B228" s="350" t="str">
        <f>'A) Base RI'!B230</f>
        <v>Romainmôtier-Envy</v>
      </c>
      <c r="C228" s="109">
        <f>'B) D RI'!U230</f>
        <v>12165.915592105261</v>
      </c>
      <c r="D228" s="126">
        <f>'E) Fact soc'!G234/C228</f>
        <v>21.202965554237718</v>
      </c>
      <c r="E228" s="154">
        <f>'H) Péréquation directe'!I239/C228</f>
        <v>-9.4232433269932123</v>
      </c>
      <c r="F228" s="126">
        <f>'I) Dépenses thématiques'!P228</f>
        <v>-13.669306738162739</v>
      </c>
      <c r="G228" s="154">
        <f t="shared" si="13"/>
        <v>-1.8895845109182332</v>
      </c>
      <c r="H228" s="126">
        <f t="shared" si="14"/>
        <v>11.779722227244505</v>
      </c>
      <c r="I228" s="154">
        <f t="shared" si="15"/>
        <v>0</v>
      </c>
      <c r="J228" s="66">
        <f t="shared" si="12"/>
        <v>0</v>
      </c>
      <c r="K228" s="44"/>
    </row>
    <row r="229" spans="1:11" x14ac:dyDescent="0.25">
      <c r="A229" s="57">
        <f>'A) Base RI'!A231</f>
        <v>5762</v>
      </c>
      <c r="B229" s="350" t="str">
        <f>'A) Base RI'!B231</f>
        <v>Sergey</v>
      </c>
      <c r="C229" s="109">
        <f>'B) D RI'!U231</f>
        <v>3586.5485897435897</v>
      </c>
      <c r="D229" s="126">
        <f>'E) Fact soc'!G235/C229</f>
        <v>16.267859709474795</v>
      </c>
      <c r="E229" s="154">
        <f>'H) Péréquation directe'!I240/C229</f>
        <v>-3.691331006941744</v>
      </c>
      <c r="F229" s="126">
        <f>'I) Dépenses thématiques'!P229</f>
        <v>-1.7097762273871893</v>
      </c>
      <c r="G229" s="154">
        <f t="shared" si="13"/>
        <v>10.86675247514586</v>
      </c>
      <c r="H229" s="126">
        <f t="shared" si="14"/>
        <v>12.57652870253305</v>
      </c>
      <c r="I229" s="154">
        <f t="shared" si="15"/>
        <v>0</v>
      </c>
      <c r="J229" s="66">
        <f t="shared" si="12"/>
        <v>0</v>
      </c>
      <c r="K229" s="44"/>
    </row>
    <row r="230" spans="1:11" x14ac:dyDescent="0.25">
      <c r="A230" s="57">
        <f>'A) Base RI'!A232</f>
        <v>5763</v>
      </c>
      <c r="B230" s="350" t="str">
        <f>'A) Base RI'!B232</f>
        <v>Valeyres-sous-Rances</v>
      </c>
      <c r="C230" s="109">
        <f>'B) D RI'!U232</f>
        <v>16085.850769230768</v>
      </c>
      <c r="D230" s="126">
        <f>'E) Fact soc'!G236/C230</f>
        <v>18.216646538213748</v>
      </c>
      <c r="E230" s="154">
        <f>'H) Péréquation directe'!I241/C230</f>
        <v>2.2700696889694756</v>
      </c>
      <c r="F230" s="126">
        <f>'I) Dépenses thématiques'!P230</f>
        <v>-1.6244548721602519</v>
      </c>
      <c r="G230" s="154">
        <f t="shared" si="13"/>
        <v>18.862261355022969</v>
      </c>
      <c r="H230" s="126">
        <f t="shared" si="14"/>
        <v>20.486716227183223</v>
      </c>
      <c r="I230" s="154">
        <f t="shared" si="15"/>
        <v>0</v>
      </c>
      <c r="J230" s="66">
        <f t="shared" si="12"/>
        <v>0</v>
      </c>
      <c r="K230" s="44"/>
    </row>
    <row r="231" spans="1:11" x14ac:dyDescent="0.25">
      <c r="A231" s="57">
        <f>'A) Base RI'!A233</f>
        <v>5764</v>
      </c>
      <c r="B231" s="350" t="str">
        <f>'A) Base RI'!B233</f>
        <v>Vallorbe</v>
      </c>
      <c r="C231" s="109">
        <f>'B) D RI'!U233</f>
        <v>84513.608378378369</v>
      </c>
      <c r="D231" s="126">
        <f>'E) Fact soc'!G237/C231</f>
        <v>25.252439214409488</v>
      </c>
      <c r="E231" s="154">
        <f>'H) Péréquation directe'!I242/C231</f>
        <v>-16.914173817136419</v>
      </c>
      <c r="F231" s="126">
        <f>'I) Dépenses thématiques'!P231</f>
        <v>-169.36758554782995</v>
      </c>
      <c r="G231" s="154">
        <f t="shared" si="13"/>
        <v>-161.02932015055688</v>
      </c>
      <c r="H231" s="126">
        <f t="shared" si="14"/>
        <v>8.3382653972730623</v>
      </c>
      <c r="I231" s="154">
        <f t="shared" si="15"/>
        <v>0</v>
      </c>
      <c r="J231" s="66">
        <f t="shared" si="12"/>
        <v>0</v>
      </c>
      <c r="K231" s="44"/>
    </row>
    <row r="232" spans="1:11" x14ac:dyDescent="0.25">
      <c r="A232" s="57">
        <f>'A) Base RI'!A234</f>
        <v>5765</v>
      </c>
      <c r="B232" s="350" t="str">
        <f>'A) Base RI'!B234</f>
        <v>Vaulion</v>
      </c>
      <c r="C232" s="109">
        <f>'B) D RI'!U234</f>
        <v>10199.027160493826</v>
      </c>
      <c r="D232" s="126">
        <f>'E) Fact soc'!G238/C232</f>
        <v>17.039619083558211</v>
      </c>
      <c r="E232" s="154">
        <f>'H) Péréquation directe'!I243/C232</f>
        <v>-17.225330344528277</v>
      </c>
      <c r="F232" s="126">
        <f>'I) Dépenses thématiques'!P232</f>
        <v>-11.088062407492094</v>
      </c>
      <c r="G232" s="154">
        <f t="shared" si="13"/>
        <v>-11.273773668462161</v>
      </c>
      <c r="H232" s="126">
        <f t="shared" si="14"/>
        <v>-0.18571126097006641</v>
      </c>
      <c r="I232" s="154">
        <f t="shared" si="15"/>
        <v>0</v>
      </c>
      <c r="J232" s="66">
        <f t="shared" si="12"/>
        <v>0</v>
      </c>
      <c r="K232" s="44"/>
    </row>
    <row r="233" spans="1:11" x14ac:dyDescent="0.25">
      <c r="A233" s="57">
        <f>'A) Base RI'!A235</f>
        <v>5766</v>
      </c>
      <c r="B233" s="350" t="str">
        <f>'A) Base RI'!B235</f>
        <v>Vuiteboeuf</v>
      </c>
      <c r="C233" s="109">
        <f>'B) D RI'!U235</f>
        <v>13023.960575139146</v>
      </c>
      <c r="D233" s="126">
        <f>'E) Fact soc'!G239/C233</f>
        <v>17.293655019596198</v>
      </c>
      <c r="E233" s="154">
        <f>'H) Péréquation directe'!I244/C233</f>
        <v>-7.4930361778012822</v>
      </c>
      <c r="F233" s="126">
        <f>'I) Dépenses thématiques'!P233</f>
        <v>-8.7033139224619784</v>
      </c>
      <c r="G233" s="154">
        <f t="shared" si="13"/>
        <v>1.0973049193329363</v>
      </c>
      <c r="H233" s="126">
        <f t="shared" si="14"/>
        <v>9.8006188417949147</v>
      </c>
      <c r="I233" s="154">
        <f t="shared" si="15"/>
        <v>0</v>
      </c>
      <c r="J233" s="66">
        <f t="shared" si="12"/>
        <v>0</v>
      </c>
      <c r="K233" s="44"/>
    </row>
    <row r="234" spans="1:11" x14ac:dyDescent="0.25">
      <c r="A234" s="57">
        <f>'A) Base RI'!A236</f>
        <v>5785</v>
      </c>
      <c r="B234" s="350" t="str">
        <f>'A) Base RI'!B236</f>
        <v>Corcelles-le-Jorat</v>
      </c>
      <c r="C234" s="109">
        <f>'B) D RI'!U236</f>
        <v>12275.22831168831</v>
      </c>
      <c r="D234" s="126">
        <f>'E) Fact soc'!G240/C234</f>
        <v>16.726482815115038</v>
      </c>
      <c r="E234" s="154">
        <f>'H) Péréquation directe'!I245/C234</f>
        <v>1.9454769680610591</v>
      </c>
      <c r="F234" s="126">
        <f>'I) Dépenses thématiques'!P234</f>
        <v>-5.5487222298237935</v>
      </c>
      <c r="G234" s="154">
        <f t="shared" si="13"/>
        <v>13.123237553352302</v>
      </c>
      <c r="H234" s="126">
        <f t="shared" si="14"/>
        <v>18.671959783176096</v>
      </c>
      <c r="I234" s="154">
        <f t="shared" si="15"/>
        <v>0</v>
      </c>
      <c r="J234" s="66">
        <f t="shared" si="12"/>
        <v>0</v>
      </c>
      <c r="K234" s="44"/>
    </row>
    <row r="235" spans="1:11" x14ac:dyDescent="0.25">
      <c r="A235" s="57">
        <f>'A) Base RI'!A237</f>
        <v>5788</v>
      </c>
      <c r="B235" s="350" t="str">
        <f>'A) Base RI'!B237</f>
        <v>Essertes</v>
      </c>
      <c r="C235" s="109">
        <f>'B) D RI'!U237</f>
        <v>9663.2152777777756</v>
      </c>
      <c r="D235" s="126">
        <f>'E) Fact soc'!G241/C235</f>
        <v>16.536591039687298</v>
      </c>
      <c r="E235" s="154">
        <f>'H) Péréquation directe'!I246/C235</f>
        <v>3.5886617081618897</v>
      </c>
      <c r="F235" s="126">
        <f>'I) Dépenses thématiques'!P235</f>
        <v>-0.23960770702464948</v>
      </c>
      <c r="G235" s="154">
        <f t="shared" si="13"/>
        <v>19.885645040824539</v>
      </c>
      <c r="H235" s="126">
        <f t="shared" si="14"/>
        <v>20.125252747849188</v>
      </c>
      <c r="I235" s="154">
        <f t="shared" si="15"/>
        <v>0</v>
      </c>
      <c r="J235" s="66">
        <f t="shared" si="12"/>
        <v>0</v>
      </c>
      <c r="K235" s="44"/>
    </row>
    <row r="236" spans="1:11" x14ac:dyDescent="0.25">
      <c r="A236" s="57">
        <f>'A) Base RI'!A238</f>
        <v>5790</v>
      </c>
      <c r="B236" s="350" t="str">
        <f>'A) Base RI'!B238</f>
        <v>Maracon</v>
      </c>
      <c r="C236" s="109">
        <f>'B) D RI'!U238</f>
        <v>12077.747368421051</v>
      </c>
      <c r="D236" s="126">
        <f>'E) Fact soc'!G242/C236</f>
        <v>17.613405450662672</v>
      </c>
      <c r="E236" s="154">
        <f>'H) Péréquation directe'!I247/C236</f>
        <v>-0.62387835980873396</v>
      </c>
      <c r="F236" s="126">
        <f>'I) Dépenses thématiques'!P236</f>
        <v>-5.2653499201227509</v>
      </c>
      <c r="G236" s="154">
        <f t="shared" si="13"/>
        <v>11.724177170731185</v>
      </c>
      <c r="H236" s="126">
        <f t="shared" si="14"/>
        <v>16.989527090853937</v>
      </c>
      <c r="I236" s="154">
        <f t="shared" si="15"/>
        <v>0</v>
      </c>
      <c r="J236" s="66">
        <f t="shared" si="12"/>
        <v>0</v>
      </c>
      <c r="K236" s="44"/>
    </row>
    <row r="237" spans="1:11" x14ac:dyDescent="0.25">
      <c r="A237" s="57">
        <f>'A) Base RI'!A239</f>
        <v>5792</v>
      </c>
      <c r="B237" s="350" t="str">
        <f>'A) Base RI'!B239</f>
        <v>Montpreveyres</v>
      </c>
      <c r="C237" s="109">
        <f>'B) D RI'!U239</f>
        <v>15670.869999999999</v>
      </c>
      <c r="D237" s="126">
        <f>'E) Fact soc'!G243/C237</f>
        <v>19.417677357585291</v>
      </c>
      <c r="E237" s="154">
        <f>'H) Péréquation directe'!I248/C237</f>
        <v>-3.9098507465008012</v>
      </c>
      <c r="F237" s="126">
        <f>'I) Dépenses thématiques'!P237</f>
        <v>-13.492325781501005</v>
      </c>
      <c r="G237" s="154">
        <f t="shared" si="13"/>
        <v>2.015500829583484</v>
      </c>
      <c r="H237" s="126">
        <f t="shared" si="14"/>
        <v>15.507826611084489</v>
      </c>
      <c r="I237" s="154">
        <f t="shared" si="15"/>
        <v>0</v>
      </c>
      <c r="J237" s="66">
        <f t="shared" si="12"/>
        <v>0</v>
      </c>
      <c r="K237" s="44"/>
    </row>
    <row r="238" spans="1:11" x14ac:dyDescent="0.25">
      <c r="A238" s="57">
        <f>'A) Base RI'!A240</f>
        <v>5798</v>
      </c>
      <c r="B238" s="350" t="str">
        <f>'A) Base RI'!B240</f>
        <v>Ropraz</v>
      </c>
      <c r="C238" s="109">
        <f>'B) D RI'!U240</f>
        <v>10971.989935483871</v>
      </c>
      <c r="D238" s="126">
        <f>'E) Fact soc'!G244/C238</f>
        <v>17.042263097360994</v>
      </c>
      <c r="E238" s="154">
        <f>'H) Péréquation directe'!I249/C238</f>
        <v>-4.5007997052436597</v>
      </c>
      <c r="F238" s="126">
        <f>'I) Dépenses thématiques'!P238</f>
        <v>-1.2432288159783684</v>
      </c>
      <c r="G238" s="154">
        <f t="shared" si="13"/>
        <v>11.298234576138967</v>
      </c>
      <c r="H238" s="126">
        <f t="shared" si="14"/>
        <v>12.541463392117334</v>
      </c>
      <c r="I238" s="154">
        <f t="shared" si="15"/>
        <v>0</v>
      </c>
      <c r="J238" s="66">
        <f t="shared" si="12"/>
        <v>0</v>
      </c>
      <c r="K238" s="44"/>
    </row>
    <row r="239" spans="1:11" x14ac:dyDescent="0.25">
      <c r="A239" s="57">
        <f>'A) Base RI'!A241</f>
        <v>5799</v>
      </c>
      <c r="B239" s="350" t="str">
        <f>'A) Base RI'!B241</f>
        <v>Servion</v>
      </c>
      <c r="C239" s="109">
        <f>'B) D RI'!U241</f>
        <v>60598.657971014502</v>
      </c>
      <c r="D239" s="126">
        <f>'E) Fact soc'!G245/C239</f>
        <v>17.191301886379076</v>
      </c>
      <c r="E239" s="154">
        <f>'H) Péréquation directe'!I250/C239</f>
        <v>3.7101399025316479</v>
      </c>
      <c r="F239" s="126">
        <f>'I) Dépenses thématiques'!P239</f>
        <v>-17.946653427682623</v>
      </c>
      <c r="G239" s="154">
        <f t="shared" si="13"/>
        <v>2.9547883612281005</v>
      </c>
      <c r="H239" s="126">
        <f t="shared" si="14"/>
        <v>20.901441788910724</v>
      </c>
      <c r="I239" s="154">
        <f t="shared" si="15"/>
        <v>0</v>
      </c>
      <c r="J239" s="66">
        <f t="shared" si="12"/>
        <v>0</v>
      </c>
      <c r="K239" s="44"/>
    </row>
    <row r="240" spans="1:11" x14ac:dyDescent="0.25">
      <c r="A240" s="57">
        <f>'A) Base RI'!A242</f>
        <v>5803</v>
      </c>
      <c r="B240" s="350" t="str">
        <f>'A) Base RI'!B242</f>
        <v>Vulliens</v>
      </c>
      <c r="C240" s="109">
        <f>'B) D RI'!U242</f>
        <v>14215.08564102564</v>
      </c>
      <c r="D240" s="126">
        <f>'E) Fact soc'!G246/C240</f>
        <v>20.653208583840506</v>
      </c>
      <c r="E240" s="154">
        <f>'H) Péréquation directe'!I251/C240</f>
        <v>3.7986167576930185</v>
      </c>
      <c r="F240" s="126">
        <f>'I) Dépenses thématiques'!P240</f>
        <v>-1.5391342011218669</v>
      </c>
      <c r="G240" s="154">
        <f t="shared" si="13"/>
        <v>22.912691140411656</v>
      </c>
      <c r="H240" s="126">
        <f t="shared" si="14"/>
        <v>24.451825341533524</v>
      </c>
      <c r="I240" s="154">
        <f t="shared" si="15"/>
        <v>0</v>
      </c>
      <c r="J240" s="66">
        <f t="shared" si="12"/>
        <v>0</v>
      </c>
      <c r="K240" s="44"/>
    </row>
    <row r="241" spans="1:11" x14ac:dyDescent="0.25">
      <c r="A241" s="57">
        <f>'A) Base RI'!A243</f>
        <v>5804</v>
      </c>
      <c r="B241" s="350" t="str">
        <f>'A) Base RI'!B243</f>
        <v>Jorat-Menthue</v>
      </c>
      <c r="C241" s="109">
        <f>'B) D RI'!U243</f>
        <v>48554.511111111118</v>
      </c>
      <c r="D241" s="126">
        <f>'E) Fact soc'!G247/C241</f>
        <v>16.495567936293188</v>
      </c>
      <c r="E241" s="154">
        <f>'H) Péréquation directe'!I252/C241</f>
        <v>3.7701222608202007</v>
      </c>
      <c r="F241" s="126">
        <f>'I) Dépenses thématiques'!P241</f>
        <v>-6.7308852678425835</v>
      </c>
      <c r="G241" s="154">
        <f t="shared" si="13"/>
        <v>13.534804929270805</v>
      </c>
      <c r="H241" s="126">
        <f t="shared" si="14"/>
        <v>20.26569019711339</v>
      </c>
      <c r="I241" s="154">
        <f t="shared" si="15"/>
        <v>0</v>
      </c>
      <c r="J241" s="66">
        <f t="shared" si="12"/>
        <v>0</v>
      </c>
      <c r="K241" s="44"/>
    </row>
    <row r="242" spans="1:11" x14ac:dyDescent="0.25">
      <c r="A242" s="57">
        <f>'A) Base RI'!A244</f>
        <v>5805</v>
      </c>
      <c r="B242" s="350" t="str">
        <f>'A) Base RI'!B244</f>
        <v>Oron</v>
      </c>
      <c r="C242" s="109">
        <f>'B) D RI'!U244</f>
        <v>147104.2625559947</v>
      </c>
      <c r="D242" s="126">
        <f>'E) Fact soc'!G248/C242</f>
        <v>17.992704285503528</v>
      </c>
      <c r="E242" s="154">
        <f>'H) Péréquation directe'!I253/C242</f>
        <v>-7.4291946158172495</v>
      </c>
      <c r="F242" s="126">
        <f>'I) Dépenses thématiques'!P242</f>
        <v>0</v>
      </c>
      <c r="G242" s="154">
        <f t="shared" si="13"/>
        <v>10.56350966968628</v>
      </c>
      <c r="H242" s="126">
        <f t="shared" si="14"/>
        <v>10.56350966968628</v>
      </c>
      <c r="I242" s="154">
        <f t="shared" si="15"/>
        <v>0</v>
      </c>
      <c r="J242" s="66">
        <f t="shared" si="12"/>
        <v>0</v>
      </c>
      <c r="K242" s="44"/>
    </row>
    <row r="243" spans="1:11" x14ac:dyDescent="0.25">
      <c r="A243" s="57">
        <f>'A) Base RI'!A245</f>
        <v>5806</v>
      </c>
      <c r="B243" s="350" t="str">
        <f>'A) Base RI'!B245</f>
        <v>Jorat-Mézières</v>
      </c>
      <c r="C243" s="109">
        <f>'B) D RI'!U245</f>
        <v>90980.17</v>
      </c>
      <c r="D243" s="126">
        <f>'E) Fact soc'!G249/C243</f>
        <v>18.61746595559709</v>
      </c>
      <c r="E243" s="154">
        <f>'H) Péréquation directe'!I254/C243</f>
        <v>1.5960772094043292</v>
      </c>
      <c r="F243" s="126">
        <f>'I) Dépenses thématiques'!P243</f>
        <v>-2.9221019697894879</v>
      </c>
      <c r="G243" s="154">
        <f t="shared" si="13"/>
        <v>17.291441195211931</v>
      </c>
      <c r="H243" s="126">
        <f t="shared" si="14"/>
        <v>20.213543165001418</v>
      </c>
      <c r="I243" s="154">
        <f t="shared" si="15"/>
        <v>0</v>
      </c>
      <c r="J243" s="66">
        <f t="shared" si="12"/>
        <v>0</v>
      </c>
      <c r="K243" s="44"/>
    </row>
    <row r="244" spans="1:11" x14ac:dyDescent="0.25">
      <c r="A244" s="57">
        <f>'A) Base RI'!A246</f>
        <v>5812</v>
      </c>
      <c r="B244" s="350" t="str">
        <f>'A) Base RI'!B246</f>
        <v>Champtauroz</v>
      </c>
      <c r="C244" s="109">
        <f>'B) D RI'!U246</f>
        <v>2326.5760389610391</v>
      </c>
      <c r="D244" s="126">
        <f>'E) Fact soc'!G250/C244</f>
        <v>19.290240667470314</v>
      </c>
      <c r="E244" s="154">
        <f>'H) Péréquation directe'!I255/C244</f>
        <v>-22.918476400154354</v>
      </c>
      <c r="F244" s="126">
        <f>'I) Dépenses thématiques'!P244</f>
        <v>-18.516701950615122</v>
      </c>
      <c r="G244" s="154">
        <f t="shared" si="13"/>
        <v>-22.144937683299162</v>
      </c>
      <c r="H244" s="126">
        <f t="shared" si="14"/>
        <v>-3.6282357326840398</v>
      </c>
      <c r="I244" s="154">
        <f t="shared" si="15"/>
        <v>0</v>
      </c>
      <c r="J244" s="66">
        <f t="shared" si="12"/>
        <v>0</v>
      </c>
      <c r="K244" s="44"/>
    </row>
    <row r="245" spans="1:11" x14ac:dyDescent="0.25">
      <c r="A245" s="57">
        <f>'A) Base RI'!A247</f>
        <v>5813</v>
      </c>
      <c r="B245" s="350" t="str">
        <f>'A) Base RI'!B247</f>
        <v>Chevroux</v>
      </c>
      <c r="C245" s="109">
        <f>'B) D RI'!U247</f>
        <v>11503.329976190478</v>
      </c>
      <c r="D245" s="126">
        <f>'E) Fact soc'!G251/C245</f>
        <v>17.920404871426037</v>
      </c>
      <c r="E245" s="154">
        <f>'H) Péréquation directe'!I256/C245</f>
        <v>0.19715323573815383</v>
      </c>
      <c r="F245" s="126">
        <f>'I) Dépenses thématiques'!P245</f>
        <v>-3.2405051745794653</v>
      </c>
      <c r="G245" s="154">
        <f t="shared" si="13"/>
        <v>14.877052932584725</v>
      </c>
      <c r="H245" s="126">
        <f t="shared" si="14"/>
        <v>18.117558107164189</v>
      </c>
      <c r="I245" s="154">
        <f t="shared" si="15"/>
        <v>0</v>
      </c>
      <c r="J245" s="66">
        <f t="shared" si="12"/>
        <v>0</v>
      </c>
      <c r="K245" s="44"/>
    </row>
    <row r="246" spans="1:11" x14ac:dyDescent="0.25">
      <c r="A246" s="57">
        <f>'A) Base RI'!A248</f>
        <v>5816</v>
      </c>
      <c r="B246" s="350" t="str">
        <f>'A) Base RI'!B248</f>
        <v>Corcelles-près-Payerne</v>
      </c>
      <c r="C246" s="109">
        <f>'B) D RI'!U248</f>
        <v>56641.066845238092</v>
      </c>
      <c r="D246" s="126">
        <f>'E) Fact soc'!G252/C246</f>
        <v>17.34658335399515</v>
      </c>
      <c r="E246" s="154">
        <f>'H) Péréquation directe'!I257/C246</f>
        <v>-10.321387457399277</v>
      </c>
      <c r="F246" s="126">
        <f>'I) Dépenses thématiques'!P246</f>
        <v>-5.7257348413325406</v>
      </c>
      <c r="G246" s="154">
        <f t="shared" si="13"/>
        <v>1.2994610552633326</v>
      </c>
      <c r="H246" s="126">
        <f t="shared" si="14"/>
        <v>7.0251958965958732</v>
      </c>
      <c r="I246" s="154">
        <f t="shared" si="15"/>
        <v>0</v>
      </c>
      <c r="J246" s="66">
        <f t="shared" si="12"/>
        <v>0</v>
      </c>
      <c r="K246" s="44"/>
    </row>
    <row r="247" spans="1:11" x14ac:dyDescent="0.25">
      <c r="A247" s="57">
        <f>'A) Base RI'!A249</f>
        <v>5817</v>
      </c>
      <c r="B247" s="350" t="str">
        <f>'A) Base RI'!B249</f>
        <v>Grandcour</v>
      </c>
      <c r="C247" s="109">
        <f>'B) D RI'!U249</f>
        <v>20990.550314465407</v>
      </c>
      <c r="D247" s="126">
        <f>'E) Fact soc'!G253/C247</f>
        <v>16.939983529264243</v>
      </c>
      <c r="E247" s="154">
        <f>'H) Péréquation directe'!I258/C247</f>
        <v>-8.2948770425314624</v>
      </c>
      <c r="F247" s="126">
        <f>'I) Dépenses thématiques'!P247</f>
        <v>-5.0089743382083434</v>
      </c>
      <c r="G247" s="154">
        <f t="shared" si="13"/>
        <v>3.6361321485244371</v>
      </c>
      <c r="H247" s="126">
        <f t="shared" si="14"/>
        <v>8.6451064867327805</v>
      </c>
      <c r="I247" s="154">
        <f t="shared" si="15"/>
        <v>0</v>
      </c>
      <c r="J247" s="66">
        <f t="shared" si="12"/>
        <v>0</v>
      </c>
      <c r="K247" s="44"/>
    </row>
    <row r="248" spans="1:11" x14ac:dyDescent="0.25">
      <c r="A248" s="57">
        <f>'A) Base RI'!A250</f>
        <v>5819</v>
      </c>
      <c r="B248" s="350" t="str">
        <f>'A) Base RI'!B250</f>
        <v>Henniez</v>
      </c>
      <c r="C248" s="109">
        <f>'B) D RI'!U250</f>
        <v>14949.743880597016</v>
      </c>
      <c r="D248" s="126">
        <f>'E) Fact soc'!G254/C248</f>
        <v>16.720976621342569</v>
      </c>
      <c r="E248" s="154">
        <f>'H) Péréquation directe'!I259/C248</f>
        <v>16.140087115956362</v>
      </c>
      <c r="F248" s="126">
        <f>'I) Dépenses thématiques'!P248</f>
        <v>-2.0485893088532712</v>
      </c>
      <c r="G248" s="154">
        <f t="shared" si="13"/>
        <v>30.812474428445665</v>
      </c>
      <c r="H248" s="126">
        <f t="shared" si="14"/>
        <v>32.861063737298934</v>
      </c>
      <c r="I248" s="154">
        <f t="shared" si="15"/>
        <v>0</v>
      </c>
      <c r="J248" s="66">
        <f t="shared" si="12"/>
        <v>0</v>
      </c>
      <c r="K248" s="44"/>
    </row>
    <row r="249" spans="1:11" x14ac:dyDescent="0.25">
      <c r="A249" s="57">
        <f>'A) Base RI'!A251</f>
        <v>5821</v>
      </c>
      <c r="B249" s="350" t="str">
        <f>'A) Base RI'!B251</f>
        <v>Missy</v>
      </c>
      <c r="C249" s="109">
        <f>'B) D RI'!U251</f>
        <v>7776.2584722222218</v>
      </c>
      <c r="D249" s="126">
        <f>'E) Fact soc'!G255/C249</f>
        <v>17.598990032269665</v>
      </c>
      <c r="E249" s="154">
        <f>'H) Péréquation directe'!I260/C249</f>
        <v>-8.5816951378123498</v>
      </c>
      <c r="F249" s="126">
        <f>'I) Dépenses thématiques'!P249</f>
        <v>-7.1259002603531147</v>
      </c>
      <c r="G249" s="154">
        <f t="shared" si="13"/>
        <v>1.8913946341042003</v>
      </c>
      <c r="H249" s="126">
        <f t="shared" si="14"/>
        <v>9.017294894457315</v>
      </c>
      <c r="I249" s="154">
        <f t="shared" si="15"/>
        <v>0</v>
      </c>
      <c r="J249" s="66">
        <f t="shared" si="12"/>
        <v>0</v>
      </c>
      <c r="K249" s="44"/>
    </row>
    <row r="250" spans="1:11" x14ac:dyDescent="0.25">
      <c r="A250" s="57">
        <f>'A) Base RI'!A252</f>
        <v>5822</v>
      </c>
      <c r="B250" s="350" t="str">
        <f>'A) Base RI'!B252</f>
        <v>Payerne</v>
      </c>
      <c r="C250" s="109">
        <f>'B) D RI'!U252</f>
        <v>231493.6713333333</v>
      </c>
      <c r="D250" s="126">
        <f>'E) Fact soc'!G256/C250</f>
        <v>18.338161787268881</v>
      </c>
      <c r="E250" s="154">
        <f>'H) Péréquation directe'!I261/C250</f>
        <v>-18.575167274079487</v>
      </c>
      <c r="F250" s="126">
        <f>'I) Dépenses thématiques'!P250</f>
        <v>-5.6183526874246796</v>
      </c>
      <c r="G250" s="154">
        <f t="shared" si="13"/>
        <v>-5.8553581742352856</v>
      </c>
      <c r="H250" s="126">
        <f t="shared" si="14"/>
        <v>-0.23700548681060596</v>
      </c>
      <c r="I250" s="154">
        <f t="shared" si="15"/>
        <v>0</v>
      </c>
      <c r="J250" s="66">
        <f t="shared" si="12"/>
        <v>0</v>
      </c>
      <c r="K250" s="44"/>
    </row>
    <row r="251" spans="1:11" x14ac:dyDescent="0.25">
      <c r="A251" s="57">
        <f>'A) Base RI'!A253</f>
        <v>5827</v>
      </c>
      <c r="B251" s="350" t="str">
        <f>'A) Base RI'!B253</f>
        <v>Trey</v>
      </c>
      <c r="C251" s="109">
        <f>'B) D RI'!U253</f>
        <v>6204.9173749999991</v>
      </c>
      <c r="D251" s="126">
        <f>'E) Fact soc'!G257/C251</f>
        <v>21.017071561438389</v>
      </c>
      <c r="E251" s="154">
        <f>'H) Péréquation directe'!I262/C251</f>
        <v>-8.2586314648404873</v>
      </c>
      <c r="F251" s="126">
        <f>'I) Dépenses thématiques'!P251</f>
        <v>-7.8345127750978314</v>
      </c>
      <c r="G251" s="154">
        <f t="shared" si="13"/>
        <v>4.9239273215000701</v>
      </c>
      <c r="H251" s="126">
        <f t="shared" si="14"/>
        <v>12.758440096597901</v>
      </c>
      <c r="I251" s="154">
        <f t="shared" si="15"/>
        <v>0</v>
      </c>
      <c r="J251" s="66">
        <f t="shared" si="12"/>
        <v>0</v>
      </c>
      <c r="K251" s="44"/>
    </row>
    <row r="252" spans="1:11" x14ac:dyDescent="0.25">
      <c r="A252" s="57">
        <f>'A) Base RI'!A254</f>
        <v>5828</v>
      </c>
      <c r="B252" s="350" t="str">
        <f>'A) Base RI'!B254</f>
        <v>Treytorrens (Payerne)</v>
      </c>
      <c r="C252" s="109">
        <f>'B) D RI'!U254</f>
        <v>2352.5354761904764</v>
      </c>
      <c r="D252" s="126">
        <f>'E) Fact soc'!G258/C252</f>
        <v>17.306369849353363</v>
      </c>
      <c r="E252" s="154">
        <f>'H) Péréquation directe'!I263/C252</f>
        <v>-29.539519863243797</v>
      </c>
      <c r="F252" s="126">
        <f>'I) Dépenses thématiques'!P252</f>
        <v>-19.863222924635537</v>
      </c>
      <c r="G252" s="154">
        <f t="shared" si="13"/>
        <v>-32.096372938525974</v>
      </c>
      <c r="H252" s="126">
        <f t="shared" si="14"/>
        <v>-12.233150013890437</v>
      </c>
      <c r="I252" s="154">
        <f t="shared" si="15"/>
        <v>-5.7331500138904374</v>
      </c>
      <c r="J252" s="66">
        <f t="shared" si="12"/>
        <v>13487.438797999177</v>
      </c>
      <c r="K252" s="44"/>
    </row>
    <row r="253" spans="1:11" x14ac:dyDescent="0.25">
      <c r="A253" s="57">
        <f>'A) Base RI'!A255</f>
        <v>5830</v>
      </c>
      <c r="B253" s="350" t="str">
        <f>'A) Base RI'!B255</f>
        <v>Villarzel</v>
      </c>
      <c r="C253" s="109">
        <f>'B) D RI'!U255</f>
        <v>9737.3892405063307</v>
      </c>
      <c r="D253" s="126">
        <f>'E) Fact soc'!G259/C253</f>
        <v>18.055206782276297</v>
      </c>
      <c r="E253" s="154">
        <f>'H) Péréquation directe'!I264/C253</f>
        <v>-9.7014416788656437</v>
      </c>
      <c r="F253" s="126">
        <f>'I) Dépenses thématiques'!P253</f>
        <v>-10.317263664978165</v>
      </c>
      <c r="G253" s="154">
        <f t="shared" si="13"/>
        <v>-1.963498561567512</v>
      </c>
      <c r="H253" s="126">
        <f t="shared" si="14"/>
        <v>8.3537651034106535</v>
      </c>
      <c r="I253" s="154">
        <f t="shared" si="15"/>
        <v>0</v>
      </c>
      <c r="J253" s="66">
        <f t="shared" si="12"/>
        <v>0</v>
      </c>
      <c r="K253" s="44"/>
    </row>
    <row r="254" spans="1:11" x14ac:dyDescent="0.25">
      <c r="A254" s="57">
        <f>'A) Base RI'!A256</f>
        <v>5831</v>
      </c>
      <c r="B254" s="350" t="str">
        <f>'A) Base RI'!B256</f>
        <v>Valbroye</v>
      </c>
      <c r="C254" s="109">
        <f>'B) D RI'!U256</f>
        <v>75142.69210045661</v>
      </c>
      <c r="D254" s="126">
        <f>'E) Fact soc'!G260/C254</f>
        <v>17.385225726594967</v>
      </c>
      <c r="E254" s="154">
        <f>'H) Péréquation directe'!I265/C254</f>
        <v>-8.4286952267840771</v>
      </c>
      <c r="F254" s="126">
        <f>'I) Dépenses thématiques'!P254</f>
        <v>-10.415451986277667</v>
      </c>
      <c r="G254" s="154">
        <f t="shared" si="13"/>
        <v>-1.4589214864667763</v>
      </c>
      <c r="H254" s="126">
        <f t="shared" si="14"/>
        <v>8.9565304998108903</v>
      </c>
      <c r="I254" s="154">
        <f t="shared" si="15"/>
        <v>0</v>
      </c>
      <c r="J254" s="66">
        <f t="shared" si="12"/>
        <v>0</v>
      </c>
      <c r="K254" s="44"/>
    </row>
    <row r="255" spans="1:11" x14ac:dyDescent="0.25">
      <c r="A255" s="57">
        <f>'A) Base RI'!A257</f>
        <v>5841</v>
      </c>
      <c r="B255" s="350" t="str">
        <f>'A) Base RI'!B257</f>
        <v>Château-d'Oex</v>
      </c>
      <c r="C255" s="109">
        <f>'B) D RI'!U257</f>
        <v>106457.35927710844</v>
      </c>
      <c r="D255" s="126">
        <f>'E) Fact soc'!G261/C255</f>
        <v>20.60221501054053</v>
      </c>
      <c r="E255" s="154">
        <f>'H) Péréquation directe'!I266/C255</f>
        <v>-3.9944108898196049</v>
      </c>
      <c r="F255" s="126">
        <f>'I) Dépenses thématiques'!P255</f>
        <v>-18.259211911150789</v>
      </c>
      <c r="G255" s="154">
        <f t="shared" si="13"/>
        <v>-1.6514077904298645</v>
      </c>
      <c r="H255" s="126">
        <f t="shared" si="14"/>
        <v>16.607804120720925</v>
      </c>
      <c r="I255" s="154">
        <f t="shared" si="15"/>
        <v>0</v>
      </c>
      <c r="J255" s="66">
        <f t="shared" si="12"/>
        <v>0</v>
      </c>
      <c r="K255" s="44"/>
    </row>
    <row r="256" spans="1:11" x14ac:dyDescent="0.25">
      <c r="A256" s="57">
        <f>'A) Base RI'!A258</f>
        <v>5842</v>
      </c>
      <c r="B256" s="350" t="str">
        <f>'A) Base RI'!B258</f>
        <v>Rossinière</v>
      </c>
      <c r="C256" s="109">
        <f>'B) D RI'!U258</f>
        <v>13519.399629629628</v>
      </c>
      <c r="D256" s="126">
        <f>'E) Fact soc'!G262/C256</f>
        <v>22.989376310173643</v>
      </c>
      <c r="E256" s="154">
        <f>'H) Péréquation directe'!I267/C256</f>
        <v>-6.8891241530326717</v>
      </c>
      <c r="F256" s="126">
        <f>'I) Dépenses thématiques'!P256</f>
        <v>-14.917724676514968</v>
      </c>
      <c r="G256" s="154">
        <f t="shared" si="13"/>
        <v>1.1825274806260033</v>
      </c>
      <c r="H256" s="126">
        <f t="shared" si="14"/>
        <v>16.100252157140972</v>
      </c>
      <c r="I256" s="154">
        <f t="shared" si="15"/>
        <v>0</v>
      </c>
      <c r="J256" s="66">
        <f t="shared" si="12"/>
        <v>0</v>
      </c>
      <c r="K256" s="44"/>
    </row>
    <row r="257" spans="1:11" x14ac:dyDescent="0.25">
      <c r="A257" s="57">
        <f>'A) Base RI'!A259</f>
        <v>5843</v>
      </c>
      <c r="B257" s="350" t="str">
        <f>'A) Base RI'!B259</f>
        <v>Rougemont</v>
      </c>
      <c r="C257" s="109">
        <f>'B) D RI'!U259</f>
        <v>88213.430628019312</v>
      </c>
      <c r="D257" s="126">
        <f>'E) Fact soc'!G263/C257</f>
        <v>36.410938269558422</v>
      </c>
      <c r="E257" s="154">
        <f>'H) Péréquation directe'!I268/C257</f>
        <v>16.008758048780482</v>
      </c>
      <c r="F257" s="126">
        <f>'I) Dépenses thématiques'!P257</f>
        <v>-11.156154366813825</v>
      </c>
      <c r="G257" s="154">
        <f t="shared" si="13"/>
        <v>41.263541951525085</v>
      </c>
      <c r="H257" s="126">
        <f t="shared" si="14"/>
        <v>52.419696318338907</v>
      </c>
      <c r="I257" s="154">
        <f t="shared" si="15"/>
        <v>0</v>
      </c>
      <c r="J257" s="66">
        <f t="shared" si="12"/>
        <v>0</v>
      </c>
      <c r="K257" s="44"/>
    </row>
    <row r="258" spans="1:11" x14ac:dyDescent="0.25">
      <c r="A258" s="57">
        <f>'A) Base RI'!A260</f>
        <v>5851</v>
      </c>
      <c r="B258" s="350" t="str">
        <f>'A) Base RI'!B260</f>
        <v>Allaman</v>
      </c>
      <c r="C258" s="109">
        <f>'B) D RI'!U260</f>
        <v>26900.629237536661</v>
      </c>
      <c r="D258" s="126">
        <f>'E) Fact soc'!G264/C258</f>
        <v>33.791491792704498</v>
      </c>
      <c r="E258" s="154">
        <f>'H) Péréquation directe'!I269/C258</f>
        <v>16.878065485700052</v>
      </c>
      <c r="F258" s="126">
        <f>'I) Dépenses thématiques'!P258</f>
        <v>0</v>
      </c>
      <c r="G258" s="154">
        <f t="shared" si="13"/>
        <v>50.669557278404554</v>
      </c>
      <c r="H258" s="126">
        <f t="shared" si="14"/>
        <v>50.669557278404554</v>
      </c>
      <c r="I258" s="154">
        <f t="shared" si="15"/>
        <v>0</v>
      </c>
      <c r="J258" s="66">
        <f t="shared" si="12"/>
        <v>0</v>
      </c>
      <c r="K258" s="44"/>
    </row>
    <row r="259" spans="1:11" x14ac:dyDescent="0.25">
      <c r="A259" s="57">
        <f>'A) Base RI'!A261</f>
        <v>5852</v>
      </c>
      <c r="B259" s="350" t="str">
        <f>'A) Base RI'!B261</f>
        <v>Bursinel</v>
      </c>
      <c r="C259" s="109">
        <f>'B) D RI'!U261</f>
        <v>29922.291297709922</v>
      </c>
      <c r="D259" s="126">
        <f>'E) Fact soc'!G265/C259</f>
        <v>17.608480089070913</v>
      </c>
      <c r="E259" s="154">
        <f>'H) Péréquation directe'!I270/C259</f>
        <v>16.891630081537201</v>
      </c>
      <c r="F259" s="126">
        <f>'I) Dépenses thématiques'!P259</f>
        <v>-1.1515203355358217</v>
      </c>
      <c r="G259" s="154">
        <f t="shared" si="13"/>
        <v>33.348589835072289</v>
      </c>
      <c r="H259" s="126">
        <f t="shared" si="14"/>
        <v>34.50011017060811</v>
      </c>
      <c r="I259" s="154">
        <f t="shared" si="15"/>
        <v>0</v>
      </c>
      <c r="J259" s="66">
        <f t="shared" si="12"/>
        <v>0</v>
      </c>
      <c r="K259" s="44"/>
    </row>
    <row r="260" spans="1:11" x14ac:dyDescent="0.25">
      <c r="A260" s="57">
        <f>'A) Base RI'!A262</f>
        <v>5853</v>
      </c>
      <c r="B260" s="350" t="str">
        <f>'A) Base RI'!B262</f>
        <v>Bursins</v>
      </c>
      <c r="C260" s="109">
        <f>'B) D RI'!U262</f>
        <v>40543.223380281692</v>
      </c>
      <c r="D260" s="126">
        <f>'E) Fact soc'!G266/C260</f>
        <v>19.815300069197932</v>
      </c>
      <c r="E260" s="154">
        <f>'H) Péréquation directe'!I271/C260</f>
        <v>16.943902865492319</v>
      </c>
      <c r="F260" s="126">
        <f>'I) Dépenses thématiques'!P260</f>
        <v>-0.82478418378143648</v>
      </c>
      <c r="G260" s="154">
        <f t="shared" si="13"/>
        <v>35.934418750908812</v>
      </c>
      <c r="H260" s="126">
        <f t="shared" si="14"/>
        <v>36.759202934690251</v>
      </c>
      <c r="I260" s="154">
        <f t="shared" si="15"/>
        <v>0</v>
      </c>
      <c r="J260" s="66">
        <f t="shared" si="12"/>
        <v>0</v>
      </c>
      <c r="K260" s="44"/>
    </row>
    <row r="261" spans="1:11" x14ac:dyDescent="0.25">
      <c r="A261" s="57">
        <f>'A) Base RI'!A263</f>
        <v>5854</v>
      </c>
      <c r="B261" s="350" t="str">
        <f>'A) Base RI'!B263</f>
        <v>Burtigny</v>
      </c>
      <c r="C261" s="109">
        <f>'B) D RI'!U263</f>
        <v>10577.787833333332</v>
      </c>
      <c r="D261" s="126">
        <f>'E) Fact soc'!G267/C261</f>
        <v>17.681858899572788</v>
      </c>
      <c r="E261" s="154">
        <f>'H) Péréquation directe'!I272/C261</f>
        <v>1.735009100279149</v>
      </c>
      <c r="F261" s="126">
        <f>'I) Dépenses thématiques'!P261</f>
        <v>-2.7396030784513608</v>
      </c>
      <c r="G261" s="154">
        <f t="shared" si="13"/>
        <v>16.677264921400578</v>
      </c>
      <c r="H261" s="126">
        <f t="shared" si="14"/>
        <v>19.416867999851938</v>
      </c>
      <c r="I261" s="154">
        <f t="shared" si="15"/>
        <v>0</v>
      </c>
      <c r="J261" s="66">
        <f t="shared" ref="J261:J313" si="16">-I261*C261</f>
        <v>0</v>
      </c>
      <c r="K261" s="44"/>
    </row>
    <row r="262" spans="1:11" x14ac:dyDescent="0.25">
      <c r="A262" s="57">
        <f>'A) Base RI'!A264</f>
        <v>5855</v>
      </c>
      <c r="B262" s="350" t="str">
        <f>'A) Base RI'!B264</f>
        <v>Dully</v>
      </c>
      <c r="C262" s="109">
        <f>'B) D RI'!U264</f>
        <v>79387.772653061227</v>
      </c>
      <c r="D262" s="126">
        <f>'E) Fact soc'!G268/C262</f>
        <v>32.08366602043921</v>
      </c>
      <c r="E262" s="154">
        <f>'H) Péréquation directe'!I273/C262</f>
        <v>15.48686174520153</v>
      </c>
      <c r="F262" s="126">
        <f>'I) Dépenses thématiques'!P262</f>
        <v>0</v>
      </c>
      <c r="G262" s="154">
        <f t="shared" ref="G262:G313" si="17">SUM(D262:F262)</f>
        <v>47.57052776564074</v>
      </c>
      <c r="H262" s="126">
        <f t="shared" ref="H262:H313" si="18">G262-F262</f>
        <v>47.57052776564074</v>
      </c>
      <c r="I262" s="154">
        <f t="shared" ref="I262:I313" si="19">IF(H262&lt;I$4,H262-I$4,0)</f>
        <v>0</v>
      </c>
      <c r="J262" s="66">
        <f t="shared" si="16"/>
        <v>0</v>
      </c>
      <c r="K262" s="44"/>
    </row>
    <row r="263" spans="1:11" x14ac:dyDescent="0.25">
      <c r="A263" s="57">
        <f>'A) Base RI'!A265</f>
        <v>5856</v>
      </c>
      <c r="B263" s="350" t="str">
        <f>'A) Base RI'!B265</f>
        <v>Essertines-sur-Rolle</v>
      </c>
      <c r="C263" s="109">
        <f>'B) D RI'!U265</f>
        <v>31862.802285067875</v>
      </c>
      <c r="D263" s="126">
        <f>'E) Fact soc'!G269/C263</f>
        <v>16.919351270047564</v>
      </c>
      <c r="E263" s="154">
        <f>'H) Péréquation directe'!I274/C263</f>
        <v>16.656128706768644</v>
      </c>
      <c r="F263" s="126">
        <f>'I) Dépenses thématiques'!P263</f>
        <v>0</v>
      </c>
      <c r="G263" s="154">
        <f t="shared" si="17"/>
        <v>33.575479976816212</v>
      </c>
      <c r="H263" s="126">
        <f t="shared" si="18"/>
        <v>33.575479976816212</v>
      </c>
      <c r="I263" s="154">
        <f t="shared" si="19"/>
        <v>0</v>
      </c>
      <c r="J263" s="66">
        <f t="shared" si="16"/>
        <v>0</v>
      </c>
      <c r="K263" s="44"/>
    </row>
    <row r="264" spans="1:11" x14ac:dyDescent="0.25">
      <c r="A264" s="57">
        <f>'A) Base RI'!A266</f>
        <v>5857</v>
      </c>
      <c r="B264" s="350" t="str">
        <f>'A) Base RI'!B266</f>
        <v>Gilly</v>
      </c>
      <c r="C264" s="109">
        <f>'B) D RI'!U266</f>
        <v>62540.44560606061</v>
      </c>
      <c r="D264" s="126">
        <f>'E) Fact soc'!G270/C264</f>
        <v>23.346562906248899</v>
      </c>
      <c r="E264" s="154">
        <f>'H) Péréquation directe'!I275/C264</f>
        <v>15.961151508754329</v>
      </c>
      <c r="F264" s="126">
        <f>'I) Dépenses thématiques'!P264</f>
        <v>0</v>
      </c>
      <c r="G264" s="154">
        <f t="shared" si="17"/>
        <v>39.307714415003225</v>
      </c>
      <c r="H264" s="126">
        <f t="shared" si="18"/>
        <v>39.307714415003225</v>
      </c>
      <c r="I264" s="154">
        <f t="shared" si="19"/>
        <v>0</v>
      </c>
      <c r="J264" s="66">
        <f t="shared" si="16"/>
        <v>0</v>
      </c>
      <c r="K264" s="44"/>
    </row>
    <row r="265" spans="1:11" x14ac:dyDescent="0.25">
      <c r="A265" s="57">
        <f>'A) Base RI'!A267</f>
        <v>5858</v>
      </c>
      <c r="B265" s="350" t="str">
        <f>'A) Base RI'!B267</f>
        <v>Luins</v>
      </c>
      <c r="C265" s="109">
        <f>'B) D RI'!U267</f>
        <v>35045.301944444444</v>
      </c>
      <c r="D265" s="126">
        <f>'E) Fact soc'!G271/C265</f>
        <v>15.194451628656909</v>
      </c>
      <c r="E265" s="154">
        <f>'H) Péréquation directe'!I276/C265</f>
        <v>17.039061124144713</v>
      </c>
      <c r="F265" s="126">
        <f>'I) Dépenses thématiques'!P265</f>
        <v>0</v>
      </c>
      <c r="G265" s="154">
        <f t="shared" si="17"/>
        <v>32.233512752801623</v>
      </c>
      <c r="H265" s="126">
        <f t="shared" si="18"/>
        <v>32.233512752801623</v>
      </c>
      <c r="I265" s="154">
        <f t="shared" si="19"/>
        <v>0</v>
      </c>
      <c r="J265" s="66">
        <f t="shared" si="16"/>
        <v>0</v>
      </c>
      <c r="K265" s="44"/>
    </row>
    <row r="266" spans="1:11" x14ac:dyDescent="0.25">
      <c r="A266" s="57">
        <f>'A) Base RI'!A268</f>
        <v>5859</v>
      </c>
      <c r="B266" s="350" t="str">
        <f>'A) Base RI'!B268</f>
        <v>Mont-sur-Rolle</v>
      </c>
      <c r="C266" s="109">
        <f>'B) D RI'!U268</f>
        <v>130430.38093750003</v>
      </c>
      <c r="D266" s="126">
        <f>'E) Fact soc'!G272/C266</f>
        <v>17.80728639300407</v>
      </c>
      <c r="E266" s="154">
        <f>'H) Péréquation directe'!I277/C266</f>
        <v>13.658995554465699</v>
      </c>
      <c r="F266" s="126">
        <f>'I) Dépenses thématiques'!P266</f>
        <v>0</v>
      </c>
      <c r="G266" s="154">
        <f t="shared" si="17"/>
        <v>31.466281947469767</v>
      </c>
      <c r="H266" s="126">
        <f t="shared" si="18"/>
        <v>31.466281947469767</v>
      </c>
      <c r="I266" s="154">
        <f t="shared" si="19"/>
        <v>0</v>
      </c>
      <c r="J266" s="66">
        <f t="shared" si="16"/>
        <v>0</v>
      </c>
      <c r="K266" s="44"/>
    </row>
    <row r="267" spans="1:11" x14ac:dyDescent="0.25">
      <c r="A267" s="57">
        <f>'A) Base RI'!A269</f>
        <v>5860</v>
      </c>
      <c r="B267" s="350" t="str">
        <f>'A) Base RI'!B269</f>
        <v>Perroy</v>
      </c>
      <c r="C267" s="109">
        <f>'B) D RI'!U269</f>
        <v>92749.778038461533</v>
      </c>
      <c r="D267" s="126">
        <f>'E) Fact soc'!G273/C267</f>
        <v>20.151582956251922</v>
      </c>
      <c r="E267" s="154">
        <f>'H) Péréquation directe'!I278/C267</f>
        <v>15.63856213442986</v>
      </c>
      <c r="F267" s="126">
        <f>'I) Dépenses thématiques'!P267</f>
        <v>0</v>
      </c>
      <c r="G267" s="154">
        <f t="shared" si="17"/>
        <v>35.790145090681783</v>
      </c>
      <c r="H267" s="126">
        <f t="shared" si="18"/>
        <v>35.790145090681783</v>
      </c>
      <c r="I267" s="154">
        <f t="shared" si="19"/>
        <v>0</v>
      </c>
      <c r="J267" s="66">
        <f t="shared" si="16"/>
        <v>0</v>
      </c>
      <c r="K267" s="44"/>
    </row>
    <row r="268" spans="1:11" x14ac:dyDescent="0.25">
      <c r="A268" s="57">
        <f>'A) Base RI'!A270</f>
        <v>5861</v>
      </c>
      <c r="B268" s="350" t="str">
        <f>'A) Base RI'!B270</f>
        <v>Rolle</v>
      </c>
      <c r="C268" s="109">
        <f>'B) D RI'!U270</f>
        <v>834788.40991596645</v>
      </c>
      <c r="D268" s="126">
        <f>'E) Fact soc'!G274/C268</f>
        <v>31.456800726291164</v>
      </c>
      <c r="E268" s="154">
        <f>'H) Péréquation directe'!I279/C268</f>
        <v>13.126804488025186</v>
      </c>
      <c r="F268" s="126">
        <f>'I) Dépenses thématiques'!P268</f>
        <v>0</v>
      </c>
      <c r="G268" s="154">
        <f t="shared" si="17"/>
        <v>44.58360521431635</v>
      </c>
      <c r="H268" s="126">
        <f t="shared" si="18"/>
        <v>44.58360521431635</v>
      </c>
      <c r="I268" s="154">
        <f t="shared" si="19"/>
        <v>0</v>
      </c>
      <c r="J268" s="66">
        <f t="shared" si="16"/>
        <v>0</v>
      </c>
      <c r="K268" s="44"/>
    </row>
    <row r="269" spans="1:11" x14ac:dyDescent="0.25">
      <c r="A269" s="57">
        <f>'A) Base RI'!A271</f>
        <v>5862</v>
      </c>
      <c r="B269" s="350" t="str">
        <f>'A) Base RI'!B271</f>
        <v>Tartegnin</v>
      </c>
      <c r="C269" s="109">
        <f>'B) D RI'!U271</f>
        <v>8301.4215873015874</v>
      </c>
      <c r="D269" s="126">
        <f>'E) Fact soc'!G275/C269</f>
        <v>18.428136251837145</v>
      </c>
      <c r="E269" s="154">
        <f>'H) Péréquation directe'!I280/C269</f>
        <v>7.8964072756946413</v>
      </c>
      <c r="F269" s="126">
        <f>'I) Dépenses thématiques'!P269</f>
        <v>0</v>
      </c>
      <c r="G269" s="154">
        <f t="shared" si="17"/>
        <v>26.324543527531787</v>
      </c>
      <c r="H269" s="126">
        <f t="shared" si="18"/>
        <v>26.324543527531787</v>
      </c>
      <c r="I269" s="154">
        <f t="shared" si="19"/>
        <v>0</v>
      </c>
      <c r="J269" s="66">
        <f t="shared" si="16"/>
        <v>0</v>
      </c>
      <c r="K269" s="44"/>
    </row>
    <row r="270" spans="1:11" x14ac:dyDescent="0.25">
      <c r="A270" s="57">
        <f>'A) Base RI'!A272</f>
        <v>5863</v>
      </c>
      <c r="B270" s="350" t="str">
        <f>'A) Base RI'!B272</f>
        <v>Vinzel</v>
      </c>
      <c r="C270" s="109">
        <f>'B) D RI'!U272</f>
        <v>24528.370999999999</v>
      </c>
      <c r="D270" s="126">
        <f>'E) Fact soc'!G276/C270</f>
        <v>20.109266840170186</v>
      </c>
      <c r="E270" s="154">
        <f>'H) Péréquation directe'!I281/C270</f>
        <v>16.723108966086805</v>
      </c>
      <c r="F270" s="126">
        <f>'I) Dépenses thématiques'!P270</f>
        <v>0</v>
      </c>
      <c r="G270" s="154">
        <f t="shared" si="17"/>
        <v>36.832375806256991</v>
      </c>
      <c r="H270" s="126">
        <f t="shared" si="18"/>
        <v>36.832375806256991</v>
      </c>
      <c r="I270" s="154">
        <f t="shared" si="19"/>
        <v>0</v>
      </c>
      <c r="J270" s="66">
        <f t="shared" si="16"/>
        <v>0</v>
      </c>
      <c r="K270" s="44"/>
    </row>
    <row r="271" spans="1:11" x14ac:dyDescent="0.25">
      <c r="A271" s="57">
        <f>'A) Base RI'!A273</f>
        <v>5871</v>
      </c>
      <c r="B271" s="350" t="str">
        <f>'A) Base RI'!B273</f>
        <v>L'Abbaye</v>
      </c>
      <c r="C271" s="109">
        <f>'B) D RI'!U273</f>
        <v>48996.378091415252</v>
      </c>
      <c r="D271" s="126">
        <f>'E) Fact soc'!G277/C271</f>
        <v>21.10698391888856</v>
      </c>
      <c r="E271" s="154">
        <f>'H) Péréquation directe'!I282/C271</f>
        <v>5.8356912924620561</v>
      </c>
      <c r="F271" s="126">
        <f>'I) Dépenses thématiques'!P271</f>
        <v>-4.9182559043187615</v>
      </c>
      <c r="G271" s="154">
        <f t="shared" si="17"/>
        <v>22.024419307031852</v>
      </c>
      <c r="H271" s="126">
        <f t="shared" si="18"/>
        <v>26.942675211350615</v>
      </c>
      <c r="I271" s="154">
        <f t="shared" si="19"/>
        <v>0</v>
      </c>
      <c r="J271" s="66">
        <f t="shared" si="16"/>
        <v>0</v>
      </c>
      <c r="K271" s="44"/>
    </row>
    <row r="272" spans="1:11" x14ac:dyDescent="0.25">
      <c r="A272" s="57">
        <f>'A) Base RI'!A274</f>
        <v>5872</v>
      </c>
      <c r="B272" s="350" t="str">
        <f>'A) Base RI'!B274</f>
        <v>Le Chenit</v>
      </c>
      <c r="C272" s="109">
        <f>'B) D RI'!U274</f>
        <v>315523.99059233442</v>
      </c>
      <c r="D272" s="126">
        <f>'E) Fact soc'!G278/C272</f>
        <v>24.718662584610829</v>
      </c>
      <c r="E272" s="154">
        <f>'H) Péréquation directe'!I283/C272</f>
        <v>13.173958248691568</v>
      </c>
      <c r="F272" s="126">
        <f>'I) Dépenses thématiques'!P272</f>
        <v>-4.1162368675760321</v>
      </c>
      <c r="G272" s="154">
        <f t="shared" si="17"/>
        <v>33.77638396572636</v>
      </c>
      <c r="H272" s="126">
        <f t="shared" si="18"/>
        <v>37.892620833302395</v>
      </c>
      <c r="I272" s="154">
        <f t="shared" si="19"/>
        <v>0</v>
      </c>
      <c r="J272" s="66">
        <f t="shared" si="16"/>
        <v>0</v>
      </c>
      <c r="K272" s="44"/>
    </row>
    <row r="273" spans="1:11" x14ac:dyDescent="0.25">
      <c r="A273" s="57">
        <f>'A) Base RI'!A275</f>
        <v>5873</v>
      </c>
      <c r="B273" s="350" t="str">
        <f>'A) Base RI'!B275</f>
        <v>Le Lieu</v>
      </c>
      <c r="C273" s="109">
        <f>'B) D RI'!U275</f>
        <v>30587.067025641027</v>
      </c>
      <c r="D273" s="126">
        <f>'E) Fact soc'!G279/C273</f>
        <v>24.939074284756089</v>
      </c>
      <c r="E273" s="154">
        <f>'H) Péréquation directe'!I284/C273</f>
        <v>11.052173669360117</v>
      </c>
      <c r="F273" s="126">
        <f>'I) Dépenses thématiques'!P273</f>
        <v>-30.764855296113268</v>
      </c>
      <c r="G273" s="154">
        <f t="shared" si="17"/>
        <v>5.2263926580029363</v>
      </c>
      <c r="H273" s="126">
        <f t="shared" si="18"/>
        <v>35.991247954116204</v>
      </c>
      <c r="I273" s="154">
        <f t="shared" si="19"/>
        <v>0</v>
      </c>
      <c r="J273" s="66">
        <f t="shared" si="16"/>
        <v>0</v>
      </c>
      <c r="K273" s="44"/>
    </row>
    <row r="274" spans="1:11" x14ac:dyDescent="0.25">
      <c r="A274" s="57">
        <f>'A) Base RI'!A276</f>
        <v>5881</v>
      </c>
      <c r="B274" s="350" t="str">
        <f>'A) Base RI'!B276</f>
        <v>Blonay</v>
      </c>
      <c r="C274" s="109">
        <f>'B) D RI'!U276</f>
        <v>332407.86157142854</v>
      </c>
      <c r="D274" s="126">
        <f>'E) Fact soc'!G280/C274</f>
        <v>19.404308794571264</v>
      </c>
      <c r="E274" s="154">
        <f>'H) Péréquation directe'!I285/C274</f>
        <v>11.481846700353055</v>
      </c>
      <c r="F274" s="126">
        <f>'I) Dépenses thématiques'!P274</f>
        <v>-2.7281619358235423</v>
      </c>
      <c r="G274" s="154">
        <f t="shared" si="17"/>
        <v>28.157993559100774</v>
      </c>
      <c r="H274" s="126">
        <f t="shared" si="18"/>
        <v>30.886155494924317</v>
      </c>
      <c r="I274" s="154">
        <f t="shared" si="19"/>
        <v>0</v>
      </c>
      <c r="J274" s="66">
        <f t="shared" si="16"/>
        <v>0</v>
      </c>
      <c r="K274" s="44"/>
    </row>
    <row r="275" spans="1:11" x14ac:dyDescent="0.25">
      <c r="A275" s="57">
        <f>'A) Base RI'!A277</f>
        <v>5882</v>
      </c>
      <c r="B275" s="350" t="str">
        <f>'A) Base RI'!B277</f>
        <v>Chardonne</v>
      </c>
      <c r="C275" s="109">
        <f>'B) D RI'!U277</f>
        <v>151089.46617647054</v>
      </c>
      <c r="D275" s="126">
        <f>'E) Fact soc'!G281/C275</f>
        <v>19.107245007121627</v>
      </c>
      <c r="E275" s="154">
        <f>'H) Péréquation directe'!I286/C275</f>
        <v>13.778179736345161</v>
      </c>
      <c r="F275" s="126">
        <f>'I) Dépenses thématiques'!P275</f>
        <v>-2.1773892393397332</v>
      </c>
      <c r="G275" s="154">
        <f t="shared" si="17"/>
        <v>30.708035504127054</v>
      </c>
      <c r="H275" s="126">
        <f t="shared" si="18"/>
        <v>32.885424743466785</v>
      </c>
      <c r="I275" s="154">
        <f t="shared" si="19"/>
        <v>0</v>
      </c>
      <c r="J275" s="66">
        <f t="shared" si="16"/>
        <v>0</v>
      </c>
      <c r="K275" s="44"/>
    </row>
    <row r="276" spans="1:11" x14ac:dyDescent="0.25">
      <c r="A276" s="57">
        <f>'A) Base RI'!A278</f>
        <v>5883</v>
      </c>
      <c r="B276" s="350" t="str">
        <f>'A) Base RI'!B278</f>
        <v>Corseaux</v>
      </c>
      <c r="C276" s="109">
        <f>'B) D RI'!U278</f>
        <v>151117.63015625</v>
      </c>
      <c r="D276" s="126">
        <f>'E) Fact soc'!G282/C276</f>
        <v>21.941684758472398</v>
      </c>
      <c r="E276" s="154">
        <f>'H) Péréquation directe'!I287/C276</f>
        <v>14.772309419342639</v>
      </c>
      <c r="F276" s="126">
        <f>'I) Dépenses thématiques'!P276</f>
        <v>0</v>
      </c>
      <c r="G276" s="154">
        <f t="shared" si="17"/>
        <v>36.713994177815039</v>
      </c>
      <c r="H276" s="126">
        <f t="shared" si="18"/>
        <v>36.713994177815039</v>
      </c>
      <c r="I276" s="154">
        <f t="shared" si="19"/>
        <v>0</v>
      </c>
      <c r="J276" s="66">
        <f t="shared" si="16"/>
        <v>0</v>
      </c>
      <c r="K276" s="44"/>
    </row>
    <row r="277" spans="1:11" x14ac:dyDescent="0.25">
      <c r="A277" s="57">
        <f>'A) Base RI'!A279</f>
        <v>5884</v>
      </c>
      <c r="B277" s="350" t="str">
        <f>'A) Base RI'!B279</f>
        <v>Corsier-sur-Vevey</v>
      </c>
      <c r="C277" s="109">
        <f>'B) D RI'!U279</f>
        <v>116440.6211111111</v>
      </c>
      <c r="D277" s="126">
        <f>'E) Fact soc'!G283/C277</f>
        <v>18.013241066736477</v>
      </c>
      <c r="E277" s="154">
        <f>'H) Péréquation directe'!I288/C277</f>
        <v>4.6949934534132103</v>
      </c>
      <c r="F277" s="126">
        <f>'I) Dépenses thématiques'!P277</f>
        <v>-8.0526808758871891</v>
      </c>
      <c r="G277" s="154">
        <f t="shared" si="17"/>
        <v>14.655553644262499</v>
      </c>
      <c r="H277" s="126">
        <f t="shared" si="18"/>
        <v>22.708234520149688</v>
      </c>
      <c r="I277" s="154">
        <f t="shared" si="19"/>
        <v>0</v>
      </c>
      <c r="J277" s="66">
        <f t="shared" si="16"/>
        <v>0</v>
      </c>
      <c r="K277" s="44"/>
    </row>
    <row r="278" spans="1:11" x14ac:dyDescent="0.25">
      <c r="A278" s="57">
        <f>'A) Base RI'!A280</f>
        <v>5885</v>
      </c>
      <c r="B278" s="350" t="str">
        <f>'A) Base RI'!B280</f>
        <v>Jongny</v>
      </c>
      <c r="C278" s="109">
        <f>'B) D RI'!U280</f>
        <v>81843.123028169022</v>
      </c>
      <c r="D278" s="126">
        <f>'E) Fact soc'!G284/C278</f>
        <v>17.760200041306764</v>
      </c>
      <c r="E278" s="154">
        <f>'H) Péréquation directe'!I289/C278</f>
        <v>15.544467295963711</v>
      </c>
      <c r="F278" s="126">
        <f>'I) Dépenses thématiques'!P278</f>
        <v>-0.84420730414426248</v>
      </c>
      <c r="G278" s="154">
        <f t="shared" si="17"/>
        <v>32.460460033126211</v>
      </c>
      <c r="H278" s="126">
        <f t="shared" si="18"/>
        <v>33.304667337270473</v>
      </c>
      <c r="I278" s="154">
        <f t="shared" si="19"/>
        <v>0</v>
      </c>
      <c r="J278" s="66">
        <f t="shared" si="16"/>
        <v>0</v>
      </c>
      <c r="K278" s="44"/>
    </row>
    <row r="279" spans="1:11" x14ac:dyDescent="0.25">
      <c r="A279" s="57">
        <f>'A) Base RI'!A281</f>
        <v>5886</v>
      </c>
      <c r="B279" s="350" t="str">
        <f>'A) Base RI'!B281</f>
        <v>Montreux</v>
      </c>
      <c r="C279" s="109">
        <f>'B) D RI'!U281</f>
        <v>1175239.0178974359</v>
      </c>
      <c r="D279" s="126">
        <f>'E) Fact soc'!G285/C279</f>
        <v>21.14307572663034</v>
      </c>
      <c r="E279" s="154">
        <f>'H) Péréquation directe'!I290/C279</f>
        <v>0.28189849622206059</v>
      </c>
      <c r="F279" s="126">
        <f>'I) Dépenses thématiques'!P279</f>
        <v>-4.4824815912513003</v>
      </c>
      <c r="G279" s="154">
        <f t="shared" si="17"/>
        <v>16.942492631601098</v>
      </c>
      <c r="H279" s="126">
        <f t="shared" si="18"/>
        <v>21.424974222852398</v>
      </c>
      <c r="I279" s="154">
        <f t="shared" si="19"/>
        <v>0</v>
      </c>
      <c r="J279" s="66">
        <f t="shared" si="16"/>
        <v>0</v>
      </c>
      <c r="K279" s="44"/>
    </row>
    <row r="280" spans="1:11" x14ac:dyDescent="0.25">
      <c r="A280" s="57">
        <f>'A) Base RI'!A282</f>
        <v>5888</v>
      </c>
      <c r="B280" s="350" t="str">
        <f>'A) Base RI'!B282</f>
        <v>Saint-Légier-La Chiésaz</v>
      </c>
      <c r="C280" s="109">
        <f>'B) D RI'!U282</f>
        <v>307135.62007462693</v>
      </c>
      <c r="D280" s="126">
        <f>'E) Fact soc'!G286/C280</f>
        <v>18.890179805947152</v>
      </c>
      <c r="E280" s="154">
        <f>'H) Péréquation directe'!I291/C280</f>
        <v>12.554748865366918</v>
      </c>
      <c r="F280" s="126">
        <f>'I) Dépenses thématiques'!P280</f>
        <v>-0.87197842098087497</v>
      </c>
      <c r="G280" s="154">
        <f t="shared" si="17"/>
        <v>30.572950250333196</v>
      </c>
      <c r="H280" s="126">
        <f t="shared" si="18"/>
        <v>31.44492867131407</v>
      </c>
      <c r="I280" s="154">
        <f t="shared" si="19"/>
        <v>0</v>
      </c>
      <c r="J280" s="66">
        <f t="shared" si="16"/>
        <v>0</v>
      </c>
      <c r="K280" s="44"/>
    </row>
    <row r="281" spans="1:11" x14ac:dyDescent="0.25">
      <c r="A281" s="57">
        <f>'A) Base RI'!A283</f>
        <v>5889</v>
      </c>
      <c r="B281" s="350" t="str">
        <f>'A) Base RI'!B283</f>
        <v>La Tour-de-Peilz</v>
      </c>
      <c r="C281" s="109">
        <f>'B) D RI'!U283</f>
        <v>618611.02559895837</v>
      </c>
      <c r="D281" s="126">
        <f>'E) Fact soc'!G287/C281</f>
        <v>18.611367056708058</v>
      </c>
      <c r="E281" s="154">
        <f>'H) Péréquation directe'!I292/C281</f>
        <v>8.5405296879665187</v>
      </c>
      <c r="F281" s="126">
        <f>'I) Dépenses thématiques'!P281</f>
        <v>0</v>
      </c>
      <c r="G281" s="154">
        <f t="shared" si="17"/>
        <v>27.151896744674577</v>
      </c>
      <c r="H281" s="126">
        <f t="shared" si="18"/>
        <v>27.151896744674577</v>
      </c>
      <c r="I281" s="154">
        <f t="shared" si="19"/>
        <v>0</v>
      </c>
      <c r="J281" s="66">
        <f t="shared" si="16"/>
        <v>0</v>
      </c>
      <c r="K281" s="44"/>
    </row>
    <row r="282" spans="1:11" x14ac:dyDescent="0.25">
      <c r="A282" s="57">
        <f>'A) Base RI'!A284</f>
        <v>5890</v>
      </c>
      <c r="B282" s="350" t="str">
        <f>'A) Base RI'!B284</f>
        <v>Vevey</v>
      </c>
      <c r="C282" s="109">
        <f>'B) D RI'!U284</f>
        <v>909212.90865296812</v>
      </c>
      <c r="D282" s="126">
        <f>'E) Fact soc'!G288/C282</f>
        <v>17.684457750767379</v>
      </c>
      <c r="E282" s="154">
        <f>'H) Péréquation directe'!I293/C282</f>
        <v>2.9909501752873457</v>
      </c>
      <c r="F282" s="126">
        <f>'I) Dépenses thématiques'!P282</f>
        <v>-2.0419838612776613</v>
      </c>
      <c r="G282" s="154">
        <f t="shared" si="17"/>
        <v>18.633424064777063</v>
      </c>
      <c r="H282" s="126">
        <f t="shared" si="18"/>
        <v>20.675407926054724</v>
      </c>
      <c r="I282" s="154">
        <f t="shared" si="19"/>
        <v>0</v>
      </c>
      <c r="J282" s="66">
        <f t="shared" si="16"/>
        <v>0</v>
      </c>
      <c r="K282" s="44"/>
    </row>
    <row r="283" spans="1:11" x14ac:dyDescent="0.25">
      <c r="A283" s="57">
        <f>'A) Base RI'!A285</f>
        <v>5891</v>
      </c>
      <c r="B283" s="350" t="str">
        <f>'A) Base RI'!B285</f>
        <v>Veytaux</v>
      </c>
      <c r="C283" s="109">
        <f>'B) D RI'!U285</f>
        <v>39510.481835748789</v>
      </c>
      <c r="D283" s="126">
        <f>'E) Fact soc'!G289/C283</f>
        <v>19.191709510088092</v>
      </c>
      <c r="E283" s="154">
        <f>'H) Péréquation directe'!I294/C283</f>
        <v>16.685606596918124</v>
      </c>
      <c r="F283" s="126">
        <f>'I) Dépenses thématiques'!P283</f>
        <v>-7.4945426441519931</v>
      </c>
      <c r="G283" s="154">
        <f t="shared" si="17"/>
        <v>28.382773462854225</v>
      </c>
      <c r="H283" s="126">
        <f t="shared" si="18"/>
        <v>35.877316107006216</v>
      </c>
      <c r="I283" s="154">
        <f t="shared" si="19"/>
        <v>0</v>
      </c>
      <c r="J283" s="66">
        <f t="shared" si="16"/>
        <v>0</v>
      </c>
      <c r="K283" s="44"/>
    </row>
    <row r="284" spans="1:11" x14ac:dyDescent="0.25">
      <c r="A284" s="57">
        <f>'A) Base RI'!A286</f>
        <v>5902</v>
      </c>
      <c r="B284" s="350" t="str">
        <f>'A) Base RI'!B286</f>
        <v>Belmont-sur-Yverdon</v>
      </c>
      <c r="C284" s="109">
        <f>'B) D RI'!U286</f>
        <v>9227.1448684210518</v>
      </c>
      <c r="D284" s="126">
        <f>'E) Fact soc'!G290/C284</f>
        <v>16.008968335484493</v>
      </c>
      <c r="E284" s="154">
        <f>'H) Péréquation directe'!I295/C284</f>
        <v>-3.7153442668450896</v>
      </c>
      <c r="F284" s="126">
        <f>'I) Dépenses thématiques'!P284</f>
        <v>-0.84353128758653872</v>
      </c>
      <c r="G284" s="154">
        <f t="shared" si="17"/>
        <v>11.450092781052865</v>
      </c>
      <c r="H284" s="126">
        <f t="shared" si="18"/>
        <v>12.293624068639403</v>
      </c>
      <c r="I284" s="154">
        <f t="shared" si="19"/>
        <v>0</v>
      </c>
      <c r="J284" s="66">
        <f t="shared" si="16"/>
        <v>0</v>
      </c>
      <c r="K284" s="44"/>
    </row>
    <row r="285" spans="1:11" x14ac:dyDescent="0.25">
      <c r="A285" s="57">
        <f>'A) Base RI'!A287</f>
        <v>5903</v>
      </c>
      <c r="B285" s="350" t="str">
        <f>'A) Base RI'!B287</f>
        <v>Bioley-Magnoux</v>
      </c>
      <c r="C285" s="109">
        <f>'B) D RI'!U287</f>
        <v>5953.911158301159</v>
      </c>
      <c r="D285" s="126">
        <f>'E) Fact soc'!G291/C285</f>
        <v>17.292302758016454</v>
      </c>
      <c r="E285" s="154">
        <f>'H) Péréquation directe'!I296/C285</f>
        <v>-1.3873162285819067</v>
      </c>
      <c r="F285" s="126">
        <f>'I) Dépenses thématiques'!P285</f>
        <v>-38.223820280949738</v>
      </c>
      <c r="G285" s="154">
        <f t="shared" si="17"/>
        <v>-22.318833751515193</v>
      </c>
      <c r="H285" s="126">
        <f t="shared" si="18"/>
        <v>15.904986529434545</v>
      </c>
      <c r="I285" s="154">
        <f t="shared" si="19"/>
        <v>0</v>
      </c>
      <c r="J285" s="66">
        <f t="shared" si="16"/>
        <v>0</v>
      </c>
      <c r="K285" s="44"/>
    </row>
    <row r="286" spans="1:11" x14ac:dyDescent="0.25">
      <c r="A286" s="57">
        <f>'A) Base RI'!A288</f>
        <v>5904</v>
      </c>
      <c r="B286" s="350" t="str">
        <f>'A) Base RI'!B288</f>
        <v>Chamblon</v>
      </c>
      <c r="C286" s="109">
        <f>'B) D RI'!U288</f>
        <v>22914.009848484849</v>
      </c>
      <c r="D286" s="126">
        <f>'E) Fact soc'!G292/C286</f>
        <v>16.595890969993938</v>
      </c>
      <c r="E286" s="154">
        <f>'H) Péréquation directe'!I297/C286</f>
        <v>14.99601243636981</v>
      </c>
      <c r="F286" s="126">
        <f>'I) Dépenses thématiques'!P286</f>
        <v>0</v>
      </c>
      <c r="G286" s="154">
        <f t="shared" si="17"/>
        <v>31.591903406363748</v>
      </c>
      <c r="H286" s="126">
        <f t="shared" si="18"/>
        <v>31.591903406363748</v>
      </c>
      <c r="I286" s="154">
        <f t="shared" si="19"/>
        <v>0</v>
      </c>
      <c r="J286" s="66">
        <f t="shared" si="16"/>
        <v>0</v>
      </c>
      <c r="K286" s="44"/>
    </row>
    <row r="287" spans="1:11" x14ac:dyDescent="0.25">
      <c r="A287" s="57">
        <f>'A) Base RI'!A289</f>
        <v>5905</v>
      </c>
      <c r="B287" s="350" t="str">
        <f>'A) Base RI'!B289</f>
        <v>Champvent</v>
      </c>
      <c r="C287" s="109">
        <f>'B) D RI'!U289</f>
        <v>21038.740140845071</v>
      </c>
      <c r="D287" s="126">
        <f>'E) Fact soc'!G293/C287</f>
        <v>21.435986421299173</v>
      </c>
      <c r="E287" s="154">
        <f>'H) Péréquation directe'!I298/C287</f>
        <v>7.6259250209093379</v>
      </c>
      <c r="F287" s="126">
        <f>'I) Dépenses thématiques'!P287</f>
        <v>-2.2007240973097559</v>
      </c>
      <c r="G287" s="154">
        <f t="shared" si="17"/>
        <v>26.861187344898756</v>
      </c>
      <c r="H287" s="126">
        <f t="shared" si="18"/>
        <v>29.061911442208512</v>
      </c>
      <c r="I287" s="154">
        <f t="shared" si="19"/>
        <v>0</v>
      </c>
      <c r="J287" s="66">
        <f t="shared" si="16"/>
        <v>0</v>
      </c>
      <c r="K287" s="44"/>
    </row>
    <row r="288" spans="1:11" x14ac:dyDescent="0.25">
      <c r="A288" s="57">
        <f>'A) Base RI'!A290</f>
        <v>5907</v>
      </c>
      <c r="B288" s="350" t="str">
        <f>'A) Base RI'!B290</f>
        <v>Chavannes-le-Chêne</v>
      </c>
      <c r="C288" s="109">
        <f>'B) D RI'!U290</f>
        <v>8819.3566666666684</v>
      </c>
      <c r="D288" s="126">
        <f>'E) Fact soc'!G294/C288</f>
        <v>18.204739113555604</v>
      </c>
      <c r="E288" s="154">
        <f>'H) Péréquation directe'!I299/C288</f>
        <v>2.3204181940000557</v>
      </c>
      <c r="F288" s="126">
        <f>'I) Dépenses thématiques'!P288</f>
        <v>-8.4755306208203702</v>
      </c>
      <c r="G288" s="154">
        <f t="shared" si="17"/>
        <v>12.049626686735289</v>
      </c>
      <c r="H288" s="126">
        <f t="shared" si="18"/>
        <v>20.525157307555659</v>
      </c>
      <c r="I288" s="154">
        <f t="shared" si="19"/>
        <v>0</v>
      </c>
      <c r="J288" s="66">
        <f t="shared" si="16"/>
        <v>0</v>
      </c>
      <c r="K288" s="44"/>
    </row>
    <row r="289" spans="1:11" x14ac:dyDescent="0.25">
      <c r="A289" s="57">
        <f>'A) Base RI'!A291</f>
        <v>5908</v>
      </c>
      <c r="B289" s="350" t="str">
        <f>'A) Base RI'!B291</f>
        <v>Chêne-Pâquier</v>
      </c>
      <c r="C289" s="109">
        <f>'B) D RI'!U291</f>
        <v>2915.1287341772154</v>
      </c>
      <c r="D289" s="126">
        <f>'E) Fact soc'!G295/C289</f>
        <v>17.169723905123519</v>
      </c>
      <c r="E289" s="154">
        <f>'H) Péréquation directe'!I300/C289</f>
        <v>-15.197269411998287</v>
      </c>
      <c r="F289" s="126">
        <f>'I) Dépenses thématiques'!P289</f>
        <v>-4.4295231008458664</v>
      </c>
      <c r="G289" s="154">
        <f t="shared" si="17"/>
        <v>-2.4570686077206343</v>
      </c>
      <c r="H289" s="126">
        <f t="shared" si="18"/>
        <v>1.9724544931252321</v>
      </c>
      <c r="I289" s="154">
        <f t="shared" si="19"/>
        <v>0</v>
      </c>
      <c r="J289" s="66">
        <f t="shared" si="16"/>
        <v>0</v>
      </c>
      <c r="K289" s="44"/>
    </row>
    <row r="290" spans="1:11" x14ac:dyDescent="0.25">
      <c r="A290" s="57">
        <f>'A) Base RI'!A292</f>
        <v>5909</v>
      </c>
      <c r="B290" s="350" t="str">
        <f>'A) Base RI'!B292</f>
        <v>Cheseaux-Noréaz</v>
      </c>
      <c r="C290" s="109">
        <f>'B) D RI'!U292</f>
        <v>24771.110857142852</v>
      </c>
      <c r="D290" s="126">
        <f>'E) Fact soc'!G296/C290</f>
        <v>17.202422837136144</v>
      </c>
      <c r="E290" s="154">
        <f>'H) Péréquation directe'!I301/C290</f>
        <v>11.732721898393512</v>
      </c>
      <c r="F290" s="126">
        <f>'I) Dépenses thématiques'!P290</f>
        <v>-5.0249651414516698</v>
      </c>
      <c r="G290" s="154">
        <f t="shared" si="17"/>
        <v>23.910179594077984</v>
      </c>
      <c r="H290" s="126">
        <f t="shared" si="18"/>
        <v>28.935144735529654</v>
      </c>
      <c r="I290" s="154">
        <f t="shared" si="19"/>
        <v>0</v>
      </c>
      <c r="J290" s="66">
        <f t="shared" si="16"/>
        <v>0</v>
      </c>
      <c r="K290" s="44"/>
    </row>
    <row r="291" spans="1:11" x14ac:dyDescent="0.25">
      <c r="A291" s="57">
        <f>'A) Base RI'!A293</f>
        <v>5910</v>
      </c>
      <c r="B291" s="350" t="str">
        <f>'A) Base RI'!B293</f>
        <v>Cronay</v>
      </c>
      <c r="C291" s="109">
        <f>'B) D RI'!U293</f>
        <v>10097.267848101266</v>
      </c>
      <c r="D291" s="126">
        <f>'E) Fact soc'!G297/C291</f>
        <v>16.977008689292994</v>
      </c>
      <c r="E291" s="154">
        <f>'H) Péréquation directe'!I302/C291</f>
        <v>-2.4548602460833311</v>
      </c>
      <c r="F291" s="126">
        <f>'I) Dépenses thématiques'!P291</f>
        <v>-11.970095165792438</v>
      </c>
      <c r="G291" s="154">
        <f t="shared" si="17"/>
        <v>2.5520532774172242</v>
      </c>
      <c r="H291" s="126">
        <f t="shared" si="18"/>
        <v>14.522148443209662</v>
      </c>
      <c r="I291" s="154">
        <f t="shared" si="19"/>
        <v>0</v>
      </c>
      <c r="J291" s="66">
        <f t="shared" si="16"/>
        <v>0</v>
      </c>
      <c r="K291" s="44"/>
    </row>
    <row r="292" spans="1:11" x14ac:dyDescent="0.25">
      <c r="A292" s="57">
        <f>'A) Base RI'!A294</f>
        <v>5911</v>
      </c>
      <c r="B292" s="350" t="str">
        <f>'A) Base RI'!B294</f>
        <v>Cuarny</v>
      </c>
      <c r="C292" s="109">
        <f>'B) D RI'!U294</f>
        <v>7741.5774683544305</v>
      </c>
      <c r="D292" s="126">
        <f>'E) Fact soc'!G298/C292</f>
        <v>15.251779980669722</v>
      </c>
      <c r="E292" s="154">
        <f>'H) Péréquation directe'!I303/C292</f>
        <v>6.1534335310475408</v>
      </c>
      <c r="F292" s="126">
        <f>'I) Dépenses thématiques'!P292</f>
        <v>-13.782211193361357</v>
      </c>
      <c r="G292" s="154">
        <f t="shared" si="17"/>
        <v>7.6230023183559066</v>
      </c>
      <c r="H292" s="126">
        <f t="shared" si="18"/>
        <v>21.405213511717264</v>
      </c>
      <c r="I292" s="154">
        <f t="shared" si="19"/>
        <v>0</v>
      </c>
      <c r="J292" s="66">
        <f t="shared" si="16"/>
        <v>0</v>
      </c>
      <c r="K292" s="44"/>
    </row>
    <row r="293" spans="1:11" x14ac:dyDescent="0.25">
      <c r="A293" s="57">
        <f>'A) Base RI'!A295</f>
        <v>5912</v>
      </c>
      <c r="B293" s="350" t="str">
        <f>'A) Base RI'!B295</f>
        <v>Démoret</v>
      </c>
      <c r="C293" s="109">
        <f>'B) D RI'!U295</f>
        <v>2761.8208641975311</v>
      </c>
      <c r="D293" s="126">
        <f>'E) Fact soc'!G299/C293</f>
        <v>16.931293718231217</v>
      </c>
      <c r="E293" s="154">
        <f>'H) Péréquation directe'!I304/C293</f>
        <v>-13.612072158411877</v>
      </c>
      <c r="F293" s="126">
        <f>'I) Dépenses thématiques'!P293</f>
        <v>-6.2927020612761932</v>
      </c>
      <c r="G293" s="154">
        <f t="shared" si="17"/>
        <v>-2.9734805014568533</v>
      </c>
      <c r="H293" s="126">
        <f t="shared" si="18"/>
        <v>3.31922155981934</v>
      </c>
      <c r="I293" s="154">
        <f t="shared" si="19"/>
        <v>0</v>
      </c>
      <c r="J293" s="66">
        <f t="shared" si="16"/>
        <v>0</v>
      </c>
      <c r="K293" s="44"/>
    </row>
    <row r="294" spans="1:11" x14ac:dyDescent="0.25">
      <c r="A294" s="57">
        <f>'A) Base RI'!A296</f>
        <v>5913</v>
      </c>
      <c r="B294" s="350" t="str">
        <f>'A) Base RI'!B296</f>
        <v>Donneloye</v>
      </c>
      <c r="C294" s="109">
        <f>'B) D RI'!U296</f>
        <v>21023.999589041094</v>
      </c>
      <c r="D294" s="126">
        <f>'E) Fact soc'!G300/C294</f>
        <v>18.251129077865865</v>
      </c>
      <c r="E294" s="154">
        <f>'H) Péréquation directe'!I305/C294</f>
        <v>0.72665350528119033</v>
      </c>
      <c r="F294" s="126">
        <f>'I) Dépenses thématiques'!P294</f>
        <v>-3.6448619257090593</v>
      </c>
      <c r="G294" s="154">
        <f t="shared" si="17"/>
        <v>15.332920657437999</v>
      </c>
      <c r="H294" s="126">
        <f t="shared" si="18"/>
        <v>18.977782583147057</v>
      </c>
      <c r="I294" s="154">
        <f t="shared" si="19"/>
        <v>0</v>
      </c>
      <c r="J294" s="66">
        <f t="shared" si="16"/>
        <v>0</v>
      </c>
      <c r="K294" s="44"/>
    </row>
    <row r="295" spans="1:11" x14ac:dyDescent="0.25">
      <c r="A295" s="57">
        <f>'A) Base RI'!A297</f>
        <v>5914</v>
      </c>
      <c r="B295" s="350" t="str">
        <f>'A) Base RI'!B297</f>
        <v>Ependes</v>
      </c>
      <c r="C295" s="109">
        <f>'B) D RI'!U297</f>
        <v>8838.0616000000009</v>
      </c>
      <c r="D295" s="126">
        <f>'E) Fact soc'!G301/C295</f>
        <v>15.917715018803005</v>
      </c>
      <c r="E295" s="154">
        <f>'H) Péréquation directe'!I306/C295</f>
        <v>-2.9161859215690011</v>
      </c>
      <c r="F295" s="126">
        <f>'I) Dépenses thématiques'!P295</f>
        <v>-4.2409923267085006</v>
      </c>
      <c r="G295" s="154">
        <f t="shared" si="17"/>
        <v>8.7605367705255031</v>
      </c>
      <c r="H295" s="126">
        <f t="shared" si="18"/>
        <v>13.001529097234004</v>
      </c>
      <c r="I295" s="154">
        <f t="shared" si="19"/>
        <v>0</v>
      </c>
      <c r="J295" s="66">
        <f t="shared" si="16"/>
        <v>0</v>
      </c>
      <c r="K295" s="44"/>
    </row>
    <row r="296" spans="1:11" x14ac:dyDescent="0.25">
      <c r="A296" s="57">
        <f>'A) Base RI'!A298</f>
        <v>5919</v>
      </c>
      <c r="B296" s="350" t="str">
        <f>'A) Base RI'!B298</f>
        <v>Mathod</v>
      </c>
      <c r="C296" s="109">
        <f>'B) D RI'!U298</f>
        <v>16883.878828828827</v>
      </c>
      <c r="D296" s="126">
        <f>'E) Fact soc'!G302/C296</f>
        <v>20.188689615917252</v>
      </c>
      <c r="E296" s="154">
        <f>'H) Péréquation directe'!I307/C296</f>
        <v>1.0759892757533172</v>
      </c>
      <c r="F296" s="126">
        <f>'I) Dépenses thématiques'!P296</f>
        <v>-6.0637400933724832</v>
      </c>
      <c r="G296" s="154">
        <f t="shared" si="17"/>
        <v>15.200938798298086</v>
      </c>
      <c r="H296" s="126">
        <f t="shared" si="18"/>
        <v>21.26467889167057</v>
      </c>
      <c r="I296" s="154">
        <f t="shared" si="19"/>
        <v>0</v>
      </c>
      <c r="J296" s="66">
        <f t="shared" si="16"/>
        <v>0</v>
      </c>
      <c r="K296" s="44"/>
    </row>
    <row r="297" spans="1:11" x14ac:dyDescent="0.25">
      <c r="A297" s="57">
        <f>'A) Base RI'!A299</f>
        <v>5921</v>
      </c>
      <c r="B297" s="350" t="str">
        <f>'A) Base RI'!B299</f>
        <v>Molondin</v>
      </c>
      <c r="C297" s="109">
        <f>'B) D RI'!U299</f>
        <v>5518.0840740740732</v>
      </c>
      <c r="D297" s="126">
        <f>'E) Fact soc'!G303/C297</f>
        <v>18.303619021007208</v>
      </c>
      <c r="E297" s="154">
        <f>'H) Péréquation directe'!I308/C297</f>
        <v>-5.7592182654128221</v>
      </c>
      <c r="F297" s="126">
        <f>'I) Dépenses thématiques'!P297</f>
        <v>-11.896591963405255</v>
      </c>
      <c r="G297" s="154">
        <f t="shared" si="17"/>
        <v>0.64780879218912979</v>
      </c>
      <c r="H297" s="126">
        <f t="shared" si="18"/>
        <v>12.544400755594385</v>
      </c>
      <c r="I297" s="154">
        <f t="shared" si="19"/>
        <v>0</v>
      </c>
      <c r="J297" s="66">
        <f t="shared" si="16"/>
        <v>0</v>
      </c>
      <c r="K297" s="44"/>
    </row>
    <row r="298" spans="1:11" x14ac:dyDescent="0.25">
      <c r="A298" s="57">
        <f>'A) Base RI'!A300</f>
        <v>5922</v>
      </c>
      <c r="B298" s="350" t="str">
        <f>'A) Base RI'!B300</f>
        <v>Montagny-près-Yverdon</v>
      </c>
      <c r="C298" s="109">
        <f>'B) D RI'!U300</f>
        <v>45028.443278688515</v>
      </c>
      <c r="D298" s="126">
        <f>'E) Fact soc'!G304/C298</f>
        <v>18.281316658870946</v>
      </c>
      <c r="E298" s="154">
        <f>'H) Péréquation directe'!I309/C298</f>
        <v>16.897974634056315</v>
      </c>
      <c r="F298" s="126">
        <f>'I) Dépenses thématiques'!P298</f>
        <v>-2.4990210601283658</v>
      </c>
      <c r="G298" s="154">
        <f t="shared" si="17"/>
        <v>32.680270232798897</v>
      </c>
      <c r="H298" s="126">
        <f t="shared" si="18"/>
        <v>35.17929129292726</v>
      </c>
      <c r="I298" s="154">
        <f t="shared" si="19"/>
        <v>0</v>
      </c>
      <c r="J298" s="66">
        <f t="shared" si="16"/>
        <v>0</v>
      </c>
      <c r="K298" s="44"/>
    </row>
    <row r="299" spans="1:11" x14ac:dyDescent="0.25">
      <c r="A299" s="57">
        <f>'A) Base RI'!A301</f>
        <v>5923</v>
      </c>
      <c r="B299" s="350" t="str">
        <f>'A) Base RI'!B301</f>
        <v>Oppens</v>
      </c>
      <c r="C299" s="109">
        <f>'B) D RI'!U301</f>
        <v>4881.0219753086412</v>
      </c>
      <c r="D299" s="126">
        <f>'E) Fact soc'!G305/C299</f>
        <v>21.474005407291568</v>
      </c>
      <c r="E299" s="154">
        <f>'H) Péréquation directe'!I310/C299</f>
        <v>-2.9096257661507572</v>
      </c>
      <c r="F299" s="126">
        <f>'I) Dépenses thématiques'!P299</f>
        <v>-7.8013026376129018</v>
      </c>
      <c r="G299" s="154">
        <f t="shared" si="17"/>
        <v>10.763077003527908</v>
      </c>
      <c r="H299" s="126">
        <f t="shared" si="18"/>
        <v>18.56437964114081</v>
      </c>
      <c r="I299" s="154">
        <f t="shared" si="19"/>
        <v>0</v>
      </c>
      <c r="J299" s="66">
        <f t="shared" si="16"/>
        <v>0</v>
      </c>
      <c r="K299" s="44"/>
    </row>
    <row r="300" spans="1:11" x14ac:dyDescent="0.25">
      <c r="A300" s="57">
        <f>'A) Base RI'!A302</f>
        <v>5924</v>
      </c>
      <c r="B300" s="350" t="str">
        <f>'A) Base RI'!B302</f>
        <v>Orges</v>
      </c>
      <c r="C300" s="109">
        <f>'B) D RI'!U302</f>
        <v>9476.448378378378</v>
      </c>
      <c r="D300" s="126">
        <f>'E) Fact soc'!G306/C300</f>
        <v>17.131926574951795</v>
      </c>
      <c r="E300" s="154">
        <f>'H) Péréquation directe'!I311/C300</f>
        <v>7.1175886827537251</v>
      </c>
      <c r="F300" s="126">
        <f>'I) Dépenses thématiques'!P300</f>
        <v>0</v>
      </c>
      <c r="G300" s="154">
        <f t="shared" si="17"/>
        <v>24.249515257705518</v>
      </c>
      <c r="H300" s="126">
        <f t="shared" si="18"/>
        <v>24.249515257705518</v>
      </c>
      <c r="I300" s="154">
        <f t="shared" si="19"/>
        <v>0</v>
      </c>
      <c r="J300" s="66">
        <f t="shared" si="16"/>
        <v>0</v>
      </c>
      <c r="K300" s="44"/>
    </row>
    <row r="301" spans="1:11" x14ac:dyDescent="0.25">
      <c r="A301" s="57">
        <f>'A) Base RI'!A303</f>
        <v>5925</v>
      </c>
      <c r="B301" s="350" t="str">
        <f>'A) Base RI'!B303</f>
        <v>Orzens</v>
      </c>
      <c r="C301" s="109">
        <f>'B) D RI'!U303</f>
        <v>4875.4426582278484</v>
      </c>
      <c r="D301" s="126">
        <f>'E) Fact soc'!G307/C301</f>
        <v>17.592816476491045</v>
      </c>
      <c r="E301" s="154">
        <f>'H) Péréquation directe'!I312/C301</f>
        <v>-6.6093557244627208</v>
      </c>
      <c r="F301" s="126">
        <f>'I) Dépenses thématiques'!P301</f>
        <v>-2.4054288304157407</v>
      </c>
      <c r="G301" s="154">
        <f t="shared" si="17"/>
        <v>8.5780319216125847</v>
      </c>
      <c r="H301" s="126">
        <f t="shared" si="18"/>
        <v>10.983460752028325</v>
      </c>
      <c r="I301" s="154">
        <f t="shared" si="19"/>
        <v>0</v>
      </c>
      <c r="J301" s="66">
        <f t="shared" si="16"/>
        <v>0</v>
      </c>
      <c r="K301" s="44"/>
    </row>
    <row r="302" spans="1:11" x14ac:dyDescent="0.25">
      <c r="A302" s="57">
        <f>'A) Base RI'!A304</f>
        <v>5926</v>
      </c>
      <c r="B302" s="350" t="str">
        <f>'A) Base RI'!B304</f>
        <v>Pomy</v>
      </c>
      <c r="C302" s="109">
        <f>'B) D RI'!U304</f>
        <v>22774.42661971831</v>
      </c>
      <c r="D302" s="126">
        <f>'E) Fact soc'!G308/C302</f>
        <v>18.271754134985574</v>
      </c>
      <c r="E302" s="154">
        <f>'H) Péréquation directe'!I313/C302</f>
        <v>5.2231744355626146</v>
      </c>
      <c r="F302" s="126">
        <f>'I) Dépenses thématiques'!P302</f>
        <v>-0.92864164518437209</v>
      </c>
      <c r="G302" s="154">
        <f t="shared" si="17"/>
        <v>22.566286925363819</v>
      </c>
      <c r="H302" s="126">
        <f t="shared" si="18"/>
        <v>23.49492857054819</v>
      </c>
      <c r="I302" s="154">
        <f t="shared" si="19"/>
        <v>0</v>
      </c>
      <c r="J302" s="66">
        <f t="shared" si="16"/>
        <v>0</v>
      </c>
      <c r="K302" s="44"/>
    </row>
    <row r="303" spans="1:11" x14ac:dyDescent="0.25">
      <c r="A303" s="57">
        <f>'A) Base RI'!A305</f>
        <v>5928</v>
      </c>
      <c r="B303" s="350" t="str">
        <f>'A) Base RI'!B305</f>
        <v>Rovray</v>
      </c>
      <c r="C303" s="109">
        <f>'B) D RI'!U305</f>
        <v>4451.7282191780823</v>
      </c>
      <c r="D303" s="126">
        <f>'E) Fact soc'!G309/C303</f>
        <v>17.218073352871201</v>
      </c>
      <c r="E303" s="154">
        <f>'H) Péréquation directe'!I314/C303</f>
        <v>-0.95447854275950117</v>
      </c>
      <c r="F303" s="126">
        <f>'I) Dépenses thématiques'!P303</f>
        <v>-2.3273239914367485</v>
      </c>
      <c r="G303" s="154">
        <f t="shared" si="17"/>
        <v>13.936270818674952</v>
      </c>
      <c r="H303" s="126">
        <f t="shared" si="18"/>
        <v>16.263594810111702</v>
      </c>
      <c r="I303" s="154">
        <f t="shared" si="19"/>
        <v>0</v>
      </c>
      <c r="J303" s="66">
        <f t="shared" si="16"/>
        <v>0</v>
      </c>
      <c r="K303" s="44"/>
    </row>
    <row r="304" spans="1:11" x14ac:dyDescent="0.25">
      <c r="A304" s="57">
        <f>'A) Base RI'!A306</f>
        <v>5929</v>
      </c>
      <c r="B304" s="350" t="str">
        <f>'A) Base RI'!B306</f>
        <v>Suchy</v>
      </c>
      <c r="C304" s="109">
        <f>'B) D RI'!U306</f>
        <v>16583.788428571432</v>
      </c>
      <c r="D304" s="126">
        <f>'E) Fact soc'!G310/C304</f>
        <v>16.824852509231597</v>
      </c>
      <c r="E304" s="154">
        <f>'H) Péréquation directe'!I315/C304</f>
        <v>2.3910361465277701</v>
      </c>
      <c r="F304" s="126">
        <f>'I) Dépenses thématiques'!P304</f>
        <v>-0.93888725136618256</v>
      </c>
      <c r="G304" s="154">
        <f t="shared" si="17"/>
        <v>18.277001404393186</v>
      </c>
      <c r="H304" s="126">
        <f t="shared" si="18"/>
        <v>19.215888655759368</v>
      </c>
      <c r="I304" s="154">
        <f t="shared" si="19"/>
        <v>0</v>
      </c>
      <c r="J304" s="66">
        <f t="shared" si="16"/>
        <v>0</v>
      </c>
      <c r="K304" s="44"/>
    </row>
    <row r="305" spans="1:13" x14ac:dyDescent="0.25">
      <c r="A305" s="57">
        <f>'A) Base RI'!A307</f>
        <v>5930</v>
      </c>
      <c r="B305" s="350" t="str">
        <f>'A) Base RI'!B307</f>
        <v>Suscévaz</v>
      </c>
      <c r="C305" s="109">
        <f>'B) D RI'!U307</f>
        <v>4886.5228787878787</v>
      </c>
      <c r="D305" s="126">
        <f>'E) Fact soc'!G311/C305</f>
        <v>17.771490772466915</v>
      </c>
      <c r="E305" s="154">
        <f>'H) Péréquation directe'!I316/C305</f>
        <v>-0.43450129666059611</v>
      </c>
      <c r="F305" s="126">
        <f>'I) Dépenses thématiques'!P305</f>
        <v>-7.7468481323945765E-2</v>
      </c>
      <c r="G305" s="154">
        <f t="shared" si="17"/>
        <v>17.259520994482372</v>
      </c>
      <c r="H305" s="126">
        <f t="shared" si="18"/>
        <v>17.33698947580632</v>
      </c>
      <c r="I305" s="154">
        <f t="shared" si="19"/>
        <v>0</v>
      </c>
      <c r="J305" s="66">
        <f t="shared" si="16"/>
        <v>0</v>
      </c>
      <c r="K305" s="44"/>
    </row>
    <row r="306" spans="1:13" x14ac:dyDescent="0.25">
      <c r="A306" s="57">
        <f>'A) Base RI'!A308</f>
        <v>5931</v>
      </c>
      <c r="B306" s="350" t="str">
        <f>'A) Base RI'!B308</f>
        <v>Treycovagnes</v>
      </c>
      <c r="C306" s="109">
        <f>'B) D RI'!U308</f>
        <v>16368.774155844154</v>
      </c>
      <c r="D306" s="126">
        <f>'E) Fact soc'!G312/C306</f>
        <v>15.970320728218571</v>
      </c>
      <c r="E306" s="154">
        <f>'H) Péréquation directe'!I317/C306</f>
        <v>10.573969638390233</v>
      </c>
      <c r="F306" s="126">
        <f>'I) Dépenses thématiques'!P306</f>
        <v>0</v>
      </c>
      <c r="G306" s="154">
        <f t="shared" si="17"/>
        <v>26.544290366608806</v>
      </c>
      <c r="H306" s="126">
        <f t="shared" si="18"/>
        <v>26.544290366608806</v>
      </c>
      <c r="I306" s="154">
        <f t="shared" si="19"/>
        <v>0</v>
      </c>
      <c r="J306" s="66">
        <f t="shared" si="16"/>
        <v>0</v>
      </c>
      <c r="K306" s="44"/>
    </row>
    <row r="307" spans="1:13" x14ac:dyDescent="0.25">
      <c r="A307" s="57">
        <f>'A) Base RI'!A309</f>
        <v>5932</v>
      </c>
      <c r="B307" s="350" t="str">
        <f>'A) Base RI'!B309</f>
        <v>Ursins</v>
      </c>
      <c r="C307" s="109">
        <f>'B) D RI'!U309</f>
        <v>6366.2738461538456</v>
      </c>
      <c r="D307" s="126">
        <f>'E) Fact soc'!G313/C307</f>
        <v>16.474903317351561</v>
      </c>
      <c r="E307" s="154">
        <f>'H) Péréquation directe'!I318/C307</f>
        <v>3.5539452712798285</v>
      </c>
      <c r="F307" s="126">
        <f>'I) Dépenses thématiques'!P307</f>
        <v>-23.107178774369952</v>
      </c>
      <c r="G307" s="154">
        <f t="shared" si="17"/>
        <v>-3.0783301857385617</v>
      </c>
      <c r="H307" s="126">
        <f t="shared" si="18"/>
        <v>20.028848588631391</v>
      </c>
      <c r="I307" s="154">
        <f t="shared" si="19"/>
        <v>0</v>
      </c>
      <c r="J307" s="66">
        <f t="shared" si="16"/>
        <v>0</v>
      </c>
      <c r="K307" s="44"/>
    </row>
    <row r="308" spans="1:13" x14ac:dyDescent="0.25">
      <c r="A308" s="57">
        <f>'A) Base RI'!A310</f>
        <v>5933</v>
      </c>
      <c r="B308" s="350" t="str">
        <f>'A) Base RI'!B310</f>
        <v>Valeyres-sous-Montagny</v>
      </c>
      <c r="C308" s="109">
        <f>'B) D RI'!U310</f>
        <v>19578.46263888889</v>
      </c>
      <c r="D308" s="126">
        <f>'E) Fact soc'!G314/C308</f>
        <v>17.517021698844943</v>
      </c>
      <c r="E308" s="154">
        <f>'H) Péréquation directe'!I319/C308</f>
        <v>3.0459957853417028</v>
      </c>
      <c r="F308" s="126">
        <f>'I) Dépenses thématiques'!P308</f>
        <v>-14.35886713703492</v>
      </c>
      <c r="G308" s="154">
        <f t="shared" si="17"/>
        <v>6.2041503471517245</v>
      </c>
      <c r="H308" s="126">
        <f t="shared" si="18"/>
        <v>20.563017484186645</v>
      </c>
      <c r="I308" s="154">
        <f t="shared" si="19"/>
        <v>0</v>
      </c>
      <c r="J308" s="66">
        <f t="shared" si="16"/>
        <v>0</v>
      </c>
      <c r="K308" s="44"/>
    </row>
    <row r="309" spans="1:13" x14ac:dyDescent="0.25">
      <c r="A309" s="57">
        <f>'A) Base RI'!A311</f>
        <v>5934</v>
      </c>
      <c r="B309" s="350" t="str">
        <f>'A) Base RI'!B311</f>
        <v>Valeyres-sous-Ursins</v>
      </c>
      <c r="C309" s="109">
        <f>'B) D RI'!U311</f>
        <v>6856.0722784810141</v>
      </c>
      <c r="D309" s="126">
        <f>'E) Fact soc'!G315/C309</f>
        <v>17.751848934708153</v>
      </c>
      <c r="E309" s="154">
        <f>'H) Péréquation directe'!I320/C309</f>
        <v>-0.48368538165657998</v>
      </c>
      <c r="F309" s="126">
        <f>'I) Dépenses thématiques'!P309</f>
        <v>-1.3931430931756803</v>
      </c>
      <c r="G309" s="154">
        <f t="shared" si="17"/>
        <v>15.875020459875891</v>
      </c>
      <c r="H309" s="126">
        <f t="shared" si="18"/>
        <v>17.268163553051572</v>
      </c>
      <c r="I309" s="154">
        <f t="shared" si="19"/>
        <v>0</v>
      </c>
      <c r="J309" s="66">
        <f t="shared" si="16"/>
        <v>0</v>
      </c>
      <c r="K309" s="44"/>
    </row>
    <row r="310" spans="1:13" x14ac:dyDescent="0.25">
      <c r="A310" s="57">
        <f>'A) Base RI'!A312</f>
        <v>5935</v>
      </c>
      <c r="B310" s="350" t="str">
        <f>'A) Base RI'!B312</f>
        <v>Villars-Epeney</v>
      </c>
      <c r="C310" s="109">
        <f>'B) D RI'!U312</f>
        <v>4252.6353333333336</v>
      </c>
      <c r="D310" s="126">
        <f>'E) Fact soc'!G316/C310</f>
        <v>17.483395555215548</v>
      </c>
      <c r="E310" s="154">
        <f>'H) Péréquation directe'!I321/C310</f>
        <v>14.667569144009574</v>
      </c>
      <c r="F310" s="126">
        <f>'I) Dépenses thématiques'!P310</f>
        <v>-3.0281756670990672</v>
      </c>
      <c r="G310" s="154">
        <f t="shared" si="17"/>
        <v>29.122789032126054</v>
      </c>
      <c r="H310" s="126">
        <f t="shared" si="18"/>
        <v>32.150964699225121</v>
      </c>
      <c r="I310" s="154">
        <f t="shared" si="19"/>
        <v>0</v>
      </c>
      <c r="J310" s="66">
        <f t="shared" si="16"/>
        <v>0</v>
      </c>
      <c r="K310" s="44"/>
    </row>
    <row r="311" spans="1:13" x14ac:dyDescent="0.25">
      <c r="A311" s="57">
        <f>'A) Base RI'!A313</f>
        <v>5937</v>
      </c>
      <c r="B311" s="350" t="str">
        <f>'A) Base RI'!B313</f>
        <v>Vugelles-La Mothe</v>
      </c>
      <c r="C311" s="109">
        <f>'B) D RI'!U313</f>
        <v>2272.9823469387752</v>
      </c>
      <c r="D311" s="126">
        <f>'E) Fact soc'!G317/C311</f>
        <v>18.341362566903236</v>
      </c>
      <c r="E311" s="154">
        <f>'H) Péréquation directe'!I322/C311</f>
        <v>-19.660908721077138</v>
      </c>
      <c r="F311" s="126">
        <f>'I) Dépenses thématiques'!P311</f>
        <v>-13.230137203982805</v>
      </c>
      <c r="G311" s="154">
        <f t="shared" si="17"/>
        <v>-14.549683358156708</v>
      </c>
      <c r="H311" s="126">
        <f t="shared" si="18"/>
        <v>-1.3195461541739029</v>
      </c>
      <c r="I311" s="154">
        <f t="shared" si="19"/>
        <v>0</v>
      </c>
      <c r="J311" s="66">
        <f t="shared" si="16"/>
        <v>0</v>
      </c>
      <c r="K311" s="44"/>
    </row>
    <row r="312" spans="1:13" x14ac:dyDescent="0.25">
      <c r="A312" s="57">
        <f>'A) Base RI'!A314</f>
        <v>5938</v>
      </c>
      <c r="B312" s="350" t="str">
        <f>'A) Base RI'!B314</f>
        <v>Yverdon-les-Bains</v>
      </c>
      <c r="C312" s="109">
        <f>'B) D RI'!U314</f>
        <v>809245.0162091502</v>
      </c>
      <c r="D312" s="126">
        <f>'E) Fact soc'!G318/C312</f>
        <v>18.866454409064485</v>
      </c>
      <c r="E312" s="154">
        <f>'H) Péréquation directe'!I323/C312</f>
        <v>-27.011679425160548</v>
      </c>
      <c r="F312" s="126">
        <f>'I) Dépenses thématiques'!P312</f>
        <v>-9.4998270923782719</v>
      </c>
      <c r="G312" s="154">
        <f t="shared" si="17"/>
        <v>-17.645052108474335</v>
      </c>
      <c r="H312" s="126">
        <f t="shared" si="18"/>
        <v>-8.1452250160960631</v>
      </c>
      <c r="I312" s="154">
        <f t="shared" si="19"/>
        <v>-1.6452250160960631</v>
      </c>
      <c r="J312" s="66">
        <f t="shared" si="16"/>
        <v>1331390.1448183579</v>
      </c>
      <c r="K312" s="44"/>
    </row>
    <row r="313" spans="1:13" x14ac:dyDescent="0.25">
      <c r="A313" s="57">
        <f>'A) Base RI'!A315</f>
        <v>5939</v>
      </c>
      <c r="B313" s="350" t="str">
        <f>'A) Base RI'!B315</f>
        <v>Yvonand</v>
      </c>
      <c r="C313" s="109">
        <f>'B) D RI'!U315</f>
        <v>88261.067808219188</v>
      </c>
      <c r="D313" s="126">
        <f>'E) Fact soc'!G319/C313</f>
        <v>20.180848008640289</v>
      </c>
      <c r="E313" s="154">
        <f>'H) Péréquation directe'!I324/C313</f>
        <v>-5.5002188410315478</v>
      </c>
      <c r="F313" s="126">
        <f>'I) Dépenses thématiques'!P313</f>
        <v>-3.1009518073351332</v>
      </c>
      <c r="G313" s="154">
        <f t="shared" si="17"/>
        <v>11.57967736027361</v>
      </c>
      <c r="H313" s="126">
        <f t="shared" si="18"/>
        <v>14.680629167608743</v>
      </c>
      <c r="I313" s="154">
        <f t="shared" si="19"/>
        <v>0</v>
      </c>
      <c r="J313" s="66">
        <f t="shared" si="16"/>
        <v>0</v>
      </c>
      <c r="K313" s="44"/>
    </row>
    <row r="314" spans="1:13" x14ac:dyDescent="0.25">
      <c r="A314" s="38"/>
      <c r="B314" s="357">
        <f>COUNTA(B5:B313)</f>
        <v>309</v>
      </c>
      <c r="C314" s="111">
        <f>'B) D RI'!U316</f>
        <v>36265640.391085088</v>
      </c>
      <c r="D314" s="366">
        <f>'E) Fact soc'!G320/C314</f>
        <v>21.24672256413297</v>
      </c>
      <c r="E314" s="125">
        <f>'H) Péréquation directe'!I325/C314</f>
        <v>4.0909513379670104</v>
      </c>
      <c r="F314" s="366">
        <f>'I) Dépenses thématiques'!P314</f>
        <v>-3.9999999999999942</v>
      </c>
      <c r="G314" s="125">
        <f t="shared" ref="G314" si="20">SUM(D314:F314)</f>
        <v>21.337673902099986</v>
      </c>
      <c r="H314" s="366">
        <f t="shared" ref="H314" si="21">G314-F314</f>
        <v>25.337673902099979</v>
      </c>
      <c r="I314" s="125">
        <f t="shared" ref="I314" si="22">IF(H314&lt;I$4,H314-I$4,0)</f>
        <v>0</v>
      </c>
      <c r="J314" s="45">
        <f>SUM(J5:J313)</f>
        <v>3685638.2806084994</v>
      </c>
      <c r="L314" s="17"/>
      <c r="M314" s="17"/>
    </row>
    <row r="315" spans="1:13" x14ac:dyDescent="0.25">
      <c r="I315" s="36"/>
    </row>
    <row r="316" spans="1:13" x14ac:dyDescent="0.25">
      <c r="I316" s="36"/>
    </row>
  </sheetData>
  <sheetProtection password="E95E" sheet="1" objects="1" scenarios="1"/>
  <mergeCells count="9">
    <mergeCell ref="C3:C4"/>
    <mergeCell ref="B3:B4"/>
    <mergeCell ref="A3:A4"/>
    <mergeCell ref="J3:J4"/>
    <mergeCell ref="H3:H4"/>
    <mergeCell ref="G3:G4"/>
    <mergeCell ref="F3:F4"/>
    <mergeCell ref="E3:E4"/>
    <mergeCell ref="D3:D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00B050"/>
  </sheetPr>
  <dimension ref="A1:V320"/>
  <sheetViews>
    <sheetView workbookViewId="0">
      <selection activeCell="B32" sqref="B32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1.125" style="18" customWidth="1"/>
    <col min="4" max="4" width="11.25" style="18" customWidth="1"/>
    <col min="5" max="6" width="10.125" style="18" customWidth="1"/>
    <col min="7" max="8" width="11" style="18" customWidth="1"/>
    <col min="9" max="9" width="8.625" style="18" bestFit="1" customWidth="1"/>
    <col min="10" max="10" width="12.125" style="18" bestFit="1" customWidth="1"/>
    <col min="11" max="11" width="10" style="18" customWidth="1"/>
    <col min="12" max="12" width="8.875" style="20" bestFit="1" customWidth="1"/>
    <col min="13" max="13" width="10.375" style="20" customWidth="1"/>
    <col min="14" max="14" width="10.375" style="18" customWidth="1"/>
    <col min="15" max="15" width="6.75" style="18" customWidth="1"/>
    <col min="16" max="16" width="12.25" style="18" customWidth="1"/>
    <col min="17" max="17" width="10.375" style="18" customWidth="1"/>
    <col min="18" max="18" width="8.25" style="18" customWidth="1"/>
    <col min="19" max="19" width="8.125" style="18" customWidth="1"/>
    <col min="20" max="20" width="9.625" style="18" customWidth="1"/>
    <col min="21" max="21" width="11.25" style="8" bestFit="1" customWidth="1"/>
    <col min="22" max="16384" width="10.75" style="18"/>
  </cols>
  <sheetData>
    <row r="1" spans="1:22" s="51" customFormat="1" ht="21" x14ac:dyDescent="0.25">
      <c r="A1" s="59" t="s">
        <v>131</v>
      </c>
      <c r="B1" s="50"/>
      <c r="C1" s="82"/>
      <c r="D1" s="82"/>
      <c r="E1" s="82"/>
      <c r="F1" s="82"/>
      <c r="G1" s="82"/>
      <c r="H1" s="82"/>
      <c r="I1" s="82"/>
      <c r="J1" s="82"/>
      <c r="K1" s="82"/>
      <c r="L1" s="152"/>
      <c r="M1" s="152"/>
      <c r="N1" s="82"/>
      <c r="O1" s="82"/>
      <c r="P1" s="82"/>
      <c r="Q1" s="82"/>
      <c r="R1" s="82"/>
      <c r="S1" s="82"/>
      <c r="T1" s="82"/>
      <c r="U1" s="8"/>
    </row>
    <row r="2" spans="1:22" x14ac:dyDescent="0.25">
      <c r="C2" s="160"/>
      <c r="D2" s="160"/>
      <c r="E2" s="160"/>
      <c r="F2" s="160"/>
      <c r="G2" s="160"/>
      <c r="H2" s="160"/>
      <c r="I2" s="160"/>
    </row>
    <row r="3" spans="1:22" x14ac:dyDescent="0.25">
      <c r="C3" s="463" t="str">
        <f>Paramètres!B6</f>
        <v>Acomptes 2017</v>
      </c>
      <c r="D3" s="464"/>
      <c r="E3" s="464"/>
      <c r="F3" s="464"/>
      <c r="G3" s="464"/>
      <c r="H3" s="464"/>
      <c r="I3" s="465"/>
    </row>
    <row r="4" spans="1:22" ht="30" x14ac:dyDescent="0.25">
      <c r="A4" s="436" t="s">
        <v>50</v>
      </c>
      <c r="B4" s="436" t="s">
        <v>101</v>
      </c>
      <c r="C4" s="436" t="s">
        <v>98</v>
      </c>
      <c r="D4" s="466" t="s">
        <v>150</v>
      </c>
      <c r="E4" s="436" t="s">
        <v>452</v>
      </c>
      <c r="F4" s="436" t="s">
        <v>258</v>
      </c>
      <c r="G4" s="436" t="s">
        <v>259</v>
      </c>
      <c r="H4" s="436" t="s">
        <v>366</v>
      </c>
      <c r="I4" s="74" t="s">
        <v>377</v>
      </c>
      <c r="J4" s="74" t="s">
        <v>377</v>
      </c>
      <c r="K4" s="449" t="s">
        <v>471</v>
      </c>
      <c r="L4" s="456" t="s">
        <v>365</v>
      </c>
      <c r="M4" s="456" t="s">
        <v>268</v>
      </c>
      <c r="N4" s="436" t="s">
        <v>269</v>
      </c>
      <c r="O4" s="451" t="s">
        <v>130</v>
      </c>
      <c r="P4" s="128" t="s">
        <v>131</v>
      </c>
      <c r="Q4" s="449" t="s">
        <v>378</v>
      </c>
      <c r="R4" s="436" t="s">
        <v>132</v>
      </c>
      <c r="S4" s="436" t="s">
        <v>262</v>
      </c>
      <c r="T4" s="161"/>
    </row>
    <row r="5" spans="1:22" ht="30" x14ac:dyDescent="0.25">
      <c r="A5" s="438"/>
      <c r="B5" s="438"/>
      <c r="C5" s="438"/>
      <c r="D5" s="467"/>
      <c r="E5" s="438"/>
      <c r="F5" s="438"/>
      <c r="G5" s="438"/>
      <c r="H5" s="438"/>
      <c r="I5" s="75" t="str">
        <f>Paramètres!B6</f>
        <v>Acomptes 2017</v>
      </c>
      <c r="J5" s="118" t="str">
        <f>Paramètres!B5</f>
        <v>Acomptes 2018</v>
      </c>
      <c r="K5" s="450"/>
      <c r="L5" s="462"/>
      <c r="M5" s="462"/>
      <c r="N5" s="438"/>
      <c r="O5" s="452"/>
      <c r="P5" s="133">
        <f>Paramètres!B50</f>
        <v>90.917594759603773</v>
      </c>
      <c r="Q5" s="450"/>
      <c r="R5" s="438"/>
      <c r="S5" s="438"/>
      <c r="T5" s="155"/>
    </row>
    <row r="6" spans="1:22" x14ac:dyDescent="0.25">
      <c r="A6" s="54">
        <f>'A) Base RI'!A7</f>
        <v>5401</v>
      </c>
      <c r="B6" s="63" t="str">
        <f>'A) Base RI'!B7</f>
        <v>Aigle</v>
      </c>
      <c r="C6" s="168">
        <v>4902430.7602059953</v>
      </c>
      <c r="D6" s="169">
        <v>-3014591.6934490083</v>
      </c>
      <c r="E6" s="170">
        <v>0</v>
      </c>
      <c r="F6" s="169">
        <v>0</v>
      </c>
      <c r="G6" s="169">
        <v>0</v>
      </c>
      <c r="H6" s="171">
        <f>SUM(C6:G6)</f>
        <v>1887839.066756987</v>
      </c>
      <c r="I6" s="232">
        <v>260845.44622222218</v>
      </c>
      <c r="J6" s="108">
        <f>'B) D RI'!U7</f>
        <v>274204.16723456793</v>
      </c>
      <c r="K6" s="81">
        <f>H6/I6</f>
        <v>7.237385563360303</v>
      </c>
      <c r="L6" s="101">
        <f>'B) D RI'!S7</f>
        <v>67.5</v>
      </c>
      <c r="M6" s="101">
        <f>L6-K6</f>
        <v>60.262614436639694</v>
      </c>
      <c r="N6" s="140">
        <f>'J) Plafonnement effort'!G5+'J) Plafonnement effort'!H5-'K) Plafonnement aide'!I5</f>
        <v>2.7230176406310918</v>
      </c>
      <c r="O6" s="140">
        <f>M6+N6</f>
        <v>62.985632077270786</v>
      </c>
      <c r="P6" s="55">
        <f>IF(O6&gt;$P$5,$P$5-O6,0)</f>
        <v>0</v>
      </c>
      <c r="Q6" s="114">
        <f>P6*J6</f>
        <v>0</v>
      </c>
      <c r="R6" s="162">
        <f>O6+P6</f>
        <v>62.985632077270786</v>
      </c>
      <c r="S6" s="140">
        <f>R6-L6</f>
        <v>-4.5143679227292139</v>
      </c>
      <c r="T6" s="163"/>
      <c r="V6" s="17"/>
    </row>
    <row r="7" spans="1:22" x14ac:dyDescent="0.25">
      <c r="A7" s="57">
        <f>'A) Base RI'!A8</f>
        <v>5402</v>
      </c>
      <c r="B7" s="64" t="str">
        <f>'A) Base RI'!B8</f>
        <v>Bex</v>
      </c>
      <c r="C7" s="172">
        <v>3649663.5208985298</v>
      </c>
      <c r="D7" s="173">
        <v>-2710230.2441200926</v>
      </c>
      <c r="E7" s="174">
        <v>0</v>
      </c>
      <c r="F7" s="173">
        <v>0</v>
      </c>
      <c r="G7" s="173">
        <v>0</v>
      </c>
      <c r="H7" s="175">
        <f t="shared" ref="H7:H70" si="0">SUM(C7:G7)</f>
        <v>939433.2767784372</v>
      </c>
      <c r="I7" s="233">
        <v>175890.90239436619</v>
      </c>
      <c r="J7" s="109">
        <f>'B) D RI'!U8</f>
        <v>168618.65154929578</v>
      </c>
      <c r="K7" s="76">
        <f t="shared" ref="K7:K61" si="1">H7/I7</f>
        <v>5.3409998128961069</v>
      </c>
      <c r="L7" s="41">
        <f>'B) D RI'!S8</f>
        <v>71</v>
      </c>
      <c r="M7" s="41">
        <f t="shared" ref="M7:M60" si="2">L7-K7</f>
        <v>65.659000187103899</v>
      </c>
      <c r="N7" s="142">
        <f>'J) Plafonnement effort'!G6+'J) Plafonnement effort'!H6-'K) Plafonnement aide'!I6</f>
        <v>-12.241559066169094</v>
      </c>
      <c r="O7" s="142">
        <f t="shared" ref="O7:O60" si="3">M7+N7</f>
        <v>53.417441120934804</v>
      </c>
      <c r="P7" s="55">
        <f t="shared" ref="P7:P60" si="4">IF(O7&gt;$P$5,$P$5-O7,0)</f>
        <v>0</v>
      </c>
      <c r="Q7" s="66">
        <f t="shared" ref="Q7:Q62" si="5">P7*J7</f>
        <v>0</v>
      </c>
      <c r="R7" s="164">
        <f t="shared" ref="R7:R60" si="6">O7+P7</f>
        <v>53.417441120934804</v>
      </c>
      <c r="S7" s="142">
        <f t="shared" ref="S7:S60" si="7">R7-L7</f>
        <v>-17.582558879065196</v>
      </c>
      <c r="T7" s="163"/>
      <c r="V7" s="17"/>
    </row>
    <row r="8" spans="1:22" x14ac:dyDescent="0.25">
      <c r="A8" s="57">
        <f>'A) Base RI'!A9</f>
        <v>5403</v>
      </c>
      <c r="B8" s="64" t="str">
        <f>'A) Base RI'!B9</f>
        <v>Chessel</v>
      </c>
      <c r="C8" s="172">
        <v>143842.93098801051</v>
      </c>
      <c r="D8" s="173">
        <v>-95960.910476996563</v>
      </c>
      <c r="E8" s="174">
        <v>0</v>
      </c>
      <c r="F8" s="173">
        <v>0</v>
      </c>
      <c r="G8" s="173">
        <v>0</v>
      </c>
      <c r="H8" s="175">
        <f>SUM(C8:G8)</f>
        <v>47882.02051101395</v>
      </c>
      <c r="I8" s="233">
        <v>8284.5784210526326</v>
      </c>
      <c r="J8" s="109">
        <f>'B) D RI'!U9</f>
        <v>8336.8572368421064</v>
      </c>
      <c r="K8" s="76">
        <f t="shared" si="1"/>
        <v>5.7796568609136418</v>
      </c>
      <c r="L8" s="41">
        <f>'B) D RI'!S9</f>
        <v>76</v>
      </c>
      <c r="M8" s="41">
        <f t="shared" si="2"/>
        <v>70.220343139086353</v>
      </c>
      <c r="N8" s="142">
        <f>'J) Plafonnement effort'!G7+'J) Plafonnement effort'!H7-'K) Plafonnement aide'!I7</f>
        <v>2.4294072942530556</v>
      </c>
      <c r="O8" s="142">
        <f t="shared" si="3"/>
        <v>72.649750433339406</v>
      </c>
      <c r="P8" s="55">
        <f t="shared" si="4"/>
        <v>0</v>
      </c>
      <c r="Q8" s="66">
        <f t="shared" si="5"/>
        <v>0</v>
      </c>
      <c r="R8" s="164">
        <f t="shared" si="6"/>
        <v>72.649750433339406</v>
      </c>
      <c r="S8" s="142">
        <f t="shared" si="7"/>
        <v>-3.3502495666605938</v>
      </c>
      <c r="T8" s="163"/>
      <c r="V8" s="17"/>
    </row>
    <row r="9" spans="1:22" x14ac:dyDescent="0.25">
      <c r="A9" s="57">
        <f>'A) Base RI'!A10</f>
        <v>5404</v>
      </c>
      <c r="B9" s="64" t="str">
        <f>'A) Base RI'!B10</f>
        <v>Corbeyrier</v>
      </c>
      <c r="C9" s="172">
        <v>202301.18355607672</v>
      </c>
      <c r="D9" s="173">
        <v>-35424.703277160821</v>
      </c>
      <c r="E9" s="174">
        <v>0</v>
      </c>
      <c r="F9" s="173">
        <v>0</v>
      </c>
      <c r="G9" s="173">
        <v>0</v>
      </c>
      <c r="H9" s="175">
        <f t="shared" si="0"/>
        <v>166876.4802789159</v>
      </c>
      <c r="I9" s="233">
        <v>9966.1885714285709</v>
      </c>
      <c r="J9" s="109">
        <f>'B) D RI'!U10</f>
        <v>11349.824285714287</v>
      </c>
      <c r="K9" s="76">
        <f t="shared" si="1"/>
        <v>16.744262772362486</v>
      </c>
      <c r="L9" s="41">
        <f>'B) D RI'!S10</f>
        <v>70</v>
      </c>
      <c r="M9" s="41">
        <f t="shared" si="2"/>
        <v>53.255737227637511</v>
      </c>
      <c r="N9" s="142">
        <f>'J) Plafonnement effort'!G8+'J) Plafonnement effort'!H8-'K) Plafonnement aide'!I8</f>
        <v>4.8621524381506553</v>
      </c>
      <c r="O9" s="142">
        <f t="shared" si="3"/>
        <v>58.117889665788169</v>
      </c>
      <c r="P9" s="55">
        <f t="shared" si="4"/>
        <v>0</v>
      </c>
      <c r="Q9" s="66">
        <f t="shared" si="5"/>
        <v>0</v>
      </c>
      <c r="R9" s="164">
        <f t="shared" si="6"/>
        <v>58.117889665788169</v>
      </c>
      <c r="S9" s="142">
        <f t="shared" si="7"/>
        <v>-11.882110334211831</v>
      </c>
      <c r="T9" s="163"/>
      <c r="V9" s="17"/>
    </row>
    <row r="10" spans="1:22" x14ac:dyDescent="0.25">
      <c r="A10" s="57">
        <f>'A) Base RI'!A11</f>
        <v>5405</v>
      </c>
      <c r="B10" s="64" t="str">
        <f>'A) Base RI'!B11</f>
        <v>Gryon</v>
      </c>
      <c r="C10" s="172">
        <v>1538137.8273783054</v>
      </c>
      <c r="D10" s="173">
        <v>1137057.6740137397</v>
      </c>
      <c r="E10" s="174">
        <v>0</v>
      </c>
      <c r="F10" s="173">
        <v>0</v>
      </c>
      <c r="G10" s="173">
        <v>0</v>
      </c>
      <c r="H10" s="175">
        <f t="shared" si="0"/>
        <v>2675195.5013920451</v>
      </c>
      <c r="I10" s="233">
        <v>72189.140533333324</v>
      </c>
      <c r="J10" s="109">
        <f>'B) D RI'!U11</f>
        <v>64864.951911111115</v>
      </c>
      <c r="K10" s="76">
        <f t="shared" si="1"/>
        <v>37.058143117201595</v>
      </c>
      <c r="L10" s="41">
        <f>'B) D RI'!S11</f>
        <v>75</v>
      </c>
      <c r="M10" s="41">
        <f t="shared" si="2"/>
        <v>37.941856882798405</v>
      </c>
      <c r="N10" s="142">
        <f>'J) Plafonnement effort'!G9+'J) Plafonnement effort'!H9-'K) Plafonnement aide'!I9</f>
        <v>28.718319536922589</v>
      </c>
      <c r="O10" s="142">
        <f t="shared" si="3"/>
        <v>66.660176419720997</v>
      </c>
      <c r="P10" s="55">
        <f t="shared" si="4"/>
        <v>0</v>
      </c>
      <c r="Q10" s="66">
        <f t="shared" si="5"/>
        <v>0</v>
      </c>
      <c r="R10" s="164">
        <f t="shared" si="6"/>
        <v>66.660176419720997</v>
      </c>
      <c r="S10" s="142">
        <f t="shared" si="7"/>
        <v>-8.3398235802790026</v>
      </c>
      <c r="T10" s="163"/>
      <c r="V10" s="17"/>
    </row>
    <row r="11" spans="1:22" x14ac:dyDescent="0.25">
      <c r="A11" s="57">
        <f>'A) Base RI'!A12</f>
        <v>5406</v>
      </c>
      <c r="B11" s="64" t="str">
        <f>'A) Base RI'!B12</f>
        <v>Lavey-Morcles</v>
      </c>
      <c r="C11" s="172">
        <v>349944.20440788346</v>
      </c>
      <c r="D11" s="173">
        <v>-125278.10828361998</v>
      </c>
      <c r="E11" s="174">
        <v>0</v>
      </c>
      <c r="F11" s="173">
        <v>0</v>
      </c>
      <c r="G11" s="173">
        <v>0</v>
      </c>
      <c r="H11" s="175">
        <f t="shared" si="0"/>
        <v>224666.09612426348</v>
      </c>
      <c r="I11" s="233">
        <v>19831.448851570964</v>
      </c>
      <c r="J11" s="109">
        <f>'B) D RI'!U12</f>
        <v>20248.886901408452</v>
      </c>
      <c r="K11" s="76">
        <f t="shared" si="1"/>
        <v>11.328778739555702</v>
      </c>
      <c r="L11" s="41">
        <f>'B) D RI'!S12</f>
        <v>71</v>
      </c>
      <c r="M11" s="41">
        <f t="shared" si="2"/>
        <v>59.671221260444298</v>
      </c>
      <c r="N11" s="142">
        <f>'J) Plafonnement effort'!G10+'J) Plafonnement effort'!H10-'K) Plafonnement aide'!I10</f>
        <v>5.0672168023057349</v>
      </c>
      <c r="O11" s="142">
        <f t="shared" si="3"/>
        <v>64.738438062750035</v>
      </c>
      <c r="P11" s="55">
        <f t="shared" si="4"/>
        <v>0</v>
      </c>
      <c r="Q11" s="66">
        <f t="shared" si="5"/>
        <v>0</v>
      </c>
      <c r="R11" s="164">
        <f t="shared" si="6"/>
        <v>64.738438062750035</v>
      </c>
      <c r="S11" s="142">
        <f t="shared" si="7"/>
        <v>-6.2615619372499651</v>
      </c>
      <c r="T11" s="163"/>
      <c r="V11" s="17"/>
    </row>
    <row r="12" spans="1:22" x14ac:dyDescent="0.25">
      <c r="A12" s="57">
        <f>'A) Base RI'!A13</f>
        <v>5407</v>
      </c>
      <c r="B12" s="64" t="str">
        <f>'A) Base RI'!B13</f>
        <v>Leysin</v>
      </c>
      <c r="C12" s="172">
        <v>1988631.7169619468</v>
      </c>
      <c r="D12" s="173">
        <v>-1387075.6237685857</v>
      </c>
      <c r="E12" s="174">
        <v>0</v>
      </c>
      <c r="F12" s="173">
        <v>0</v>
      </c>
      <c r="G12" s="173">
        <v>0</v>
      </c>
      <c r="H12" s="175">
        <f t="shared" si="0"/>
        <v>601556.09319336107</v>
      </c>
      <c r="I12" s="233">
        <v>102799.09089743589</v>
      </c>
      <c r="J12" s="109">
        <f>'B) D RI'!U13</f>
        <v>82610.97474358973</v>
      </c>
      <c r="K12" s="76">
        <f t="shared" si="1"/>
        <v>5.851764718362559</v>
      </c>
      <c r="L12" s="41">
        <f>'B) D RI'!S13</f>
        <v>78</v>
      </c>
      <c r="M12" s="41">
        <f t="shared" si="2"/>
        <v>72.14823528163744</v>
      </c>
      <c r="N12" s="142">
        <f>'J) Plafonnement effort'!G11+'J) Plafonnement effort'!H11-'K) Plafonnement aide'!I11</f>
        <v>-33.403133632280245</v>
      </c>
      <c r="O12" s="142">
        <f t="shared" si="3"/>
        <v>38.745101649357196</v>
      </c>
      <c r="P12" s="55">
        <f t="shared" si="4"/>
        <v>0</v>
      </c>
      <c r="Q12" s="66">
        <f t="shared" si="5"/>
        <v>0</v>
      </c>
      <c r="R12" s="164">
        <f t="shared" si="6"/>
        <v>38.745101649357196</v>
      </c>
      <c r="S12" s="142">
        <f t="shared" si="7"/>
        <v>-39.254898350642804</v>
      </c>
      <c r="T12" s="163"/>
      <c r="V12" s="17"/>
    </row>
    <row r="13" spans="1:22" x14ac:dyDescent="0.25">
      <c r="A13" s="57">
        <f>'A) Base RI'!A14</f>
        <v>5408</v>
      </c>
      <c r="B13" s="64" t="str">
        <f>'A) Base RI'!B14</f>
        <v>Noville</v>
      </c>
      <c r="C13" s="172">
        <v>682292.77817890071</v>
      </c>
      <c r="D13" s="173">
        <v>276432.77908067801</v>
      </c>
      <c r="E13" s="174">
        <v>0</v>
      </c>
      <c r="F13" s="173">
        <v>0</v>
      </c>
      <c r="G13" s="173">
        <v>0</v>
      </c>
      <c r="H13" s="175">
        <f t="shared" si="0"/>
        <v>958725.55725957872</v>
      </c>
      <c r="I13" s="233">
        <v>34745.229256900217</v>
      </c>
      <c r="J13" s="109">
        <f>'B) D RI'!U14</f>
        <v>33419.560339702759</v>
      </c>
      <c r="K13" s="76">
        <f t="shared" si="1"/>
        <v>27.59301284705672</v>
      </c>
      <c r="L13" s="41">
        <f>'B) D RI'!S14</f>
        <v>78.5</v>
      </c>
      <c r="M13" s="41">
        <f t="shared" si="2"/>
        <v>50.90698715294328</v>
      </c>
      <c r="N13" s="142">
        <f>'J) Plafonnement effort'!G12+'J) Plafonnement effort'!H12-'K) Plafonnement aide'!I12</f>
        <v>20.675926184539339</v>
      </c>
      <c r="O13" s="142">
        <f t="shared" si="3"/>
        <v>71.582913337482623</v>
      </c>
      <c r="P13" s="55">
        <f t="shared" si="4"/>
        <v>0</v>
      </c>
      <c r="Q13" s="66">
        <f t="shared" si="5"/>
        <v>0</v>
      </c>
      <c r="R13" s="164">
        <f t="shared" si="6"/>
        <v>71.582913337482623</v>
      </c>
      <c r="S13" s="142">
        <f t="shared" si="7"/>
        <v>-6.9170866625173772</v>
      </c>
      <c r="T13" s="163"/>
      <c r="V13" s="17"/>
    </row>
    <row r="14" spans="1:22" x14ac:dyDescent="0.25">
      <c r="A14" s="57">
        <f>'A) Base RI'!A15</f>
        <v>5409</v>
      </c>
      <c r="B14" s="64" t="str">
        <f>'A) Base RI'!B15</f>
        <v>Ollon</v>
      </c>
      <c r="C14" s="172">
        <v>10876314.109612634</v>
      </c>
      <c r="D14" s="173">
        <v>5451638.2152938209</v>
      </c>
      <c r="E14" s="174">
        <v>0</v>
      </c>
      <c r="F14" s="173">
        <v>0</v>
      </c>
      <c r="G14" s="173">
        <v>0</v>
      </c>
      <c r="H14" s="175">
        <f t="shared" si="0"/>
        <v>16327952.324906455</v>
      </c>
      <c r="I14" s="233">
        <v>485365.10493778286</v>
      </c>
      <c r="J14" s="109">
        <f>'B) D RI'!U15</f>
        <v>366034.73937782802</v>
      </c>
      <c r="K14" s="76">
        <f t="shared" si="1"/>
        <v>33.640556683611351</v>
      </c>
      <c r="L14" s="41">
        <f>'B) D RI'!S15</f>
        <v>68</v>
      </c>
      <c r="M14" s="41">
        <f t="shared" si="2"/>
        <v>34.359443316388649</v>
      </c>
      <c r="N14" s="142">
        <f>'J) Plafonnement effort'!G13+'J) Plafonnement effort'!H13-'K) Plafonnement aide'!I13</f>
        <v>25.903635502022802</v>
      </c>
      <c r="O14" s="142">
        <f t="shared" si="3"/>
        <v>60.263078818411451</v>
      </c>
      <c r="P14" s="55">
        <f t="shared" si="4"/>
        <v>0</v>
      </c>
      <c r="Q14" s="66">
        <f t="shared" si="5"/>
        <v>0</v>
      </c>
      <c r="R14" s="164">
        <f t="shared" si="6"/>
        <v>60.263078818411451</v>
      </c>
      <c r="S14" s="142">
        <f t="shared" si="7"/>
        <v>-7.7369211815885492</v>
      </c>
      <c r="T14" s="163"/>
      <c r="V14" s="17"/>
    </row>
    <row r="15" spans="1:22" x14ac:dyDescent="0.25">
      <c r="A15" s="57">
        <f>'A) Base RI'!A16</f>
        <v>5410</v>
      </c>
      <c r="B15" s="64" t="str">
        <f>'A) Base RI'!B16</f>
        <v>Ormont-Dessous</v>
      </c>
      <c r="C15" s="172">
        <v>710746.96891676937</v>
      </c>
      <c r="D15" s="173">
        <v>169081.38086196652</v>
      </c>
      <c r="E15" s="174">
        <v>0</v>
      </c>
      <c r="F15" s="173">
        <v>0</v>
      </c>
      <c r="G15" s="173">
        <v>0</v>
      </c>
      <c r="H15" s="175">
        <f t="shared" si="0"/>
        <v>879828.34977873589</v>
      </c>
      <c r="I15" s="233">
        <v>35234.198174097655</v>
      </c>
      <c r="J15" s="109">
        <f>'B) D RI'!U16</f>
        <v>36452.210276008496</v>
      </c>
      <c r="K15" s="76">
        <f t="shared" si="1"/>
        <v>24.970863404677669</v>
      </c>
      <c r="L15" s="41">
        <f>'B) D RI'!S16</f>
        <v>78.5</v>
      </c>
      <c r="M15" s="41">
        <f t="shared" si="2"/>
        <v>53.529136595322328</v>
      </c>
      <c r="N15" s="142">
        <f>'J) Plafonnement effort'!G14+'J) Plafonnement effort'!H14-'K) Plafonnement aide'!I14</f>
        <v>2.0061888595609396</v>
      </c>
      <c r="O15" s="142">
        <f t="shared" si="3"/>
        <v>55.535325454883264</v>
      </c>
      <c r="P15" s="55">
        <f t="shared" si="4"/>
        <v>0</v>
      </c>
      <c r="Q15" s="66">
        <f t="shared" si="5"/>
        <v>0</v>
      </c>
      <c r="R15" s="164">
        <f t="shared" si="6"/>
        <v>55.535325454883264</v>
      </c>
      <c r="S15" s="142">
        <f t="shared" si="7"/>
        <v>-22.964674545116736</v>
      </c>
      <c r="T15" s="163"/>
      <c r="V15" s="17"/>
    </row>
    <row r="16" spans="1:22" x14ac:dyDescent="0.25">
      <c r="A16" s="57">
        <f>'A) Base RI'!A17</f>
        <v>5411</v>
      </c>
      <c r="B16" s="64" t="str">
        <f>'A) Base RI'!B17</f>
        <v>Ormont-Dessus</v>
      </c>
      <c r="C16" s="172">
        <v>1372213.1122473751</v>
      </c>
      <c r="D16" s="173">
        <v>1068779.6428253967</v>
      </c>
      <c r="E16" s="174">
        <v>0</v>
      </c>
      <c r="F16" s="173">
        <v>0</v>
      </c>
      <c r="G16" s="173">
        <v>0</v>
      </c>
      <c r="H16" s="175">
        <f t="shared" si="0"/>
        <v>2440992.7550727716</v>
      </c>
      <c r="I16" s="233">
        <v>71790.213859649128</v>
      </c>
      <c r="J16" s="109">
        <f>'B) D RI'!U17</f>
        <v>74047.924868421047</v>
      </c>
      <c r="K16" s="76">
        <f t="shared" si="1"/>
        <v>34.001747924096541</v>
      </c>
      <c r="L16" s="41">
        <f>'B) D RI'!S17</f>
        <v>76</v>
      </c>
      <c r="M16" s="41">
        <f t="shared" si="2"/>
        <v>41.998252075903459</v>
      </c>
      <c r="N16" s="142">
        <f>'J) Plafonnement effort'!G15+'J) Plafonnement effort'!H15-'K) Plafonnement aide'!I15</f>
        <v>21.069478107030626</v>
      </c>
      <c r="O16" s="142">
        <f t="shared" si="3"/>
        <v>63.067730182934085</v>
      </c>
      <c r="P16" s="55">
        <f t="shared" si="4"/>
        <v>0</v>
      </c>
      <c r="Q16" s="66">
        <f t="shared" si="5"/>
        <v>0</v>
      </c>
      <c r="R16" s="164">
        <f t="shared" si="6"/>
        <v>63.067730182934085</v>
      </c>
      <c r="S16" s="142">
        <f t="shared" si="7"/>
        <v>-12.932269817065915</v>
      </c>
      <c r="T16" s="163"/>
      <c r="V16" s="17"/>
    </row>
    <row r="17" spans="1:22" x14ac:dyDescent="0.25">
      <c r="A17" s="57">
        <f>'A) Base RI'!A18</f>
        <v>5412</v>
      </c>
      <c r="B17" s="64" t="str">
        <f>'A) Base RI'!B18</f>
        <v>Rennaz</v>
      </c>
      <c r="C17" s="172">
        <v>503459.3548731358</v>
      </c>
      <c r="D17" s="173">
        <v>215882.22995714698</v>
      </c>
      <c r="E17" s="174">
        <v>0</v>
      </c>
      <c r="F17" s="173">
        <v>0</v>
      </c>
      <c r="G17" s="173">
        <v>0</v>
      </c>
      <c r="H17" s="175">
        <f t="shared" si="0"/>
        <v>719341.58483028272</v>
      </c>
      <c r="I17" s="233">
        <v>26501.739703703701</v>
      </c>
      <c r="J17" s="109">
        <f>'B) D RI'!U18</f>
        <v>26224.228148148151</v>
      </c>
      <c r="K17" s="76">
        <f t="shared" si="1"/>
        <v>27.14318353710766</v>
      </c>
      <c r="L17" s="41">
        <f>'B) D RI'!S18</f>
        <v>67.5</v>
      </c>
      <c r="M17" s="41">
        <f t="shared" si="2"/>
        <v>40.35681646289234</v>
      </c>
      <c r="N17" s="142">
        <f>'J) Plafonnement effort'!G16+'J) Plafonnement effort'!H16-'K) Plafonnement aide'!I16</f>
        <v>22.598843556085392</v>
      </c>
      <c r="O17" s="142">
        <f t="shared" si="3"/>
        <v>62.955660018977731</v>
      </c>
      <c r="P17" s="55">
        <f t="shared" si="4"/>
        <v>0</v>
      </c>
      <c r="Q17" s="66">
        <f t="shared" si="5"/>
        <v>0</v>
      </c>
      <c r="R17" s="164">
        <f t="shared" si="6"/>
        <v>62.955660018977731</v>
      </c>
      <c r="S17" s="142">
        <f t="shared" si="7"/>
        <v>-4.5443399810222687</v>
      </c>
      <c r="T17" s="163"/>
      <c r="V17" s="17"/>
    </row>
    <row r="18" spans="1:22" x14ac:dyDescent="0.25">
      <c r="A18" s="57">
        <f>'A) Base RI'!A19</f>
        <v>5413</v>
      </c>
      <c r="B18" s="64" t="str">
        <f>'A) Base RI'!B19</f>
        <v>Roche</v>
      </c>
      <c r="C18" s="172">
        <v>711873.47749908944</v>
      </c>
      <c r="D18" s="173">
        <v>-207430.21744671615</v>
      </c>
      <c r="E18" s="174">
        <v>0</v>
      </c>
      <c r="F18" s="173">
        <v>0</v>
      </c>
      <c r="G18" s="173">
        <v>0</v>
      </c>
      <c r="H18" s="175">
        <f t="shared" si="0"/>
        <v>504443.26005237328</v>
      </c>
      <c r="I18" s="233">
        <v>34861.221617647054</v>
      </c>
      <c r="J18" s="109">
        <f>'B) D RI'!U19</f>
        <v>38924.228382352943</v>
      </c>
      <c r="K18" s="76">
        <f t="shared" si="1"/>
        <v>14.470039678615844</v>
      </c>
      <c r="L18" s="41">
        <f>'B) D RI'!S19</f>
        <v>68</v>
      </c>
      <c r="M18" s="41">
        <f t="shared" si="2"/>
        <v>53.529960321384152</v>
      </c>
      <c r="N18" s="142">
        <f>'J) Plafonnement effort'!G17+'J) Plafonnement effort'!H17-'K) Plafonnement aide'!I17</f>
        <v>14.821883460765294</v>
      </c>
      <c r="O18" s="142">
        <f t="shared" si="3"/>
        <v>68.351843782149444</v>
      </c>
      <c r="P18" s="55">
        <f t="shared" si="4"/>
        <v>0</v>
      </c>
      <c r="Q18" s="66">
        <f t="shared" si="5"/>
        <v>0</v>
      </c>
      <c r="R18" s="164">
        <f t="shared" si="6"/>
        <v>68.351843782149444</v>
      </c>
      <c r="S18" s="142">
        <f t="shared" si="7"/>
        <v>0.35184378214944445</v>
      </c>
      <c r="T18" s="163"/>
      <c r="V18" s="17"/>
    </row>
    <row r="19" spans="1:22" x14ac:dyDescent="0.25">
      <c r="A19" s="57">
        <f>'A) Base RI'!A20</f>
        <v>5414</v>
      </c>
      <c r="B19" s="64" t="str">
        <f>'A) Base RI'!B20</f>
        <v>Villeneuve</v>
      </c>
      <c r="C19" s="172">
        <v>3532159.6565365447</v>
      </c>
      <c r="D19" s="173">
        <v>-263436.69228189392</v>
      </c>
      <c r="E19" s="174">
        <v>0</v>
      </c>
      <c r="F19" s="173">
        <v>0</v>
      </c>
      <c r="G19" s="173">
        <v>0</v>
      </c>
      <c r="H19" s="175">
        <f t="shared" si="0"/>
        <v>3268722.9642546508</v>
      </c>
      <c r="I19" s="233">
        <v>168009.32057971013</v>
      </c>
      <c r="J19" s="109">
        <f>'B) D RI'!U20</f>
        <v>159863.47130434786</v>
      </c>
      <c r="K19" s="76">
        <f t="shared" si="1"/>
        <v>19.455604921060566</v>
      </c>
      <c r="L19" s="41">
        <f>'B) D RI'!S20</f>
        <v>69</v>
      </c>
      <c r="M19" s="41">
        <f t="shared" si="2"/>
        <v>49.544395078939431</v>
      </c>
      <c r="N19" s="142">
        <f>'J) Plafonnement effort'!G18+'J) Plafonnement effort'!H18-'K) Plafonnement aide'!I18</f>
        <v>5.6640850496063209</v>
      </c>
      <c r="O19" s="142">
        <f t="shared" si="3"/>
        <v>55.208480128545752</v>
      </c>
      <c r="P19" s="55">
        <f t="shared" si="4"/>
        <v>0</v>
      </c>
      <c r="Q19" s="66">
        <f t="shared" si="5"/>
        <v>0</v>
      </c>
      <c r="R19" s="164">
        <f t="shared" si="6"/>
        <v>55.208480128545752</v>
      </c>
      <c r="S19" s="142">
        <f t="shared" si="7"/>
        <v>-13.791519871454248</v>
      </c>
      <c r="T19" s="163"/>
      <c r="V19" s="17"/>
    </row>
    <row r="20" spans="1:22" x14ac:dyDescent="0.25">
      <c r="A20" s="57">
        <f>'A) Base RI'!A21</f>
        <v>5415</v>
      </c>
      <c r="B20" s="64" t="str">
        <f>'A) Base RI'!B21</f>
        <v>Yvorne</v>
      </c>
      <c r="C20" s="172">
        <v>744475.18800612981</v>
      </c>
      <c r="D20" s="173">
        <v>644581.87373551959</v>
      </c>
      <c r="E20" s="174">
        <v>0</v>
      </c>
      <c r="F20" s="173">
        <v>0</v>
      </c>
      <c r="G20" s="173">
        <v>0</v>
      </c>
      <c r="H20" s="175">
        <f t="shared" si="0"/>
        <v>1389057.0617416494</v>
      </c>
      <c r="I20" s="233">
        <v>43055.973722627736</v>
      </c>
      <c r="J20" s="109">
        <f>'B) D RI'!U21</f>
        <v>35726.744476885644</v>
      </c>
      <c r="K20" s="76">
        <f t="shared" si="1"/>
        <v>32.26165713241415</v>
      </c>
      <c r="L20" s="41">
        <f>'B) D RI'!S21</f>
        <v>68.5</v>
      </c>
      <c r="M20" s="41">
        <f t="shared" si="2"/>
        <v>36.23834286758585</v>
      </c>
      <c r="N20" s="142">
        <f>'J) Plafonnement effort'!G19+'J) Plafonnement effort'!H19-'K) Plafonnement aide'!I19</f>
        <v>24.984931435368477</v>
      </c>
      <c r="O20" s="142">
        <f t="shared" si="3"/>
        <v>61.223274302954323</v>
      </c>
      <c r="P20" s="55">
        <f t="shared" si="4"/>
        <v>0</v>
      </c>
      <c r="Q20" s="66">
        <f t="shared" si="5"/>
        <v>0</v>
      </c>
      <c r="R20" s="164">
        <f t="shared" si="6"/>
        <v>61.223274302954323</v>
      </c>
      <c r="S20" s="142">
        <f t="shared" si="7"/>
        <v>-7.2767256970456771</v>
      </c>
      <c r="T20" s="163"/>
      <c r="V20" s="17"/>
    </row>
    <row r="21" spans="1:22" x14ac:dyDescent="0.25">
      <c r="A21" s="57">
        <f>'A) Base RI'!A22</f>
        <v>5421</v>
      </c>
      <c r="B21" s="64" t="str">
        <f>'A) Base RI'!B22</f>
        <v>Apples</v>
      </c>
      <c r="C21" s="172">
        <v>1193828.677442431</v>
      </c>
      <c r="D21" s="173">
        <v>787788.38427036582</v>
      </c>
      <c r="E21" s="174">
        <v>0</v>
      </c>
      <c r="F21" s="173">
        <v>0</v>
      </c>
      <c r="G21" s="173">
        <v>0</v>
      </c>
      <c r="H21" s="175">
        <f t="shared" si="0"/>
        <v>1981617.0617127968</v>
      </c>
      <c r="I21" s="233">
        <v>57391.691408450701</v>
      </c>
      <c r="J21" s="109">
        <f>'B) D RI'!U22</f>
        <v>59005.563421052633</v>
      </c>
      <c r="K21" s="76">
        <f t="shared" si="1"/>
        <v>34.527943210626681</v>
      </c>
      <c r="L21" s="41">
        <f>'B) D RI'!S22</f>
        <v>76</v>
      </c>
      <c r="M21" s="41">
        <f t="shared" si="2"/>
        <v>41.472056789373319</v>
      </c>
      <c r="N21" s="142">
        <f>'J) Plafonnement effort'!G20+'J) Plafonnement effort'!H20-'K) Plafonnement aide'!I20</f>
        <v>27.173408451230664</v>
      </c>
      <c r="O21" s="142">
        <f t="shared" si="3"/>
        <v>68.645465240603983</v>
      </c>
      <c r="P21" s="55">
        <f t="shared" si="4"/>
        <v>0</v>
      </c>
      <c r="Q21" s="66">
        <f t="shared" si="5"/>
        <v>0</v>
      </c>
      <c r="R21" s="164">
        <f t="shared" si="6"/>
        <v>68.645465240603983</v>
      </c>
      <c r="S21" s="142">
        <f t="shared" si="7"/>
        <v>-7.3545347593960173</v>
      </c>
      <c r="T21" s="163"/>
      <c r="V21" s="17"/>
    </row>
    <row r="22" spans="1:22" x14ac:dyDescent="0.25">
      <c r="A22" s="57">
        <f>'A) Base RI'!A23</f>
        <v>5422</v>
      </c>
      <c r="B22" s="64" t="str">
        <f>'A) Base RI'!B23</f>
        <v>Aubonne</v>
      </c>
      <c r="C22" s="172">
        <v>5539674.2986934129</v>
      </c>
      <c r="D22" s="173">
        <v>3143903.5673649544</v>
      </c>
      <c r="E22" s="174">
        <v>0</v>
      </c>
      <c r="F22" s="173">
        <v>0</v>
      </c>
      <c r="G22" s="173">
        <v>0</v>
      </c>
      <c r="H22" s="175">
        <f t="shared" si="0"/>
        <v>8683577.8660583682</v>
      </c>
      <c r="I22" s="233">
        <v>231550.9032352941</v>
      </c>
      <c r="J22" s="109">
        <f>'B) D RI'!U23</f>
        <v>218988.17661764708</v>
      </c>
      <c r="K22" s="76">
        <f t="shared" si="1"/>
        <v>37.501809514577509</v>
      </c>
      <c r="L22" s="41">
        <f>'B) D RI'!S23</f>
        <v>68</v>
      </c>
      <c r="M22" s="41">
        <f t="shared" si="2"/>
        <v>30.498190485422491</v>
      </c>
      <c r="N22" s="142">
        <f>'J) Plafonnement effort'!G21+'J) Plafonnement effort'!H21-'K) Plafonnement aide'!I21</f>
        <v>34.974742528468283</v>
      </c>
      <c r="O22" s="142">
        <f t="shared" si="3"/>
        <v>65.472933013890781</v>
      </c>
      <c r="P22" s="55">
        <f t="shared" si="4"/>
        <v>0</v>
      </c>
      <c r="Q22" s="66">
        <f t="shared" si="5"/>
        <v>0</v>
      </c>
      <c r="R22" s="164">
        <f t="shared" si="6"/>
        <v>65.472933013890781</v>
      </c>
      <c r="S22" s="142">
        <f t="shared" si="7"/>
        <v>-2.5270669861092188</v>
      </c>
      <c r="T22" s="163"/>
      <c r="V22" s="17"/>
    </row>
    <row r="23" spans="1:22" x14ac:dyDescent="0.25">
      <c r="A23" s="57">
        <f>'A) Base RI'!A24</f>
        <v>5423</v>
      </c>
      <c r="B23" s="64" t="str">
        <f>'A) Base RI'!B24</f>
        <v>Ballens</v>
      </c>
      <c r="C23" s="172">
        <v>322899.08322019171</v>
      </c>
      <c r="D23" s="173">
        <v>225949.1979955025</v>
      </c>
      <c r="E23" s="174">
        <v>0</v>
      </c>
      <c r="F23" s="173">
        <v>0</v>
      </c>
      <c r="G23" s="173">
        <v>0</v>
      </c>
      <c r="H23" s="175">
        <f t="shared" si="0"/>
        <v>548848.28121569427</v>
      </c>
      <c r="I23" s="233">
        <v>18689.408115942024</v>
      </c>
      <c r="J23" s="109">
        <f>'B) D RI'!U24</f>
        <v>15358.055362318841</v>
      </c>
      <c r="K23" s="76">
        <f t="shared" si="1"/>
        <v>29.366809147237142</v>
      </c>
      <c r="L23" s="41">
        <f>'B) D RI'!S24</f>
        <v>69</v>
      </c>
      <c r="M23" s="41">
        <f t="shared" si="2"/>
        <v>39.633190852762858</v>
      </c>
      <c r="N23" s="142">
        <f>'J) Plafonnement effort'!G22+'J) Plafonnement effort'!H22-'K) Plafonnement aide'!I22</f>
        <v>15.336414970982005</v>
      </c>
      <c r="O23" s="142">
        <f t="shared" si="3"/>
        <v>54.969605823744864</v>
      </c>
      <c r="P23" s="55">
        <f t="shared" si="4"/>
        <v>0</v>
      </c>
      <c r="Q23" s="66">
        <f t="shared" si="5"/>
        <v>0</v>
      </c>
      <c r="R23" s="164">
        <f t="shared" si="6"/>
        <v>54.969605823744864</v>
      </c>
      <c r="S23" s="142">
        <f t="shared" si="7"/>
        <v>-14.030394176255136</v>
      </c>
      <c r="T23" s="163"/>
      <c r="V23" s="17"/>
    </row>
    <row r="24" spans="1:22" x14ac:dyDescent="0.25">
      <c r="A24" s="57">
        <f>'A) Base RI'!A25</f>
        <v>5424</v>
      </c>
      <c r="B24" s="64" t="str">
        <f>'A) Base RI'!B25</f>
        <v>Berolle</v>
      </c>
      <c r="C24" s="172">
        <v>171302.50013519605</v>
      </c>
      <c r="D24" s="173">
        <v>62213.530907406675</v>
      </c>
      <c r="E24" s="174">
        <v>0</v>
      </c>
      <c r="F24" s="173">
        <v>0</v>
      </c>
      <c r="G24" s="173">
        <v>0</v>
      </c>
      <c r="H24" s="175">
        <f t="shared" si="0"/>
        <v>233516.03104260273</v>
      </c>
      <c r="I24" s="233">
        <v>9360.1262337662338</v>
      </c>
      <c r="J24" s="109">
        <f>'B) D RI'!U25</f>
        <v>9058.2428571428572</v>
      </c>
      <c r="K24" s="76">
        <f t="shared" si="1"/>
        <v>24.947957453843323</v>
      </c>
      <c r="L24" s="41">
        <f>'B) D RI'!S25</f>
        <v>77</v>
      </c>
      <c r="M24" s="41">
        <f t="shared" si="2"/>
        <v>52.052042546156677</v>
      </c>
      <c r="N24" s="142">
        <f>'J) Plafonnement effort'!G23+'J) Plafonnement effort'!H23-'K) Plafonnement aide'!I23</f>
        <v>20.599527716183232</v>
      </c>
      <c r="O24" s="142">
        <f t="shared" si="3"/>
        <v>72.651570262339902</v>
      </c>
      <c r="P24" s="55">
        <f t="shared" si="4"/>
        <v>0</v>
      </c>
      <c r="Q24" s="66">
        <f t="shared" si="5"/>
        <v>0</v>
      </c>
      <c r="R24" s="164">
        <f t="shared" si="6"/>
        <v>72.651570262339902</v>
      </c>
      <c r="S24" s="142">
        <f t="shared" si="7"/>
        <v>-4.3484297376600978</v>
      </c>
      <c r="T24" s="163"/>
      <c r="V24" s="17"/>
    </row>
    <row r="25" spans="1:22" x14ac:dyDescent="0.25">
      <c r="A25" s="57">
        <f>'A) Base RI'!A26</f>
        <v>5425</v>
      </c>
      <c r="B25" s="64" t="str">
        <f>'A) Base RI'!B26</f>
        <v>Bière</v>
      </c>
      <c r="C25" s="172">
        <v>747762.37176956632</v>
      </c>
      <c r="D25" s="173">
        <v>-38068.800309894257</v>
      </c>
      <c r="E25" s="174">
        <v>0</v>
      </c>
      <c r="F25" s="173">
        <v>0</v>
      </c>
      <c r="G25" s="173">
        <v>0</v>
      </c>
      <c r="H25" s="175">
        <f t="shared" si="0"/>
        <v>709693.57145967206</v>
      </c>
      <c r="I25" s="233">
        <v>40787.403970588231</v>
      </c>
      <c r="J25" s="109">
        <f>'B) D RI'!U26</f>
        <v>39413.041470588236</v>
      </c>
      <c r="K25" s="76">
        <f t="shared" si="1"/>
        <v>17.399822062012859</v>
      </c>
      <c r="L25" s="41">
        <f>'B) D RI'!S26</f>
        <v>68</v>
      </c>
      <c r="M25" s="41">
        <f t="shared" si="2"/>
        <v>50.600177937987141</v>
      </c>
      <c r="N25" s="142">
        <f>'J) Plafonnement effort'!G24+'J) Plafonnement effort'!H24-'K) Plafonnement aide'!I24</f>
        <v>5.5856998074876181</v>
      </c>
      <c r="O25" s="142">
        <f t="shared" si="3"/>
        <v>56.185877745474755</v>
      </c>
      <c r="P25" s="55">
        <f t="shared" si="4"/>
        <v>0</v>
      </c>
      <c r="Q25" s="66">
        <f t="shared" si="5"/>
        <v>0</v>
      </c>
      <c r="R25" s="164">
        <f t="shared" si="6"/>
        <v>56.185877745474755</v>
      </c>
      <c r="S25" s="142">
        <f t="shared" si="7"/>
        <v>-11.814122254525245</v>
      </c>
      <c r="T25" s="163"/>
      <c r="V25" s="17"/>
    </row>
    <row r="26" spans="1:22" x14ac:dyDescent="0.25">
      <c r="A26" s="57">
        <f>'A) Base RI'!A27</f>
        <v>5426</v>
      </c>
      <c r="B26" s="64" t="str">
        <f>'A) Base RI'!B27</f>
        <v>Bougy-Villars</v>
      </c>
      <c r="C26" s="172">
        <v>1122988.3955019275</v>
      </c>
      <c r="D26" s="173">
        <v>654814.35323993675</v>
      </c>
      <c r="E26" s="174">
        <v>0</v>
      </c>
      <c r="F26" s="173">
        <v>0</v>
      </c>
      <c r="G26" s="173">
        <v>0</v>
      </c>
      <c r="H26" s="175">
        <f t="shared" si="0"/>
        <v>1777802.7487418642</v>
      </c>
      <c r="I26" s="233">
        <v>42113.452258064506</v>
      </c>
      <c r="J26" s="109">
        <f>'B) D RI'!U27</f>
        <v>42567.7185483871</v>
      </c>
      <c r="K26" s="76">
        <f t="shared" si="1"/>
        <v>42.214604916447435</v>
      </c>
      <c r="L26" s="41">
        <f>'B) D RI'!S27</f>
        <v>62</v>
      </c>
      <c r="M26" s="41">
        <f t="shared" si="2"/>
        <v>19.785395083552565</v>
      </c>
      <c r="N26" s="142">
        <f>'J) Plafonnement effort'!G25+'J) Plafonnement effort'!H25-'K) Plafonnement aide'!I25</f>
        <v>45</v>
      </c>
      <c r="O26" s="142">
        <f t="shared" si="3"/>
        <v>64.785395083552572</v>
      </c>
      <c r="P26" s="55">
        <f t="shared" si="4"/>
        <v>0</v>
      </c>
      <c r="Q26" s="66">
        <f t="shared" si="5"/>
        <v>0</v>
      </c>
      <c r="R26" s="164">
        <f t="shared" si="6"/>
        <v>64.785395083552572</v>
      </c>
      <c r="S26" s="142">
        <f t="shared" si="7"/>
        <v>2.7853950835525723</v>
      </c>
      <c r="T26" s="163"/>
      <c r="V26" s="17"/>
    </row>
    <row r="27" spans="1:22" x14ac:dyDescent="0.25">
      <c r="A27" s="57">
        <f>'A) Base RI'!A28</f>
        <v>5427</v>
      </c>
      <c r="B27" s="64" t="str">
        <f>'A) Base RI'!B28</f>
        <v>Féchy</v>
      </c>
      <c r="C27" s="172">
        <v>1491440.25900349</v>
      </c>
      <c r="D27" s="173">
        <v>1028229.219625643</v>
      </c>
      <c r="E27" s="174">
        <v>0</v>
      </c>
      <c r="F27" s="173">
        <v>0</v>
      </c>
      <c r="G27" s="173">
        <v>0</v>
      </c>
      <c r="H27" s="175">
        <f t="shared" si="0"/>
        <v>2519669.4786291327</v>
      </c>
      <c r="I27" s="233">
        <v>64357.078870192301</v>
      </c>
      <c r="J27" s="109">
        <f>'B) D RI'!U28</f>
        <v>68786.678798076915</v>
      </c>
      <c r="K27" s="76">
        <f t="shared" si="1"/>
        <v>39.151395974812424</v>
      </c>
      <c r="L27" s="41">
        <f>'B) D RI'!S28</f>
        <v>64</v>
      </c>
      <c r="M27" s="41">
        <f t="shared" si="2"/>
        <v>24.848604025187576</v>
      </c>
      <c r="N27" s="142">
        <f>'J) Plafonnement effort'!G26+'J) Plafonnement effort'!H26-'K) Plafonnement aide'!I26</f>
        <v>40.390688199411542</v>
      </c>
      <c r="O27" s="142">
        <f t="shared" si="3"/>
        <v>65.239292224599126</v>
      </c>
      <c r="P27" s="55">
        <f t="shared" si="4"/>
        <v>0</v>
      </c>
      <c r="Q27" s="66">
        <f t="shared" si="5"/>
        <v>0</v>
      </c>
      <c r="R27" s="164">
        <f t="shared" si="6"/>
        <v>65.239292224599126</v>
      </c>
      <c r="S27" s="142">
        <f t="shared" si="7"/>
        <v>1.2392922245991258</v>
      </c>
      <c r="T27" s="163"/>
      <c r="V27" s="17"/>
    </row>
    <row r="28" spans="1:22" x14ac:dyDescent="0.25">
      <c r="A28" s="57">
        <f>'A) Base RI'!A29</f>
        <v>5428</v>
      </c>
      <c r="B28" s="64" t="str">
        <f>'A) Base RI'!B29</f>
        <v>Gimel</v>
      </c>
      <c r="C28" s="172">
        <v>1163549.8802237704</v>
      </c>
      <c r="D28" s="173">
        <v>116938.25326302205</v>
      </c>
      <c r="E28" s="174">
        <v>0</v>
      </c>
      <c r="F28" s="173">
        <v>0</v>
      </c>
      <c r="G28" s="173">
        <v>0</v>
      </c>
      <c r="H28" s="175">
        <f t="shared" si="0"/>
        <v>1280488.1334867924</v>
      </c>
      <c r="I28" s="233">
        <v>57546.053752913758</v>
      </c>
      <c r="J28" s="109">
        <f>'B) D RI'!U29</f>
        <v>58004.622727272719</v>
      </c>
      <c r="K28" s="76">
        <f t="shared" si="1"/>
        <v>22.251536812321504</v>
      </c>
      <c r="L28" s="41">
        <f>'B) D RI'!S29</f>
        <v>71.5</v>
      </c>
      <c r="M28" s="41">
        <f t="shared" si="2"/>
        <v>49.248463187678496</v>
      </c>
      <c r="N28" s="142">
        <f>'J) Plafonnement effort'!G27+'J) Plafonnement effort'!H27-'K) Plafonnement aide'!I27</f>
        <v>-3.0655374318572797</v>
      </c>
      <c r="O28" s="142">
        <f t="shared" si="3"/>
        <v>46.182925755821216</v>
      </c>
      <c r="P28" s="55">
        <f t="shared" si="4"/>
        <v>0</v>
      </c>
      <c r="Q28" s="66">
        <f t="shared" si="5"/>
        <v>0</v>
      </c>
      <c r="R28" s="164">
        <f t="shared" si="6"/>
        <v>46.182925755821216</v>
      </c>
      <c r="S28" s="142">
        <f t="shared" si="7"/>
        <v>-25.317074244178784</v>
      </c>
      <c r="T28" s="163"/>
      <c r="V28" s="17"/>
    </row>
    <row r="29" spans="1:22" x14ac:dyDescent="0.25">
      <c r="A29" s="57">
        <f>'A) Base RI'!A30</f>
        <v>5429</v>
      </c>
      <c r="B29" s="64" t="str">
        <f>'A) Base RI'!B30</f>
        <v>Longirod</v>
      </c>
      <c r="C29" s="172">
        <v>246352.31263399741</v>
      </c>
      <c r="D29" s="173">
        <v>31187.562759705266</v>
      </c>
      <c r="E29" s="174">
        <v>0</v>
      </c>
      <c r="F29" s="173">
        <v>0</v>
      </c>
      <c r="G29" s="173">
        <v>0</v>
      </c>
      <c r="H29" s="175">
        <f t="shared" si="0"/>
        <v>277539.87539370265</v>
      </c>
      <c r="I29" s="233">
        <v>13645.142716049384</v>
      </c>
      <c r="J29" s="109">
        <f>'B) D RI'!U30</f>
        <v>12171.349506172839</v>
      </c>
      <c r="K29" s="76">
        <f t="shared" si="1"/>
        <v>20.339829430091701</v>
      </c>
      <c r="L29" s="41">
        <f>'B) D RI'!S30</f>
        <v>81</v>
      </c>
      <c r="M29" s="41">
        <f t="shared" si="2"/>
        <v>60.660170569908303</v>
      </c>
      <c r="N29" s="142">
        <f>'J) Plafonnement effort'!G28+'J) Plafonnement effort'!H28-'K) Plafonnement aide'!I28</f>
        <v>8.0564477353410577</v>
      </c>
      <c r="O29" s="142">
        <f t="shared" si="3"/>
        <v>68.716618305249355</v>
      </c>
      <c r="P29" s="55">
        <f t="shared" si="4"/>
        <v>0</v>
      </c>
      <c r="Q29" s="66">
        <f t="shared" si="5"/>
        <v>0</v>
      </c>
      <c r="R29" s="164">
        <f t="shared" si="6"/>
        <v>68.716618305249355</v>
      </c>
      <c r="S29" s="142">
        <f t="shared" si="7"/>
        <v>-12.283381694750645</v>
      </c>
      <c r="T29" s="163"/>
      <c r="V29" s="17"/>
    </row>
    <row r="30" spans="1:22" x14ac:dyDescent="0.25">
      <c r="A30" s="57">
        <f>'A) Base RI'!A31</f>
        <v>5430</v>
      </c>
      <c r="B30" s="64" t="str">
        <f>'A) Base RI'!B31</f>
        <v>Marchissy</v>
      </c>
      <c r="C30" s="172">
        <v>298266.17345670518</v>
      </c>
      <c r="D30" s="173">
        <v>16711.842522524617</v>
      </c>
      <c r="E30" s="174">
        <v>0</v>
      </c>
      <c r="F30" s="173">
        <v>0</v>
      </c>
      <c r="G30" s="173">
        <v>0</v>
      </c>
      <c r="H30" s="175">
        <f t="shared" si="0"/>
        <v>314978.01597922982</v>
      </c>
      <c r="I30" s="233">
        <v>12901.686543209877</v>
      </c>
      <c r="J30" s="109">
        <f>'B) D RI'!U31</f>
        <v>10573.165189873416</v>
      </c>
      <c r="K30" s="76">
        <f t="shared" si="1"/>
        <v>24.413708620521547</v>
      </c>
      <c r="L30" s="41">
        <f>'B) D RI'!S31</f>
        <v>79</v>
      </c>
      <c r="M30" s="41">
        <f t="shared" si="2"/>
        <v>54.586291379478453</v>
      </c>
      <c r="N30" s="142">
        <f>'J) Plafonnement effort'!G29+'J) Plafonnement effort'!H29-'K) Plafonnement aide'!I29</f>
        <v>1.6095811244143761</v>
      </c>
      <c r="O30" s="142">
        <f t="shared" si="3"/>
        <v>56.195872503892829</v>
      </c>
      <c r="P30" s="55">
        <f t="shared" si="4"/>
        <v>0</v>
      </c>
      <c r="Q30" s="66">
        <f t="shared" si="5"/>
        <v>0</v>
      </c>
      <c r="R30" s="164">
        <f t="shared" si="6"/>
        <v>56.195872503892829</v>
      </c>
      <c r="S30" s="142">
        <f t="shared" si="7"/>
        <v>-22.804127496107171</v>
      </c>
      <c r="T30" s="163"/>
      <c r="V30" s="17"/>
    </row>
    <row r="31" spans="1:22" x14ac:dyDescent="0.25">
      <c r="A31" s="57">
        <f>'A) Base RI'!A32</f>
        <v>5431</v>
      </c>
      <c r="B31" s="64" t="str">
        <f>'A) Base RI'!B32</f>
        <v>Mollens</v>
      </c>
      <c r="C31" s="172">
        <v>157887.52333205586</v>
      </c>
      <c r="D31" s="173">
        <v>50490.79153710563</v>
      </c>
      <c r="E31" s="174">
        <v>0</v>
      </c>
      <c r="F31" s="173">
        <v>0</v>
      </c>
      <c r="G31" s="173">
        <v>0</v>
      </c>
      <c r="H31" s="175">
        <f t="shared" si="0"/>
        <v>208378.31486916149</v>
      </c>
      <c r="I31" s="233">
        <v>8965.3154054054066</v>
      </c>
      <c r="J31" s="109">
        <f>'B) D RI'!U32</f>
        <v>11206.031081081082</v>
      </c>
      <c r="K31" s="76">
        <f t="shared" si="1"/>
        <v>23.242719909611338</v>
      </c>
      <c r="L31" s="41">
        <f>'B) D RI'!S32</f>
        <v>74</v>
      </c>
      <c r="M31" s="41">
        <f t="shared" si="2"/>
        <v>50.757280090388662</v>
      </c>
      <c r="N31" s="142">
        <f>'J) Plafonnement effort'!G30+'J) Plafonnement effort'!H30-'K) Plafonnement aide'!I30</f>
        <v>28.32088107219651</v>
      </c>
      <c r="O31" s="142">
        <f t="shared" si="3"/>
        <v>79.078161162585175</v>
      </c>
      <c r="P31" s="55">
        <f t="shared" si="4"/>
        <v>0</v>
      </c>
      <c r="Q31" s="66">
        <f t="shared" si="5"/>
        <v>0</v>
      </c>
      <c r="R31" s="164">
        <f t="shared" si="6"/>
        <v>79.078161162585175</v>
      </c>
      <c r="S31" s="142">
        <f t="shared" si="7"/>
        <v>5.0781611625851752</v>
      </c>
      <c r="T31" s="163"/>
      <c r="V31" s="17"/>
    </row>
    <row r="32" spans="1:22" x14ac:dyDescent="0.25">
      <c r="A32" s="57">
        <f>'A) Base RI'!A33</f>
        <v>5432</v>
      </c>
      <c r="B32" s="64" t="str">
        <f>'A) Base RI'!B33</f>
        <v>Montherod</v>
      </c>
      <c r="C32" s="172">
        <v>379565.70349946892</v>
      </c>
      <c r="D32" s="173">
        <v>215806.72151828086</v>
      </c>
      <c r="E32" s="174">
        <v>0</v>
      </c>
      <c r="F32" s="173">
        <v>0</v>
      </c>
      <c r="G32" s="173">
        <v>0</v>
      </c>
      <c r="H32" s="175">
        <f t="shared" si="0"/>
        <v>595372.42501774977</v>
      </c>
      <c r="I32" s="233">
        <v>18938.674054054052</v>
      </c>
      <c r="J32" s="109">
        <f>'B) D RI'!U33</f>
        <v>17725.419230769232</v>
      </c>
      <c r="K32" s="76">
        <f t="shared" si="1"/>
        <v>31.436858954246752</v>
      </c>
      <c r="L32" s="41">
        <f>'B) D RI'!S33</f>
        <v>78</v>
      </c>
      <c r="M32" s="41">
        <f t="shared" si="2"/>
        <v>46.563141045753248</v>
      </c>
      <c r="N32" s="142">
        <f>'J) Plafonnement effort'!G31+'J) Plafonnement effort'!H31-'K) Plafonnement aide'!I31</f>
        <v>25.941805114533157</v>
      </c>
      <c r="O32" s="142">
        <f t="shared" si="3"/>
        <v>72.504946160286408</v>
      </c>
      <c r="P32" s="55">
        <f t="shared" si="4"/>
        <v>0</v>
      </c>
      <c r="Q32" s="66">
        <f t="shared" si="5"/>
        <v>0</v>
      </c>
      <c r="R32" s="164">
        <f t="shared" si="6"/>
        <v>72.504946160286408</v>
      </c>
      <c r="S32" s="142">
        <f t="shared" si="7"/>
        <v>-5.4950538397135915</v>
      </c>
      <c r="T32" s="163"/>
      <c r="V32" s="17"/>
    </row>
    <row r="33" spans="1:22" x14ac:dyDescent="0.25">
      <c r="A33" s="57">
        <f>'A) Base RI'!A34</f>
        <v>5434</v>
      </c>
      <c r="B33" s="64" t="str">
        <f>'A) Base RI'!B34</f>
        <v>Saint-George</v>
      </c>
      <c r="C33" s="172">
        <v>648210.37170342682</v>
      </c>
      <c r="D33" s="173">
        <v>355039.00760770927</v>
      </c>
      <c r="E33" s="174">
        <v>0</v>
      </c>
      <c r="F33" s="173">
        <v>0</v>
      </c>
      <c r="G33" s="173">
        <v>0</v>
      </c>
      <c r="H33" s="175">
        <f t="shared" si="0"/>
        <v>1003249.3793111361</v>
      </c>
      <c r="I33" s="233">
        <v>33015.772116788328</v>
      </c>
      <c r="J33" s="109">
        <f>'B) D RI'!U34</f>
        <v>35895.731094890507</v>
      </c>
      <c r="K33" s="76">
        <f t="shared" si="1"/>
        <v>30.386973103712137</v>
      </c>
      <c r="L33" s="41">
        <f>'B) D RI'!S34</f>
        <v>68.5</v>
      </c>
      <c r="M33" s="41">
        <f t="shared" si="2"/>
        <v>38.113026896287863</v>
      </c>
      <c r="N33" s="142">
        <f>'J) Plafonnement effort'!G32+'J) Plafonnement effort'!H32-'K) Plafonnement aide'!I32</f>
        <v>26.136240176321525</v>
      </c>
      <c r="O33" s="142">
        <f t="shared" si="3"/>
        <v>64.249267072609385</v>
      </c>
      <c r="P33" s="55">
        <f t="shared" si="4"/>
        <v>0</v>
      </c>
      <c r="Q33" s="66">
        <f t="shared" si="5"/>
        <v>0</v>
      </c>
      <c r="R33" s="164">
        <f t="shared" si="6"/>
        <v>64.249267072609385</v>
      </c>
      <c r="S33" s="142">
        <f t="shared" si="7"/>
        <v>-4.2507329273906151</v>
      </c>
      <c r="T33" s="163"/>
      <c r="V33" s="17"/>
    </row>
    <row r="34" spans="1:22" x14ac:dyDescent="0.25">
      <c r="A34" s="57">
        <f>'A) Base RI'!A35</f>
        <v>5435</v>
      </c>
      <c r="B34" s="64" t="str">
        <f>'A) Base RI'!B35</f>
        <v>Saint-Livres</v>
      </c>
      <c r="C34" s="172">
        <v>392658.84224965714</v>
      </c>
      <c r="D34" s="173">
        <v>247297.09783614936</v>
      </c>
      <c r="E34" s="174">
        <v>0</v>
      </c>
      <c r="F34" s="173">
        <v>0</v>
      </c>
      <c r="G34" s="173">
        <v>0</v>
      </c>
      <c r="H34" s="175">
        <f t="shared" si="0"/>
        <v>639955.94008580653</v>
      </c>
      <c r="I34" s="233">
        <v>24335.25550724638</v>
      </c>
      <c r="J34" s="109">
        <f>'B) D RI'!U35</f>
        <v>22398.12956521739</v>
      </c>
      <c r="K34" s="76">
        <f t="shared" si="1"/>
        <v>26.297481852830558</v>
      </c>
      <c r="L34" s="41">
        <f>'B) D RI'!S35</f>
        <v>69</v>
      </c>
      <c r="M34" s="41">
        <f t="shared" si="2"/>
        <v>42.702518147169442</v>
      </c>
      <c r="N34" s="142">
        <f>'J) Plafonnement effort'!G33+'J) Plafonnement effort'!H33-'K) Plafonnement aide'!I33</f>
        <v>15.418756212992283</v>
      </c>
      <c r="O34" s="142">
        <f t="shared" si="3"/>
        <v>58.121274360161728</v>
      </c>
      <c r="P34" s="55">
        <f t="shared" si="4"/>
        <v>0</v>
      </c>
      <c r="Q34" s="66">
        <f t="shared" si="5"/>
        <v>0</v>
      </c>
      <c r="R34" s="164">
        <f t="shared" si="6"/>
        <v>58.121274360161728</v>
      </c>
      <c r="S34" s="142">
        <f t="shared" si="7"/>
        <v>-10.878725639838272</v>
      </c>
      <c r="T34" s="163"/>
      <c r="V34" s="17"/>
    </row>
    <row r="35" spans="1:22" x14ac:dyDescent="0.25">
      <c r="A35" s="57">
        <f>'A) Base RI'!A36</f>
        <v>5436</v>
      </c>
      <c r="B35" s="64" t="str">
        <f>'A) Base RI'!B36</f>
        <v>Saint-Oyens</v>
      </c>
      <c r="C35" s="172">
        <v>192852.50190407442</v>
      </c>
      <c r="D35" s="173">
        <v>12973.140635401738</v>
      </c>
      <c r="E35" s="174">
        <v>0</v>
      </c>
      <c r="F35" s="173">
        <v>0</v>
      </c>
      <c r="G35" s="173">
        <v>0</v>
      </c>
      <c r="H35" s="175">
        <f t="shared" si="0"/>
        <v>205825.64253947616</v>
      </c>
      <c r="I35" s="233">
        <v>9937.7678395061721</v>
      </c>
      <c r="J35" s="109">
        <f>'B) D RI'!U36</f>
        <v>10474.604814814815</v>
      </c>
      <c r="K35" s="76">
        <f t="shared" si="1"/>
        <v>20.711456120080186</v>
      </c>
      <c r="L35" s="41">
        <f>'B) D RI'!S36</f>
        <v>81</v>
      </c>
      <c r="M35" s="41">
        <f t="shared" si="2"/>
        <v>60.288543879919814</v>
      </c>
      <c r="N35" s="142">
        <f>'J) Plafonnement effort'!G34+'J) Plafonnement effort'!H34-'K) Plafonnement aide'!I34</f>
        <v>15.9434369330815</v>
      </c>
      <c r="O35" s="142">
        <f t="shared" si="3"/>
        <v>76.231980813001314</v>
      </c>
      <c r="P35" s="55">
        <f t="shared" si="4"/>
        <v>0</v>
      </c>
      <c r="Q35" s="66">
        <f t="shared" si="5"/>
        <v>0</v>
      </c>
      <c r="R35" s="164">
        <f t="shared" si="6"/>
        <v>76.231980813001314</v>
      </c>
      <c r="S35" s="142">
        <f t="shared" si="7"/>
        <v>-4.7680191869986857</v>
      </c>
      <c r="T35" s="163"/>
      <c r="V35" s="17"/>
    </row>
    <row r="36" spans="1:22" x14ac:dyDescent="0.25">
      <c r="A36" s="57">
        <f>'A) Base RI'!A37</f>
        <v>5437</v>
      </c>
      <c r="B36" s="64" t="str">
        <f>'A) Base RI'!B37</f>
        <v>Saubraz</v>
      </c>
      <c r="C36" s="172">
        <v>266172.96732255007</v>
      </c>
      <c r="D36" s="173">
        <v>-90489.383758886339</v>
      </c>
      <c r="E36" s="174">
        <v>0</v>
      </c>
      <c r="F36" s="173">
        <v>0</v>
      </c>
      <c r="G36" s="173">
        <v>-11112.370696710883</v>
      </c>
      <c r="H36" s="175">
        <f t="shared" si="0"/>
        <v>164571.21286695285</v>
      </c>
      <c r="I36" s="233">
        <v>9144.65614457831</v>
      </c>
      <c r="J36" s="109">
        <f>'B) D RI'!U37</f>
        <v>10138.793125</v>
      </c>
      <c r="K36" s="76">
        <f t="shared" si="1"/>
        <v>17.996435324090776</v>
      </c>
      <c r="L36" s="41">
        <f>'B) D RI'!S37</f>
        <v>80</v>
      </c>
      <c r="M36" s="41">
        <f t="shared" si="2"/>
        <v>62.003564675909224</v>
      </c>
      <c r="N36" s="142">
        <f>'J) Plafonnement effort'!G35+'J) Plafonnement effort'!H35-'K) Plafonnement aide'!I35</f>
        <v>12.109793605301904</v>
      </c>
      <c r="O36" s="142">
        <f>M36+N36</f>
        <v>74.113358281211134</v>
      </c>
      <c r="P36" s="55">
        <f t="shared" si="4"/>
        <v>0</v>
      </c>
      <c r="Q36" s="66">
        <f t="shared" si="5"/>
        <v>0</v>
      </c>
      <c r="R36" s="164">
        <f t="shared" si="6"/>
        <v>74.113358281211134</v>
      </c>
      <c r="S36" s="142">
        <f t="shared" si="7"/>
        <v>-5.8866417187888658</v>
      </c>
      <c r="T36" s="163"/>
      <c r="V36" s="17"/>
    </row>
    <row r="37" spans="1:22" x14ac:dyDescent="0.25">
      <c r="A37" s="57">
        <f>'A) Base RI'!A38</f>
        <v>5451</v>
      </c>
      <c r="B37" s="64" t="str">
        <f>'A) Base RI'!B38</f>
        <v>Avenches</v>
      </c>
      <c r="C37" s="172">
        <v>2025751.9795056102</v>
      </c>
      <c r="D37" s="173">
        <v>-874824.51908843429</v>
      </c>
      <c r="E37" s="174">
        <v>0</v>
      </c>
      <c r="F37" s="173">
        <v>0</v>
      </c>
      <c r="G37" s="173">
        <v>0</v>
      </c>
      <c r="H37" s="175">
        <f t="shared" si="0"/>
        <v>1150927.4604171759</v>
      </c>
      <c r="I37" s="233">
        <v>102028.81651960785</v>
      </c>
      <c r="J37" s="109">
        <f>'B) D RI'!U38</f>
        <v>109207.82382352941</v>
      </c>
      <c r="K37" s="76">
        <f t="shared" si="1"/>
        <v>11.280415667626521</v>
      </c>
      <c r="L37" s="41">
        <f>'B) D RI'!S38</f>
        <v>68</v>
      </c>
      <c r="M37" s="41">
        <f t="shared" si="2"/>
        <v>56.719584332373479</v>
      </c>
      <c r="N37" s="142">
        <f>'J) Plafonnement effort'!G36+'J) Plafonnement effort'!H36-'K) Plafonnement aide'!I36</f>
        <v>-18.398802473742585</v>
      </c>
      <c r="O37" s="142">
        <f t="shared" si="3"/>
        <v>38.320781858630895</v>
      </c>
      <c r="P37" s="55">
        <f t="shared" si="4"/>
        <v>0</v>
      </c>
      <c r="Q37" s="66">
        <f t="shared" si="5"/>
        <v>0</v>
      </c>
      <c r="R37" s="164">
        <f t="shared" si="6"/>
        <v>38.320781858630895</v>
      </c>
      <c r="S37" s="142">
        <f t="shared" si="7"/>
        <v>-29.679218141369105</v>
      </c>
      <c r="T37" s="163"/>
      <c r="V37" s="17"/>
    </row>
    <row r="38" spans="1:22" x14ac:dyDescent="0.25">
      <c r="A38" s="57">
        <f>'A) Base RI'!A39</f>
        <v>5456</v>
      </c>
      <c r="B38" s="64" t="str">
        <f>'A) Base RI'!B39</f>
        <v>Cudrefin</v>
      </c>
      <c r="C38" s="172">
        <v>1086943.5705534539</v>
      </c>
      <c r="D38" s="173">
        <v>265151.65342016087</v>
      </c>
      <c r="E38" s="174">
        <v>0</v>
      </c>
      <c r="F38" s="173">
        <v>0</v>
      </c>
      <c r="G38" s="173">
        <v>0</v>
      </c>
      <c r="H38" s="175">
        <f t="shared" si="0"/>
        <v>1352095.2239736146</v>
      </c>
      <c r="I38" s="233">
        <v>45272.368813559326</v>
      </c>
      <c r="J38" s="109">
        <f>'B) D RI'!U39</f>
        <v>51373.818644067804</v>
      </c>
      <c r="K38" s="76">
        <f t="shared" si="1"/>
        <v>29.865793626611705</v>
      </c>
      <c r="L38" s="41">
        <f>'B) D RI'!S39</f>
        <v>59</v>
      </c>
      <c r="M38" s="41">
        <f t="shared" si="2"/>
        <v>29.134206373388295</v>
      </c>
      <c r="N38" s="142">
        <f>'J) Plafonnement effort'!G37+'J) Plafonnement effort'!H37-'K) Plafonnement aide'!I37</f>
        <v>15.405419519655238</v>
      </c>
      <c r="O38" s="142">
        <f t="shared" si="3"/>
        <v>44.539625893043535</v>
      </c>
      <c r="P38" s="55">
        <f t="shared" si="4"/>
        <v>0</v>
      </c>
      <c r="Q38" s="66">
        <f t="shared" si="5"/>
        <v>0</v>
      </c>
      <c r="R38" s="164">
        <f t="shared" si="6"/>
        <v>44.539625893043535</v>
      </c>
      <c r="S38" s="142">
        <f t="shared" si="7"/>
        <v>-14.460374106956465</v>
      </c>
      <c r="T38" s="163"/>
      <c r="V38" s="17"/>
    </row>
    <row r="39" spans="1:22" x14ac:dyDescent="0.25">
      <c r="A39" s="57">
        <f>'A) Base RI'!A40</f>
        <v>5458</v>
      </c>
      <c r="B39" s="64" t="str">
        <f>'A) Base RI'!B40</f>
        <v>Faoug</v>
      </c>
      <c r="C39" s="172">
        <v>527125.7808725643</v>
      </c>
      <c r="D39" s="173">
        <v>298625.23075310793</v>
      </c>
      <c r="E39" s="174">
        <v>0</v>
      </c>
      <c r="F39" s="173">
        <v>0</v>
      </c>
      <c r="G39" s="173">
        <v>0</v>
      </c>
      <c r="H39" s="175">
        <f t="shared" si="0"/>
        <v>825751.01162567222</v>
      </c>
      <c r="I39" s="233">
        <v>28143.986721311474</v>
      </c>
      <c r="J39" s="109">
        <f>'B) D RI'!U40</f>
        <v>31692.092968750003</v>
      </c>
      <c r="K39" s="76">
        <f t="shared" si="1"/>
        <v>29.340228866736521</v>
      </c>
      <c r="L39" s="41">
        <f>'B) D RI'!S40</f>
        <v>64</v>
      </c>
      <c r="M39" s="41">
        <f t="shared" si="2"/>
        <v>34.659771133263476</v>
      </c>
      <c r="N39" s="142">
        <f>'J) Plafonnement effort'!G38+'J) Plafonnement effort'!H38-'K) Plafonnement aide'!I38</f>
        <v>28.780719792170835</v>
      </c>
      <c r="O39" s="142">
        <f t="shared" si="3"/>
        <v>63.440490925434311</v>
      </c>
      <c r="P39" s="55">
        <f t="shared" si="4"/>
        <v>0</v>
      </c>
      <c r="Q39" s="66">
        <f t="shared" si="5"/>
        <v>0</v>
      </c>
      <c r="R39" s="164">
        <f t="shared" si="6"/>
        <v>63.440490925434311</v>
      </c>
      <c r="S39" s="142">
        <f t="shared" si="7"/>
        <v>-0.55950907456568899</v>
      </c>
      <c r="T39" s="163"/>
      <c r="V39" s="17"/>
    </row>
    <row r="40" spans="1:22" x14ac:dyDescent="0.25">
      <c r="A40" s="57">
        <f>'A) Base RI'!A41</f>
        <v>5464</v>
      </c>
      <c r="B40" s="64" t="str">
        <f>'A) Base RI'!B41</f>
        <v>Vully-les-Lacs</v>
      </c>
      <c r="C40" s="172">
        <v>1876173.1681032944</v>
      </c>
      <c r="D40" s="173">
        <v>574869.3976675407</v>
      </c>
      <c r="E40" s="174">
        <v>0</v>
      </c>
      <c r="F40" s="173">
        <v>0</v>
      </c>
      <c r="G40" s="173">
        <v>0</v>
      </c>
      <c r="H40" s="175">
        <f t="shared" si="0"/>
        <v>2451042.5657708352</v>
      </c>
      <c r="I40" s="233">
        <v>96865.968557213928</v>
      </c>
      <c r="J40" s="109">
        <f>'B) D RI'!U41</f>
        <v>96310.385124378095</v>
      </c>
      <c r="K40" s="76">
        <f t="shared" si="1"/>
        <v>25.303443534177081</v>
      </c>
      <c r="L40" s="41">
        <f>'B) D RI'!S41</f>
        <v>67</v>
      </c>
      <c r="M40" s="41">
        <f t="shared" si="2"/>
        <v>41.696556465822923</v>
      </c>
      <c r="N40" s="142">
        <f>'J) Plafonnement effort'!G39+'J) Plafonnement effort'!H39-'K) Plafonnement aide'!I39</f>
        <v>-8.0015246975869019</v>
      </c>
      <c r="O40" s="142">
        <f t="shared" si="3"/>
        <v>33.695031768236021</v>
      </c>
      <c r="P40" s="55">
        <f t="shared" si="4"/>
        <v>0</v>
      </c>
      <c r="Q40" s="66">
        <f t="shared" si="5"/>
        <v>0</v>
      </c>
      <c r="R40" s="164">
        <f t="shared" si="6"/>
        <v>33.695031768236021</v>
      </c>
      <c r="S40" s="142">
        <f t="shared" si="7"/>
        <v>-33.304968231763979</v>
      </c>
      <c r="T40" s="163"/>
      <c r="V40" s="17"/>
    </row>
    <row r="41" spans="1:22" x14ac:dyDescent="0.25">
      <c r="A41" s="57">
        <f>'A) Base RI'!A42</f>
        <v>5471</v>
      </c>
      <c r="B41" s="64" t="str">
        <f>'A) Base RI'!B42</f>
        <v>Bettens</v>
      </c>
      <c r="C41" s="172">
        <v>345683.71205676574</v>
      </c>
      <c r="D41" s="173">
        <v>158043.44387157296</v>
      </c>
      <c r="E41" s="174">
        <v>0</v>
      </c>
      <c r="F41" s="173">
        <v>0</v>
      </c>
      <c r="G41" s="173">
        <v>0</v>
      </c>
      <c r="H41" s="175">
        <f t="shared" si="0"/>
        <v>503727.1559283387</v>
      </c>
      <c r="I41" s="233">
        <v>18168.257063492067</v>
      </c>
      <c r="J41" s="109">
        <f>'B) D RI'!U42</f>
        <v>16449.086587301586</v>
      </c>
      <c r="K41" s="76">
        <f t="shared" si="1"/>
        <v>27.725673088396888</v>
      </c>
      <c r="L41" s="41">
        <f>'B) D RI'!S42</f>
        <v>70</v>
      </c>
      <c r="M41" s="41">
        <f t="shared" si="2"/>
        <v>42.274326911603112</v>
      </c>
      <c r="N41" s="142">
        <f>'J) Plafonnement effort'!G40+'J) Plafonnement effort'!H40-'K) Plafonnement aide'!I40</f>
        <v>18.310084417753323</v>
      </c>
      <c r="O41" s="142">
        <f t="shared" si="3"/>
        <v>60.584411329356435</v>
      </c>
      <c r="P41" s="55">
        <f t="shared" si="4"/>
        <v>0</v>
      </c>
      <c r="Q41" s="66">
        <f t="shared" si="5"/>
        <v>0</v>
      </c>
      <c r="R41" s="164">
        <f t="shared" si="6"/>
        <v>60.584411329356435</v>
      </c>
      <c r="S41" s="142">
        <f t="shared" si="7"/>
        <v>-9.4155886706435652</v>
      </c>
      <c r="T41" s="163"/>
      <c r="V41" s="17"/>
    </row>
    <row r="42" spans="1:22" x14ac:dyDescent="0.25">
      <c r="A42" s="57">
        <f>'A) Base RI'!A43</f>
        <v>5472</v>
      </c>
      <c r="B42" s="64" t="str">
        <f>'A) Base RI'!B43</f>
        <v>Bournens</v>
      </c>
      <c r="C42" s="172">
        <v>256085.14543361671</v>
      </c>
      <c r="D42" s="173">
        <v>126418.26507886557</v>
      </c>
      <c r="E42" s="174">
        <v>0</v>
      </c>
      <c r="F42" s="173">
        <v>0</v>
      </c>
      <c r="G42" s="173">
        <v>0</v>
      </c>
      <c r="H42" s="175">
        <f t="shared" si="0"/>
        <v>382503.41051248228</v>
      </c>
      <c r="I42" s="233">
        <v>13213.617875</v>
      </c>
      <c r="J42" s="109">
        <f>'B) D RI'!U43</f>
        <v>14191.801124999998</v>
      </c>
      <c r="K42" s="76">
        <f t="shared" si="1"/>
        <v>28.947667030403078</v>
      </c>
      <c r="L42" s="41">
        <f>'B) D RI'!S43</f>
        <v>80</v>
      </c>
      <c r="M42" s="41">
        <f t="shared" si="2"/>
        <v>51.052332969596918</v>
      </c>
      <c r="N42" s="142">
        <f>'J) Plafonnement effort'!G41+'J) Plafonnement effort'!H41-'K) Plafonnement aide'!I41</f>
        <v>29.498103459342531</v>
      </c>
      <c r="O42" s="142">
        <f t="shared" si="3"/>
        <v>80.550436428939449</v>
      </c>
      <c r="P42" s="55">
        <f t="shared" si="4"/>
        <v>0</v>
      </c>
      <c r="Q42" s="66">
        <f t="shared" si="5"/>
        <v>0</v>
      </c>
      <c r="R42" s="164">
        <f t="shared" si="6"/>
        <v>80.550436428939449</v>
      </c>
      <c r="S42" s="142">
        <f t="shared" si="7"/>
        <v>0.55043642893944877</v>
      </c>
      <c r="T42" s="163"/>
      <c r="V42" s="17"/>
    </row>
    <row r="43" spans="1:22" x14ac:dyDescent="0.25">
      <c r="A43" s="57">
        <f>'A) Base RI'!A44</f>
        <v>5473</v>
      </c>
      <c r="B43" s="64" t="str">
        <f>'A) Base RI'!B44</f>
        <v>Boussens</v>
      </c>
      <c r="C43" s="172">
        <v>532210.33663350437</v>
      </c>
      <c r="D43" s="173">
        <v>343921.04388063506</v>
      </c>
      <c r="E43" s="174">
        <v>0</v>
      </c>
      <c r="F43" s="173">
        <v>0</v>
      </c>
      <c r="G43" s="173">
        <v>0</v>
      </c>
      <c r="H43" s="175">
        <f t="shared" si="0"/>
        <v>876131.38051413943</v>
      </c>
      <c r="I43" s="233">
        <v>33007.750579710155</v>
      </c>
      <c r="J43" s="109">
        <f>'B) D RI'!U44</f>
        <v>32757.052898550723</v>
      </c>
      <c r="K43" s="76">
        <f t="shared" si="1"/>
        <v>26.543201676175318</v>
      </c>
      <c r="L43" s="41">
        <f>'B) D RI'!S44</f>
        <v>69</v>
      </c>
      <c r="M43" s="41">
        <f t="shared" si="2"/>
        <v>42.456798323824685</v>
      </c>
      <c r="N43" s="142">
        <f>'J) Plafonnement effort'!G42+'J) Plafonnement effort'!H42-'K) Plafonnement aide'!I42</f>
        <v>25.961625725192754</v>
      </c>
      <c r="O43" s="142">
        <f t="shared" si="3"/>
        <v>68.418424049017432</v>
      </c>
      <c r="P43" s="55">
        <f t="shared" si="4"/>
        <v>0</v>
      </c>
      <c r="Q43" s="66">
        <f t="shared" si="5"/>
        <v>0</v>
      </c>
      <c r="R43" s="164">
        <f t="shared" si="6"/>
        <v>68.418424049017432</v>
      </c>
      <c r="S43" s="142">
        <f t="shared" si="7"/>
        <v>-0.5815759509825682</v>
      </c>
      <c r="T43" s="163"/>
      <c r="V43" s="17"/>
    </row>
    <row r="44" spans="1:22" x14ac:dyDescent="0.25">
      <c r="A44" s="57">
        <f>'A) Base RI'!A45</f>
        <v>5474</v>
      </c>
      <c r="B44" s="64" t="str">
        <f>'A) Base RI'!B45</f>
        <v>La Chaux (Cossonay)</v>
      </c>
      <c r="C44" s="172">
        <v>189631.06763336452</v>
      </c>
      <c r="D44" s="173">
        <v>55764.244579862687</v>
      </c>
      <c r="E44" s="174">
        <v>0</v>
      </c>
      <c r="F44" s="173">
        <v>0</v>
      </c>
      <c r="G44" s="173">
        <v>0</v>
      </c>
      <c r="H44" s="175">
        <f t="shared" si="0"/>
        <v>245395.31221322721</v>
      </c>
      <c r="I44" s="233">
        <v>12690.44829004329</v>
      </c>
      <c r="J44" s="109">
        <f>'B) D RI'!U45</f>
        <v>12924.858852813852</v>
      </c>
      <c r="K44" s="76">
        <f t="shared" si="1"/>
        <v>19.337008953872825</v>
      </c>
      <c r="L44" s="41">
        <f>'B) D RI'!S45</f>
        <v>77</v>
      </c>
      <c r="M44" s="41">
        <f t="shared" si="2"/>
        <v>57.662991046127175</v>
      </c>
      <c r="N44" s="142">
        <f>'J) Plafonnement effort'!G43+'J) Plafonnement effort'!H43-'K) Plafonnement aide'!I43</f>
        <v>-17.334230531579706</v>
      </c>
      <c r="O44" s="142">
        <f t="shared" si="3"/>
        <v>40.328760514547469</v>
      </c>
      <c r="P44" s="55">
        <f t="shared" si="4"/>
        <v>0</v>
      </c>
      <c r="Q44" s="66">
        <f t="shared" si="5"/>
        <v>0</v>
      </c>
      <c r="R44" s="164">
        <f t="shared" si="6"/>
        <v>40.328760514547469</v>
      </c>
      <c r="S44" s="142">
        <f t="shared" si="7"/>
        <v>-36.671239485452531</v>
      </c>
      <c r="T44" s="163"/>
      <c r="V44" s="17"/>
    </row>
    <row r="45" spans="1:22" x14ac:dyDescent="0.25">
      <c r="A45" s="57">
        <f>'A) Base RI'!A46</f>
        <v>5475</v>
      </c>
      <c r="B45" s="64" t="str">
        <f>'A) Base RI'!B46</f>
        <v>Chavannes-le-Veyron</v>
      </c>
      <c r="C45" s="172">
        <v>44519.302404775772</v>
      </c>
      <c r="D45" s="173">
        <v>-20664.947539078632</v>
      </c>
      <c r="E45" s="174">
        <v>0</v>
      </c>
      <c r="F45" s="173">
        <v>0</v>
      </c>
      <c r="G45" s="173">
        <v>0</v>
      </c>
      <c r="H45" s="175">
        <f t="shared" si="0"/>
        <v>23854.35486569714</v>
      </c>
      <c r="I45" s="233">
        <v>2750.1545454545449</v>
      </c>
      <c r="J45" s="109">
        <f>'B) D RI'!U46</f>
        <v>2672.7945454545452</v>
      </c>
      <c r="K45" s="76">
        <f t="shared" si="1"/>
        <v>8.6738234057150034</v>
      </c>
      <c r="L45" s="41">
        <f>'B) D RI'!S46</f>
        <v>77</v>
      </c>
      <c r="M45" s="41">
        <f t="shared" si="2"/>
        <v>68.326176594285002</v>
      </c>
      <c r="N45" s="142">
        <f>'J) Plafonnement effort'!G44+'J) Plafonnement effort'!H44-'K) Plafonnement aide'!I44</f>
        <v>3.0369942048903562</v>
      </c>
      <c r="O45" s="142">
        <f t="shared" si="3"/>
        <v>71.363170799175364</v>
      </c>
      <c r="P45" s="55">
        <f t="shared" si="4"/>
        <v>0</v>
      </c>
      <c r="Q45" s="66">
        <f t="shared" si="5"/>
        <v>0</v>
      </c>
      <c r="R45" s="164">
        <f t="shared" si="6"/>
        <v>71.363170799175364</v>
      </c>
      <c r="S45" s="142">
        <f t="shared" si="7"/>
        <v>-5.6368292008246357</v>
      </c>
      <c r="T45" s="163"/>
      <c r="V45" s="17"/>
    </row>
    <row r="46" spans="1:22" x14ac:dyDescent="0.25">
      <c r="A46" s="57">
        <f>'A) Base RI'!A47</f>
        <v>5476</v>
      </c>
      <c r="B46" s="64" t="str">
        <f>'A) Base RI'!B47</f>
        <v>Chevilly</v>
      </c>
      <c r="C46" s="172">
        <v>160996.98748923591</v>
      </c>
      <c r="D46" s="173">
        <v>15464.435725941992</v>
      </c>
      <c r="E46" s="174">
        <v>0</v>
      </c>
      <c r="F46" s="173">
        <v>0</v>
      </c>
      <c r="G46" s="173">
        <v>0</v>
      </c>
      <c r="H46" s="175">
        <f t="shared" si="0"/>
        <v>176461.4232151779</v>
      </c>
      <c r="I46" s="233">
        <v>7887.6179729729729</v>
      </c>
      <c r="J46" s="109">
        <f>'B) D RI'!U47</f>
        <v>10247.952162162162</v>
      </c>
      <c r="K46" s="76">
        <f t="shared" si="1"/>
        <v>22.371953588501029</v>
      </c>
      <c r="L46" s="41">
        <f>'B) D RI'!S47</f>
        <v>74</v>
      </c>
      <c r="M46" s="41">
        <f t="shared" si="2"/>
        <v>51.628046411498971</v>
      </c>
      <c r="N46" s="142">
        <f>'J) Plafonnement effort'!G45+'J) Plafonnement effort'!H45-'K) Plafonnement aide'!I45</f>
        <v>26.404935375748931</v>
      </c>
      <c r="O46" s="142">
        <f t="shared" si="3"/>
        <v>78.032981787247905</v>
      </c>
      <c r="P46" s="55">
        <f t="shared" si="4"/>
        <v>0</v>
      </c>
      <c r="Q46" s="66">
        <f t="shared" si="5"/>
        <v>0</v>
      </c>
      <c r="R46" s="164">
        <f t="shared" si="6"/>
        <v>78.032981787247905</v>
      </c>
      <c r="S46" s="142">
        <f t="shared" si="7"/>
        <v>4.0329817872479055</v>
      </c>
      <c r="T46" s="163"/>
      <c r="V46" s="17"/>
    </row>
    <row r="47" spans="1:22" x14ac:dyDescent="0.25">
      <c r="A47" s="57">
        <f>'A) Base RI'!A48</f>
        <v>5477</v>
      </c>
      <c r="B47" s="64" t="str">
        <f>'A) Base RI'!B48</f>
        <v>Cossonay</v>
      </c>
      <c r="C47" s="172">
        <v>2259383.7874005497</v>
      </c>
      <c r="D47" s="173">
        <v>368035.91289450508</v>
      </c>
      <c r="E47" s="174">
        <v>0</v>
      </c>
      <c r="F47" s="173">
        <v>0</v>
      </c>
      <c r="G47" s="173">
        <v>0</v>
      </c>
      <c r="H47" s="175">
        <f t="shared" si="0"/>
        <v>2627419.7002950548</v>
      </c>
      <c r="I47" s="233">
        <v>120589.74256854257</v>
      </c>
      <c r="J47" s="109">
        <f>'B) D RI'!U48</f>
        <v>125937.08528138528</v>
      </c>
      <c r="K47" s="76">
        <f t="shared" si="1"/>
        <v>21.788086153361206</v>
      </c>
      <c r="L47" s="41">
        <f>'B) D RI'!S48</f>
        <v>69.3</v>
      </c>
      <c r="M47" s="41">
        <f t="shared" si="2"/>
        <v>47.511913846638791</v>
      </c>
      <c r="N47" s="142">
        <f>'J) Plafonnement effort'!G46+'J) Plafonnement effort'!H46-'K) Plafonnement aide'!I46</f>
        <v>-22.287894014108787</v>
      </c>
      <c r="O47" s="142">
        <f t="shared" si="3"/>
        <v>25.224019832530004</v>
      </c>
      <c r="P47" s="55">
        <f t="shared" si="4"/>
        <v>0</v>
      </c>
      <c r="Q47" s="66">
        <f t="shared" si="5"/>
        <v>0</v>
      </c>
      <c r="R47" s="164">
        <f t="shared" si="6"/>
        <v>25.224019832530004</v>
      </c>
      <c r="S47" s="142">
        <f t="shared" si="7"/>
        <v>-44.075980167469993</v>
      </c>
      <c r="T47" s="163"/>
      <c r="V47" s="17"/>
    </row>
    <row r="48" spans="1:22" x14ac:dyDescent="0.25">
      <c r="A48" s="57">
        <f>'A) Base RI'!A49</f>
        <v>5478</v>
      </c>
      <c r="B48" s="64" t="str">
        <f>'A) Base RI'!B49</f>
        <v>Cottens</v>
      </c>
      <c r="C48" s="172">
        <v>253810.37302590586</v>
      </c>
      <c r="D48" s="173">
        <v>129487.30268242926</v>
      </c>
      <c r="E48" s="174">
        <v>0</v>
      </c>
      <c r="F48" s="173">
        <v>0</v>
      </c>
      <c r="G48" s="173">
        <v>0</v>
      </c>
      <c r="H48" s="175">
        <f t="shared" si="0"/>
        <v>383297.67570833513</v>
      </c>
      <c r="I48" s="233">
        <v>15464.23347222222</v>
      </c>
      <c r="J48" s="109">
        <f>'B) D RI'!U49</f>
        <v>14465.317702702703</v>
      </c>
      <c r="K48" s="76">
        <f t="shared" si="1"/>
        <v>24.786076619758575</v>
      </c>
      <c r="L48" s="41">
        <f>'B) D RI'!S49</f>
        <v>74</v>
      </c>
      <c r="M48" s="41">
        <f t="shared" si="2"/>
        <v>49.213923380241425</v>
      </c>
      <c r="N48" s="142">
        <f>'J) Plafonnement effort'!G47+'J) Plafonnement effort'!H47-'K) Plafonnement aide'!I47</f>
        <v>19.255812669183026</v>
      </c>
      <c r="O48" s="142">
        <f t="shared" si="3"/>
        <v>68.469736049424455</v>
      </c>
      <c r="P48" s="55">
        <f t="shared" si="4"/>
        <v>0</v>
      </c>
      <c r="Q48" s="66">
        <f t="shared" si="5"/>
        <v>0</v>
      </c>
      <c r="R48" s="164">
        <f t="shared" si="6"/>
        <v>68.469736049424455</v>
      </c>
      <c r="S48" s="142">
        <f t="shared" si="7"/>
        <v>-5.5302639505755451</v>
      </c>
      <c r="T48" s="163"/>
      <c r="V48" s="17"/>
    </row>
    <row r="49" spans="1:22" x14ac:dyDescent="0.25">
      <c r="A49" s="57">
        <f>'A) Base RI'!A50</f>
        <v>5479</v>
      </c>
      <c r="B49" s="64" t="str">
        <f>'A) Base RI'!B50</f>
        <v>Cuarnens</v>
      </c>
      <c r="C49" s="172">
        <v>191308.67318434565</v>
      </c>
      <c r="D49" s="173">
        <v>-2041.5937015166855</v>
      </c>
      <c r="E49" s="174">
        <v>0</v>
      </c>
      <c r="F49" s="173">
        <v>0</v>
      </c>
      <c r="G49" s="173">
        <v>0</v>
      </c>
      <c r="H49" s="175">
        <f t="shared" si="0"/>
        <v>189267.07948282897</v>
      </c>
      <c r="I49" s="233">
        <v>11805.525064935064</v>
      </c>
      <c r="J49" s="109">
        <f>'B) D RI'!U50</f>
        <v>11562.819350649352</v>
      </c>
      <c r="K49" s="76">
        <f t="shared" si="1"/>
        <v>16.032076374560646</v>
      </c>
      <c r="L49" s="41">
        <f>'B) D RI'!S50</f>
        <v>77</v>
      </c>
      <c r="M49" s="41">
        <f t="shared" si="2"/>
        <v>60.967923625439354</v>
      </c>
      <c r="N49" s="142">
        <f>'J) Plafonnement effort'!G48+'J) Plafonnement effort'!H48-'K) Plafonnement aide'!I48</f>
        <v>6.2609327134709041</v>
      </c>
      <c r="O49" s="142">
        <f t="shared" si="3"/>
        <v>67.228856338910262</v>
      </c>
      <c r="P49" s="55">
        <f t="shared" si="4"/>
        <v>0</v>
      </c>
      <c r="Q49" s="66">
        <f t="shared" si="5"/>
        <v>0</v>
      </c>
      <c r="R49" s="164">
        <f t="shared" si="6"/>
        <v>67.228856338910262</v>
      </c>
      <c r="S49" s="142">
        <f t="shared" si="7"/>
        <v>-9.771143661089738</v>
      </c>
      <c r="T49" s="163"/>
      <c r="V49" s="17"/>
    </row>
    <row r="50" spans="1:22" x14ac:dyDescent="0.25">
      <c r="A50" s="57">
        <f>'A) Base RI'!A51</f>
        <v>5480</v>
      </c>
      <c r="B50" s="64" t="str">
        <f>'A) Base RI'!B51</f>
        <v>Daillens</v>
      </c>
      <c r="C50" s="172">
        <v>829372.66707437648</v>
      </c>
      <c r="D50" s="173">
        <v>689754.06987788028</v>
      </c>
      <c r="E50" s="174">
        <v>0</v>
      </c>
      <c r="F50" s="173">
        <v>0</v>
      </c>
      <c r="G50" s="173">
        <v>0</v>
      </c>
      <c r="H50" s="175">
        <f t="shared" si="0"/>
        <v>1519126.7369522569</v>
      </c>
      <c r="I50" s="233">
        <v>42113.849718309852</v>
      </c>
      <c r="J50" s="109">
        <f>'B) D RI'!U51</f>
        <v>34852.093380281687</v>
      </c>
      <c r="K50" s="76">
        <f t="shared" si="1"/>
        <v>36.071903830054886</v>
      </c>
      <c r="L50" s="41">
        <f>'B) D RI'!S51</f>
        <v>71</v>
      </c>
      <c r="M50" s="41">
        <f t="shared" si="2"/>
        <v>34.928096169945114</v>
      </c>
      <c r="N50" s="142">
        <f>'J) Plafonnement effort'!G49+'J) Plafonnement effort'!H49-'K) Plafonnement aide'!I49</f>
        <v>5.6158525042110483</v>
      </c>
      <c r="O50" s="142">
        <f t="shared" si="3"/>
        <v>40.543948674156162</v>
      </c>
      <c r="P50" s="55">
        <f t="shared" si="4"/>
        <v>0</v>
      </c>
      <c r="Q50" s="66">
        <f t="shared" si="5"/>
        <v>0</v>
      </c>
      <c r="R50" s="164">
        <f t="shared" si="6"/>
        <v>40.543948674156162</v>
      </c>
      <c r="S50" s="142">
        <f t="shared" si="7"/>
        <v>-30.456051325843838</v>
      </c>
      <c r="T50" s="163"/>
      <c r="V50" s="17"/>
    </row>
    <row r="51" spans="1:22" x14ac:dyDescent="0.25">
      <c r="A51" s="57">
        <f>'A) Base RI'!A52</f>
        <v>5481</v>
      </c>
      <c r="B51" s="64" t="str">
        <f>'A) Base RI'!B52</f>
        <v>Dizy</v>
      </c>
      <c r="C51" s="172">
        <v>139793.74299620368</v>
      </c>
      <c r="D51" s="173">
        <v>98569.709275851157</v>
      </c>
      <c r="E51" s="174">
        <v>0</v>
      </c>
      <c r="F51" s="173">
        <v>0</v>
      </c>
      <c r="G51" s="173">
        <v>0</v>
      </c>
      <c r="H51" s="175">
        <f t="shared" si="0"/>
        <v>238363.45227205486</v>
      </c>
      <c r="I51" s="233">
        <v>8240.9954054054051</v>
      </c>
      <c r="J51" s="109">
        <f>'B) D RI'!U52</f>
        <v>8900.2526582278479</v>
      </c>
      <c r="K51" s="76">
        <f t="shared" si="1"/>
        <v>28.924109351609193</v>
      </c>
      <c r="L51" s="41">
        <f>'B) D RI'!S52</f>
        <v>79</v>
      </c>
      <c r="M51" s="41">
        <f t="shared" si="2"/>
        <v>50.075890648390811</v>
      </c>
      <c r="N51" s="142">
        <f>'J) Plafonnement effort'!G50+'J) Plafonnement effort'!H50-'K) Plafonnement aide'!I50</f>
        <v>29.556368670430828</v>
      </c>
      <c r="O51" s="142">
        <f t="shared" si="3"/>
        <v>79.632259318821639</v>
      </c>
      <c r="P51" s="55">
        <f t="shared" si="4"/>
        <v>0</v>
      </c>
      <c r="Q51" s="66">
        <f t="shared" si="5"/>
        <v>0</v>
      </c>
      <c r="R51" s="164">
        <f t="shared" si="6"/>
        <v>79.632259318821639</v>
      </c>
      <c r="S51" s="142">
        <f t="shared" si="7"/>
        <v>0.63225931882163877</v>
      </c>
      <c r="T51" s="163"/>
      <c r="V51" s="17"/>
    </row>
    <row r="52" spans="1:22" x14ac:dyDescent="0.25">
      <c r="A52" s="57">
        <f>'A) Base RI'!A53</f>
        <v>5482</v>
      </c>
      <c r="B52" s="64" t="str">
        <f>'A) Base RI'!B53</f>
        <v>Eclépens</v>
      </c>
      <c r="C52" s="172">
        <v>1235991.6581761807</v>
      </c>
      <c r="D52" s="173">
        <v>1053021.1413902133</v>
      </c>
      <c r="E52" s="174">
        <v>0</v>
      </c>
      <c r="F52" s="173">
        <v>0</v>
      </c>
      <c r="G52" s="173">
        <v>0</v>
      </c>
      <c r="H52" s="175">
        <f t="shared" si="0"/>
        <v>2289012.7995663937</v>
      </c>
      <c r="I52" s="233">
        <v>64551.928043478263</v>
      </c>
      <c r="J52" s="109">
        <f>'B) D RI'!U53</f>
        <v>26792.007391304349</v>
      </c>
      <c r="K52" s="76">
        <f t="shared" si="1"/>
        <v>35.460022170440105</v>
      </c>
      <c r="L52" s="41">
        <f>'B) D RI'!S53</f>
        <v>46</v>
      </c>
      <c r="M52" s="41">
        <f t="shared" si="2"/>
        <v>10.539977829559895</v>
      </c>
      <c r="N52" s="142">
        <f>'J) Plafonnement effort'!G51+'J) Plafonnement effort'!H51-'K) Plafonnement aide'!I51</f>
        <v>5.9525622602620984</v>
      </c>
      <c r="O52" s="142">
        <f t="shared" si="3"/>
        <v>16.492540089821993</v>
      </c>
      <c r="P52" s="55">
        <f t="shared" si="4"/>
        <v>0</v>
      </c>
      <c r="Q52" s="66">
        <f t="shared" si="5"/>
        <v>0</v>
      </c>
      <c r="R52" s="164">
        <f t="shared" si="6"/>
        <v>16.492540089821993</v>
      </c>
      <c r="S52" s="142">
        <f t="shared" si="7"/>
        <v>-29.507459910178007</v>
      </c>
      <c r="T52" s="163"/>
      <c r="V52" s="17"/>
    </row>
    <row r="53" spans="1:22" x14ac:dyDescent="0.25">
      <c r="A53" s="57">
        <f>'A) Base RI'!A54</f>
        <v>5483</v>
      </c>
      <c r="B53" s="64" t="str">
        <f>'A) Base RI'!B54</f>
        <v>Ferreyres</v>
      </c>
      <c r="C53" s="172">
        <v>154560.20220127021</v>
      </c>
      <c r="D53" s="173">
        <v>30094.800555358437</v>
      </c>
      <c r="E53" s="174">
        <v>0</v>
      </c>
      <c r="F53" s="173">
        <v>0</v>
      </c>
      <c r="G53" s="173">
        <v>0</v>
      </c>
      <c r="H53" s="175">
        <f t="shared" si="0"/>
        <v>184655.00275662864</v>
      </c>
      <c r="I53" s="233">
        <v>9097.5578947368413</v>
      </c>
      <c r="J53" s="109">
        <f>'B) D RI'!U54</f>
        <v>9773.8555263157887</v>
      </c>
      <c r="K53" s="76">
        <f t="shared" si="1"/>
        <v>20.297205568041075</v>
      </c>
      <c r="L53" s="41">
        <f>'B) D RI'!S54</f>
        <v>76</v>
      </c>
      <c r="M53" s="41">
        <f t="shared" si="2"/>
        <v>55.702794431958921</v>
      </c>
      <c r="N53" s="142">
        <f>'J) Plafonnement effort'!G52+'J) Plafonnement effort'!H52-'K) Plafonnement aide'!I52</f>
        <v>19.923080718316395</v>
      </c>
      <c r="O53" s="142">
        <f t="shared" si="3"/>
        <v>75.62587515027532</v>
      </c>
      <c r="P53" s="55">
        <f t="shared" si="4"/>
        <v>0</v>
      </c>
      <c r="Q53" s="66">
        <f t="shared" si="5"/>
        <v>0</v>
      </c>
      <c r="R53" s="164">
        <f t="shared" si="6"/>
        <v>75.62587515027532</v>
      </c>
      <c r="S53" s="142">
        <f t="shared" si="7"/>
        <v>-0.37412484972468008</v>
      </c>
      <c r="T53" s="163"/>
      <c r="V53" s="17"/>
    </row>
    <row r="54" spans="1:22" x14ac:dyDescent="0.25">
      <c r="A54" s="57">
        <f>'A) Base RI'!A55</f>
        <v>5484</v>
      </c>
      <c r="B54" s="64" t="str">
        <f>'A) Base RI'!B55</f>
        <v>Gollion</v>
      </c>
      <c r="C54" s="172">
        <v>482389.97909262188</v>
      </c>
      <c r="D54" s="173">
        <v>27277.052000311553</v>
      </c>
      <c r="E54" s="174">
        <v>0</v>
      </c>
      <c r="F54" s="173">
        <v>0</v>
      </c>
      <c r="G54" s="173">
        <v>0</v>
      </c>
      <c r="H54" s="175">
        <f t="shared" si="0"/>
        <v>509667.03109293344</v>
      </c>
      <c r="I54" s="233">
        <v>23163.007162162161</v>
      </c>
      <c r="J54" s="109">
        <f>'B) D RI'!U55</f>
        <v>29063.721351351356</v>
      </c>
      <c r="K54" s="76">
        <f t="shared" si="1"/>
        <v>22.003491495072282</v>
      </c>
      <c r="L54" s="41">
        <f>'B) D RI'!S55</f>
        <v>74</v>
      </c>
      <c r="M54" s="41">
        <f t="shared" si="2"/>
        <v>51.996508504927718</v>
      </c>
      <c r="N54" s="142">
        <f>'J) Plafonnement effort'!G53+'J) Plafonnement effort'!H53-'K) Plafonnement aide'!I53</f>
        <v>17.660816797960447</v>
      </c>
      <c r="O54" s="142">
        <f t="shared" si="3"/>
        <v>69.657325302888168</v>
      </c>
      <c r="P54" s="55">
        <f t="shared" si="4"/>
        <v>0</v>
      </c>
      <c r="Q54" s="66">
        <f t="shared" si="5"/>
        <v>0</v>
      </c>
      <c r="R54" s="164">
        <f t="shared" si="6"/>
        <v>69.657325302888168</v>
      </c>
      <c r="S54" s="142">
        <f t="shared" si="7"/>
        <v>-4.342674697111832</v>
      </c>
      <c r="T54" s="163"/>
      <c r="V54" s="17"/>
    </row>
    <row r="55" spans="1:22" x14ac:dyDescent="0.25">
      <c r="A55" s="57">
        <f>'A) Base RI'!A56</f>
        <v>5485</v>
      </c>
      <c r="B55" s="64" t="str">
        <f>'A) Base RI'!B56</f>
        <v>Grancy</v>
      </c>
      <c r="C55" s="172">
        <v>300596.26140902849</v>
      </c>
      <c r="D55" s="173">
        <v>279180.53608068253</v>
      </c>
      <c r="E55" s="174">
        <v>0</v>
      </c>
      <c r="F55" s="173">
        <v>0</v>
      </c>
      <c r="G55" s="173">
        <v>0</v>
      </c>
      <c r="H55" s="175">
        <f t="shared" si="0"/>
        <v>579776.79748971108</v>
      </c>
      <c r="I55" s="233">
        <v>17298.355857142858</v>
      </c>
      <c r="J55" s="109">
        <f>'B) D RI'!U56</f>
        <v>15073.947999999999</v>
      </c>
      <c r="K55" s="76">
        <f t="shared" si="1"/>
        <v>33.516294974953297</v>
      </c>
      <c r="L55" s="41">
        <f>'B) D RI'!S56</f>
        <v>70</v>
      </c>
      <c r="M55" s="41">
        <f t="shared" si="2"/>
        <v>36.483705025046703</v>
      </c>
      <c r="N55" s="142">
        <f>'J) Plafonnement effort'!G54+'J) Plafonnement effort'!H54-'K) Plafonnement aide'!I54</f>
        <v>27.261113395211556</v>
      </c>
      <c r="O55" s="142">
        <f t="shared" si="3"/>
        <v>63.744818420258255</v>
      </c>
      <c r="P55" s="55">
        <f t="shared" si="4"/>
        <v>0</v>
      </c>
      <c r="Q55" s="66">
        <f t="shared" si="5"/>
        <v>0</v>
      </c>
      <c r="R55" s="164">
        <f t="shared" si="6"/>
        <v>63.744818420258255</v>
      </c>
      <c r="S55" s="142">
        <f t="shared" si="7"/>
        <v>-6.2551815797417447</v>
      </c>
      <c r="T55" s="163"/>
      <c r="V55" s="17"/>
    </row>
    <row r="56" spans="1:22" x14ac:dyDescent="0.25">
      <c r="A56" s="57">
        <f>'A) Base RI'!A57</f>
        <v>5486</v>
      </c>
      <c r="B56" s="64" t="str">
        <f>'A) Base RI'!B57</f>
        <v>L'Isle</v>
      </c>
      <c r="C56" s="172">
        <v>690105.40943419305</v>
      </c>
      <c r="D56" s="173">
        <v>-24357.630558797217</v>
      </c>
      <c r="E56" s="174">
        <v>0</v>
      </c>
      <c r="F56" s="173">
        <v>0</v>
      </c>
      <c r="G56" s="173">
        <v>0</v>
      </c>
      <c r="H56" s="175">
        <f t="shared" si="0"/>
        <v>665747.77887539589</v>
      </c>
      <c r="I56" s="233">
        <v>27212.445657894736</v>
      </c>
      <c r="J56" s="109">
        <f>'B) D RI'!U57</f>
        <v>29834.586052631581</v>
      </c>
      <c r="K56" s="76">
        <f t="shared" si="1"/>
        <v>24.464827132590067</v>
      </c>
      <c r="L56" s="41">
        <f>'B) D RI'!S57</f>
        <v>76</v>
      </c>
      <c r="M56" s="41">
        <f t="shared" si="2"/>
        <v>51.535172867409933</v>
      </c>
      <c r="N56" s="142">
        <f>'J) Plafonnement effort'!G55+'J) Plafonnement effort'!H55-'K) Plafonnement aide'!I55</f>
        <v>-2.7404662307664935</v>
      </c>
      <c r="O56" s="142">
        <f t="shared" si="3"/>
        <v>48.79470663664344</v>
      </c>
      <c r="P56" s="55">
        <f t="shared" si="4"/>
        <v>0</v>
      </c>
      <c r="Q56" s="66">
        <f t="shared" si="5"/>
        <v>0</v>
      </c>
      <c r="R56" s="164">
        <f t="shared" si="6"/>
        <v>48.79470663664344</v>
      </c>
      <c r="S56" s="142">
        <f t="shared" si="7"/>
        <v>-27.20529336335656</v>
      </c>
      <c r="T56" s="163"/>
      <c r="V56" s="17"/>
    </row>
    <row r="57" spans="1:22" x14ac:dyDescent="0.25">
      <c r="A57" s="57">
        <f>'A) Base RI'!A58</f>
        <v>5487</v>
      </c>
      <c r="B57" s="64" t="str">
        <f>'A) Base RI'!B58</f>
        <v>Lussery-Villars</v>
      </c>
      <c r="C57" s="172">
        <v>214062.16942024289</v>
      </c>
      <c r="D57" s="173">
        <v>69031.645783375629</v>
      </c>
      <c r="E57" s="174">
        <v>0</v>
      </c>
      <c r="F57" s="173">
        <v>0</v>
      </c>
      <c r="G57" s="173">
        <v>0</v>
      </c>
      <c r="H57" s="175">
        <f t="shared" si="0"/>
        <v>283093.81520361849</v>
      </c>
      <c r="I57" s="233">
        <v>12274.32455882353</v>
      </c>
      <c r="J57" s="109">
        <f>'B) D RI'!U58</f>
        <v>13143.798970588234</v>
      </c>
      <c r="K57" s="76">
        <f t="shared" si="1"/>
        <v>23.063901711814641</v>
      </c>
      <c r="L57" s="41">
        <f>'B) D RI'!S58</f>
        <v>68</v>
      </c>
      <c r="M57" s="41">
        <f t="shared" si="2"/>
        <v>44.936098288185363</v>
      </c>
      <c r="N57" s="142">
        <f>'J) Plafonnement effort'!G56+'J) Plafonnement effort'!H56-'K) Plafonnement aide'!I56</f>
        <v>18.72980582000848</v>
      </c>
      <c r="O57" s="142">
        <f t="shared" si="3"/>
        <v>63.665904108193843</v>
      </c>
      <c r="P57" s="55">
        <f t="shared" si="4"/>
        <v>0</v>
      </c>
      <c r="Q57" s="66">
        <f t="shared" si="5"/>
        <v>0</v>
      </c>
      <c r="R57" s="164">
        <f t="shared" si="6"/>
        <v>63.665904108193843</v>
      </c>
      <c r="S57" s="142">
        <f t="shared" si="7"/>
        <v>-4.3340958918061574</v>
      </c>
      <c r="T57" s="163"/>
      <c r="V57" s="17"/>
    </row>
    <row r="58" spans="1:22" x14ac:dyDescent="0.25">
      <c r="A58" s="57">
        <f>'A) Base RI'!A59</f>
        <v>5488</v>
      </c>
      <c r="B58" s="64" t="str">
        <f>'A) Base RI'!B59</f>
        <v>Mauraz</v>
      </c>
      <c r="C58" s="172">
        <v>22006.325341402193</v>
      </c>
      <c r="D58" s="173">
        <v>5319.5372771922775</v>
      </c>
      <c r="E58" s="174">
        <v>0</v>
      </c>
      <c r="F58" s="173">
        <v>0</v>
      </c>
      <c r="G58" s="173">
        <v>0</v>
      </c>
      <c r="H58" s="175">
        <f t="shared" si="0"/>
        <v>27325.86261859447</v>
      </c>
      <c r="I58" s="233">
        <v>1417.5255405405405</v>
      </c>
      <c r="J58" s="109">
        <f>'B) D RI'!U59</f>
        <v>1604.8968918918922</v>
      </c>
      <c r="K58" s="76">
        <f t="shared" si="1"/>
        <v>19.277157156670619</v>
      </c>
      <c r="L58" s="41">
        <f>'B) D RI'!S59</f>
        <v>74</v>
      </c>
      <c r="M58" s="41">
        <f t="shared" si="2"/>
        <v>54.722842843329381</v>
      </c>
      <c r="N58" s="142">
        <f>'J) Plafonnement effort'!G57+'J) Plafonnement effort'!H57-'K) Plafonnement aide'!I57</f>
        <v>19.651719033269568</v>
      </c>
      <c r="O58" s="142">
        <f t="shared" si="3"/>
        <v>74.374561876598946</v>
      </c>
      <c r="P58" s="55">
        <f t="shared" si="4"/>
        <v>0</v>
      </c>
      <c r="Q58" s="66">
        <f t="shared" si="5"/>
        <v>0</v>
      </c>
      <c r="R58" s="164">
        <f t="shared" si="6"/>
        <v>74.374561876598946</v>
      </c>
      <c r="S58" s="142">
        <f t="shared" si="7"/>
        <v>0.37456187659894624</v>
      </c>
      <c r="T58" s="163"/>
      <c r="V58" s="17"/>
    </row>
    <row r="59" spans="1:22" x14ac:dyDescent="0.25">
      <c r="A59" s="57">
        <f>'A) Base RI'!A60</f>
        <v>5489</v>
      </c>
      <c r="B59" s="64" t="str">
        <f>'A) Base RI'!B60</f>
        <v>Mex</v>
      </c>
      <c r="C59" s="172">
        <v>648947.44487524335</v>
      </c>
      <c r="D59" s="173">
        <v>622226.14054842736</v>
      </c>
      <c r="E59" s="174">
        <v>0</v>
      </c>
      <c r="F59" s="173">
        <v>0</v>
      </c>
      <c r="G59" s="173">
        <v>0</v>
      </c>
      <c r="H59" s="175">
        <f t="shared" si="0"/>
        <v>1271173.5854236707</v>
      </c>
      <c r="I59" s="233">
        <v>37121.285573770496</v>
      </c>
      <c r="J59" s="109">
        <f>'B) D RI'!U60</f>
        <v>46901.97049180328</v>
      </c>
      <c r="K59" s="76">
        <f t="shared" si="1"/>
        <v>34.243792093285379</v>
      </c>
      <c r="L59" s="41">
        <f>'B) D RI'!S60</f>
        <v>61</v>
      </c>
      <c r="M59" s="41">
        <f t="shared" si="2"/>
        <v>26.756207906714621</v>
      </c>
      <c r="N59" s="142">
        <f>'J) Plafonnement effort'!G58+'J) Plafonnement effort'!H58-'K) Plafonnement aide'!I58</f>
        <v>37.51701336282953</v>
      </c>
      <c r="O59" s="142">
        <f t="shared" si="3"/>
        <v>64.273221269544152</v>
      </c>
      <c r="P59" s="55">
        <f t="shared" si="4"/>
        <v>0</v>
      </c>
      <c r="Q59" s="66">
        <f t="shared" si="5"/>
        <v>0</v>
      </c>
      <c r="R59" s="164">
        <f t="shared" si="6"/>
        <v>64.273221269544152</v>
      </c>
      <c r="S59" s="142">
        <f t="shared" si="7"/>
        <v>3.2732212695441518</v>
      </c>
      <c r="T59" s="163"/>
      <c r="V59" s="17"/>
    </row>
    <row r="60" spans="1:22" x14ac:dyDescent="0.25">
      <c r="A60" s="57">
        <f>'A) Base RI'!A61</f>
        <v>5490</v>
      </c>
      <c r="B60" s="64" t="str">
        <f>'A) Base RI'!B61</f>
        <v>Moiry</v>
      </c>
      <c r="C60" s="172">
        <v>127652.94357997509</v>
      </c>
      <c r="D60" s="173">
        <v>-35191.523995884228</v>
      </c>
      <c r="E60" s="174">
        <v>0</v>
      </c>
      <c r="F60" s="173">
        <v>0</v>
      </c>
      <c r="G60" s="173">
        <v>0</v>
      </c>
      <c r="H60" s="175">
        <f t="shared" si="0"/>
        <v>92461.419584090865</v>
      </c>
      <c r="I60" s="233">
        <v>7321.727037037037</v>
      </c>
      <c r="J60" s="109">
        <f>'B) D RI'!U61</f>
        <v>7445.9272839506175</v>
      </c>
      <c r="K60" s="76">
        <f t="shared" si="1"/>
        <v>12.628362013002363</v>
      </c>
      <c r="L60" s="41">
        <f>'B) D RI'!S61</f>
        <v>81</v>
      </c>
      <c r="M60" s="41">
        <f t="shared" si="2"/>
        <v>68.371637986997641</v>
      </c>
      <c r="N60" s="142">
        <f>'J) Plafonnement effort'!G59+'J) Plafonnement effort'!H59-'K) Plafonnement aide'!I59</f>
        <v>6.5532600890808519</v>
      </c>
      <c r="O60" s="142">
        <f t="shared" si="3"/>
        <v>74.924898076078492</v>
      </c>
      <c r="P60" s="55">
        <f t="shared" si="4"/>
        <v>0</v>
      </c>
      <c r="Q60" s="66">
        <f t="shared" si="5"/>
        <v>0</v>
      </c>
      <c r="R60" s="164">
        <f t="shared" si="6"/>
        <v>74.924898076078492</v>
      </c>
      <c r="S60" s="142">
        <f t="shared" si="7"/>
        <v>-6.0751019239215083</v>
      </c>
      <c r="T60" s="163"/>
      <c r="V60" s="17"/>
    </row>
    <row r="61" spans="1:22" x14ac:dyDescent="0.25">
      <c r="A61" s="57">
        <f>'A) Base RI'!A62</f>
        <v>5491</v>
      </c>
      <c r="B61" s="64" t="str">
        <f>'A) Base RI'!B62</f>
        <v>Mont-la-Ville</v>
      </c>
      <c r="C61" s="172">
        <v>172122.91865413581</v>
      </c>
      <c r="D61" s="173">
        <v>-67302.631164215563</v>
      </c>
      <c r="E61" s="174">
        <v>0</v>
      </c>
      <c r="F61" s="173">
        <v>0</v>
      </c>
      <c r="G61" s="173">
        <v>0</v>
      </c>
      <c r="H61" s="175">
        <f t="shared" si="0"/>
        <v>104820.28748992024</v>
      </c>
      <c r="I61" s="233">
        <v>8599.6809210526335</v>
      </c>
      <c r="J61" s="109">
        <f>'B) D RI'!U62</f>
        <v>8756.4323684210522</v>
      </c>
      <c r="K61" s="76">
        <f t="shared" si="1"/>
        <v>12.188857755560754</v>
      </c>
      <c r="L61" s="41">
        <f>'B) D RI'!S62</f>
        <v>76</v>
      </c>
      <c r="M61" s="41">
        <f t="shared" ref="M61:M114" si="8">L61-K61</f>
        <v>63.811142244439246</v>
      </c>
      <c r="N61" s="142">
        <f>'J) Plafonnement effort'!G60+'J) Plafonnement effort'!H60-'K) Plafonnement aide'!I60</f>
        <v>10.403167398795656</v>
      </c>
      <c r="O61" s="142">
        <f t="shared" ref="O61:O114" si="9">M61+N61</f>
        <v>74.214309643234898</v>
      </c>
      <c r="P61" s="55">
        <f t="shared" ref="P61:P114" si="10">IF(O61&gt;$P$5,$P$5-O61,0)</f>
        <v>0</v>
      </c>
      <c r="Q61" s="66">
        <f t="shared" si="5"/>
        <v>0</v>
      </c>
      <c r="R61" s="164">
        <f t="shared" ref="R61:R114" si="11">O61+P61</f>
        <v>74.214309643234898</v>
      </c>
      <c r="S61" s="142">
        <f t="shared" ref="S61:S114" si="12">R61-L61</f>
        <v>-1.7856903567651017</v>
      </c>
      <c r="T61" s="163"/>
      <c r="V61" s="17"/>
    </row>
    <row r="62" spans="1:22" x14ac:dyDescent="0.25">
      <c r="A62" s="57">
        <f>'A) Base RI'!A63</f>
        <v>5492</v>
      </c>
      <c r="B62" s="64" t="str">
        <f>'A) Base RI'!B63</f>
        <v>Montricher</v>
      </c>
      <c r="C62" s="172">
        <v>7073706.4401512267</v>
      </c>
      <c r="D62" s="173">
        <v>2460748.4903086443</v>
      </c>
      <c r="E62" s="174">
        <v>0</v>
      </c>
      <c r="F62" s="173">
        <v>0</v>
      </c>
      <c r="G62" s="173">
        <v>0</v>
      </c>
      <c r="H62" s="175">
        <f t="shared" si="0"/>
        <v>9534454.9304598719</v>
      </c>
      <c r="I62" s="233">
        <v>187025.79406249998</v>
      </c>
      <c r="J62" s="109">
        <f>'B) D RI'!U63</f>
        <v>201844.58625000002</v>
      </c>
      <c r="K62" s="76">
        <f t="shared" ref="K62:K116" si="13">H62/I62</f>
        <v>50.979358105404771</v>
      </c>
      <c r="L62" s="41">
        <f>'B) D RI'!S63</f>
        <v>64</v>
      </c>
      <c r="M62" s="41">
        <f t="shared" si="8"/>
        <v>13.020641894595229</v>
      </c>
      <c r="N62" s="142">
        <f>'J) Plafonnement effort'!G61+'J) Plafonnement effort'!H61-'K) Plafonnement aide'!I61</f>
        <v>34.317982421934843</v>
      </c>
      <c r="O62" s="142">
        <f t="shared" si="9"/>
        <v>47.338624316530073</v>
      </c>
      <c r="P62" s="55">
        <f t="shared" si="10"/>
        <v>0</v>
      </c>
      <c r="Q62" s="66">
        <f t="shared" si="5"/>
        <v>0</v>
      </c>
      <c r="R62" s="164">
        <f t="shared" si="11"/>
        <v>47.338624316530073</v>
      </c>
      <c r="S62" s="142">
        <f t="shared" si="12"/>
        <v>-16.661375683469927</v>
      </c>
      <c r="T62" s="163"/>
      <c r="V62" s="17"/>
    </row>
    <row r="63" spans="1:22" x14ac:dyDescent="0.25">
      <c r="A63" s="57">
        <f>'A) Base RI'!A64</f>
        <v>5493</v>
      </c>
      <c r="B63" s="64" t="str">
        <f>'A) Base RI'!B64</f>
        <v>Orny</v>
      </c>
      <c r="C63" s="172">
        <v>191695.75120266428</v>
      </c>
      <c r="D63" s="173">
        <v>34722.944997432234</v>
      </c>
      <c r="E63" s="174">
        <v>0</v>
      </c>
      <c r="F63" s="173">
        <v>0</v>
      </c>
      <c r="G63" s="173">
        <v>0</v>
      </c>
      <c r="H63" s="175">
        <f t="shared" si="0"/>
        <v>226418.69620009651</v>
      </c>
      <c r="I63" s="233">
        <v>10614.324773445733</v>
      </c>
      <c r="J63" s="109">
        <f>'B) D RI'!U64</f>
        <v>9079.112581664911</v>
      </c>
      <c r="K63" s="76">
        <f t="shared" si="13"/>
        <v>21.331427201713002</v>
      </c>
      <c r="L63" s="41">
        <f>'B) D RI'!S64</f>
        <v>73</v>
      </c>
      <c r="M63" s="41">
        <f t="shared" si="8"/>
        <v>51.668572798287002</v>
      </c>
      <c r="N63" s="142">
        <f>'J) Plafonnement effort'!G62+'J) Plafonnement effort'!H62-'K) Plafonnement aide'!I62</f>
        <v>24.860003361850719</v>
      </c>
      <c r="O63" s="142">
        <f t="shared" si="9"/>
        <v>76.528576160137717</v>
      </c>
      <c r="P63" s="55">
        <f t="shared" si="10"/>
        <v>0</v>
      </c>
      <c r="Q63" s="66">
        <f t="shared" ref="Q63:Q117" si="14">P63*J63</f>
        <v>0</v>
      </c>
      <c r="R63" s="164">
        <f t="shared" si="11"/>
        <v>76.528576160137717</v>
      </c>
      <c r="S63" s="142">
        <f t="shared" si="12"/>
        <v>3.5285761601377175</v>
      </c>
      <c r="T63" s="163"/>
      <c r="V63" s="17"/>
    </row>
    <row r="64" spans="1:22" x14ac:dyDescent="0.25">
      <c r="A64" s="57">
        <f>'A) Base RI'!A65</f>
        <v>5494</v>
      </c>
      <c r="B64" s="64" t="str">
        <f>'A) Base RI'!B65</f>
        <v>Pampigny</v>
      </c>
      <c r="C64" s="172">
        <v>612582.0240024759</v>
      </c>
      <c r="D64" s="173">
        <v>141269.92657664383</v>
      </c>
      <c r="E64" s="174">
        <v>0</v>
      </c>
      <c r="F64" s="173">
        <v>0</v>
      </c>
      <c r="G64" s="173">
        <v>0</v>
      </c>
      <c r="H64" s="175">
        <f t="shared" si="0"/>
        <v>753851.95057911973</v>
      </c>
      <c r="I64" s="233">
        <v>33982.091568253971</v>
      </c>
      <c r="J64" s="109">
        <f>'B) D RI'!U65</f>
        <v>36797.992425396827</v>
      </c>
      <c r="K64" s="76">
        <f t="shared" si="13"/>
        <v>22.183800813584039</v>
      </c>
      <c r="L64" s="41">
        <f>'B) D RI'!S65</f>
        <v>75</v>
      </c>
      <c r="M64" s="41">
        <f t="shared" si="8"/>
        <v>52.816199186415957</v>
      </c>
      <c r="N64" s="142">
        <f>'J) Plafonnement effort'!G63+'J) Plafonnement effort'!H63-'K) Plafonnement aide'!I63</f>
        <v>22.096313962822375</v>
      </c>
      <c r="O64" s="142">
        <f t="shared" si="9"/>
        <v>74.912513149238336</v>
      </c>
      <c r="P64" s="55">
        <f t="shared" si="10"/>
        <v>0</v>
      </c>
      <c r="Q64" s="66">
        <f t="shared" si="14"/>
        <v>0</v>
      </c>
      <c r="R64" s="164">
        <f t="shared" si="11"/>
        <v>74.912513149238336</v>
      </c>
      <c r="S64" s="142">
        <f t="shared" si="12"/>
        <v>-8.7486850761663959E-2</v>
      </c>
      <c r="T64" s="163"/>
      <c r="V64" s="17"/>
    </row>
    <row r="65" spans="1:22" x14ac:dyDescent="0.25">
      <c r="A65" s="57">
        <f>'A) Base RI'!A66</f>
        <v>5495</v>
      </c>
      <c r="B65" s="64" t="str">
        <f>'A) Base RI'!B66</f>
        <v>Penthalaz</v>
      </c>
      <c r="C65" s="172">
        <v>1720087.2868321158</v>
      </c>
      <c r="D65" s="173">
        <v>-141552.76573338825</v>
      </c>
      <c r="E65" s="174">
        <v>0</v>
      </c>
      <c r="F65" s="173">
        <v>0</v>
      </c>
      <c r="G65" s="173">
        <v>0</v>
      </c>
      <c r="H65" s="175">
        <f t="shared" si="0"/>
        <v>1578534.5210987276</v>
      </c>
      <c r="I65" s="233">
        <v>96162.321351351362</v>
      </c>
      <c r="J65" s="109">
        <f>'B) D RI'!U66</f>
        <v>99436.02810810809</v>
      </c>
      <c r="K65" s="76">
        <f t="shared" si="13"/>
        <v>16.415312140096798</v>
      </c>
      <c r="L65" s="41">
        <f>'B) D RI'!S66</f>
        <v>74</v>
      </c>
      <c r="M65" s="41">
        <f t="shared" si="8"/>
        <v>57.584687859903198</v>
      </c>
      <c r="N65" s="142">
        <f>'J) Plafonnement effort'!G64+'J) Plafonnement effort'!H64-'K) Plafonnement aide'!I64</f>
        <v>7.7010289206007023</v>
      </c>
      <c r="O65" s="142">
        <f t="shared" si="9"/>
        <v>65.285716780503904</v>
      </c>
      <c r="P65" s="55">
        <f t="shared" si="10"/>
        <v>0</v>
      </c>
      <c r="Q65" s="66">
        <f t="shared" si="14"/>
        <v>0</v>
      </c>
      <c r="R65" s="164">
        <f t="shared" si="11"/>
        <v>65.285716780503904</v>
      </c>
      <c r="S65" s="142">
        <f t="shared" si="12"/>
        <v>-8.714283219496096</v>
      </c>
      <c r="T65" s="163"/>
      <c r="V65" s="17"/>
    </row>
    <row r="66" spans="1:22" x14ac:dyDescent="0.25">
      <c r="A66" s="57">
        <f>'A) Base RI'!A67</f>
        <v>5496</v>
      </c>
      <c r="B66" s="64" t="str">
        <f>'A) Base RI'!B67</f>
        <v>Penthaz</v>
      </c>
      <c r="C66" s="172">
        <v>963622.0822455918</v>
      </c>
      <c r="D66" s="173">
        <v>346758.9113412092</v>
      </c>
      <c r="E66" s="174">
        <v>0</v>
      </c>
      <c r="F66" s="173">
        <v>0</v>
      </c>
      <c r="G66" s="173">
        <v>0</v>
      </c>
      <c r="H66" s="175">
        <f t="shared" si="0"/>
        <v>1310380.993586801</v>
      </c>
      <c r="I66" s="233">
        <v>55211.289014084505</v>
      </c>
      <c r="J66" s="109">
        <f>'B) D RI'!U67</f>
        <v>52905.64732394366</v>
      </c>
      <c r="K66" s="76">
        <f t="shared" si="13"/>
        <v>23.733932262521897</v>
      </c>
      <c r="L66" s="41">
        <f>'B) D RI'!S67</f>
        <v>71</v>
      </c>
      <c r="M66" s="41">
        <f t="shared" si="8"/>
        <v>47.266067737478103</v>
      </c>
      <c r="N66" s="142">
        <f>'J) Plafonnement effort'!G65+'J) Plafonnement effort'!H65-'K) Plafonnement aide'!I65</f>
        <v>11.193817819514191</v>
      </c>
      <c r="O66" s="142">
        <f t="shared" si="9"/>
        <v>58.45988555699229</v>
      </c>
      <c r="P66" s="55">
        <f t="shared" si="10"/>
        <v>0</v>
      </c>
      <c r="Q66" s="66">
        <f t="shared" si="14"/>
        <v>0</v>
      </c>
      <c r="R66" s="164">
        <f t="shared" si="11"/>
        <v>58.45988555699229</v>
      </c>
      <c r="S66" s="142">
        <f t="shared" si="12"/>
        <v>-12.54011444300771</v>
      </c>
      <c r="T66" s="163"/>
      <c r="V66" s="17"/>
    </row>
    <row r="67" spans="1:22" x14ac:dyDescent="0.25">
      <c r="A67" s="57">
        <f>'A) Base RI'!A68</f>
        <v>5497</v>
      </c>
      <c r="B67" s="64" t="str">
        <f>'A) Base RI'!B68</f>
        <v>Pompaples</v>
      </c>
      <c r="C67" s="172">
        <v>459708.83928201412</v>
      </c>
      <c r="D67" s="173">
        <v>78645.641291713575</v>
      </c>
      <c r="E67" s="174">
        <v>0</v>
      </c>
      <c r="F67" s="173">
        <v>0</v>
      </c>
      <c r="G67" s="173">
        <v>0</v>
      </c>
      <c r="H67" s="175">
        <f t="shared" si="0"/>
        <v>538354.48057372775</v>
      </c>
      <c r="I67" s="233">
        <v>22227.212272727276</v>
      </c>
      <c r="J67" s="109">
        <f>'B) D RI'!U68</f>
        <v>22272.608181818188</v>
      </c>
      <c r="K67" s="76">
        <f t="shared" si="13"/>
        <v>24.220512854609623</v>
      </c>
      <c r="L67" s="41">
        <f>'B) D RI'!S68</f>
        <v>66</v>
      </c>
      <c r="M67" s="41">
        <f t="shared" si="8"/>
        <v>41.779487145390377</v>
      </c>
      <c r="N67" s="142">
        <f>'J) Plafonnement effort'!G66+'J) Plafonnement effort'!H66-'K) Plafonnement aide'!I66</f>
        <v>22.484628043918015</v>
      </c>
      <c r="O67" s="142">
        <f t="shared" si="9"/>
        <v>64.264115189308399</v>
      </c>
      <c r="P67" s="55">
        <f t="shared" si="10"/>
        <v>0</v>
      </c>
      <c r="Q67" s="66">
        <f t="shared" si="14"/>
        <v>0</v>
      </c>
      <c r="R67" s="164">
        <f t="shared" si="11"/>
        <v>64.264115189308399</v>
      </c>
      <c r="S67" s="142">
        <f t="shared" si="12"/>
        <v>-1.7358848106916014</v>
      </c>
      <c r="T67" s="163"/>
      <c r="V67" s="17"/>
    </row>
    <row r="68" spans="1:22" x14ac:dyDescent="0.25">
      <c r="A68" s="57">
        <f>'A) Base RI'!A69</f>
        <v>5498</v>
      </c>
      <c r="B68" s="64" t="str">
        <f>'A) Base RI'!B69</f>
        <v>La Sarraz</v>
      </c>
      <c r="C68" s="172">
        <v>1260248.1323149004</v>
      </c>
      <c r="D68" s="173">
        <v>37758.066919471836</v>
      </c>
      <c r="E68" s="174">
        <v>0</v>
      </c>
      <c r="F68" s="173">
        <v>0</v>
      </c>
      <c r="G68" s="173">
        <v>0</v>
      </c>
      <c r="H68" s="175">
        <f t="shared" si="0"/>
        <v>1298006.1992343722</v>
      </c>
      <c r="I68" s="233">
        <v>72104.13</v>
      </c>
      <c r="J68" s="109">
        <f>'B) D RI'!U69</f>
        <v>73804.61909090908</v>
      </c>
      <c r="K68" s="76">
        <f t="shared" si="13"/>
        <v>18.001828733449418</v>
      </c>
      <c r="L68" s="41">
        <f>'B) D RI'!S69</f>
        <v>66</v>
      </c>
      <c r="M68" s="41">
        <f t="shared" si="8"/>
        <v>47.998171266550585</v>
      </c>
      <c r="N68" s="142">
        <f>'J) Plafonnement effort'!G67+'J) Plafonnement effort'!H67-'K) Plafonnement aide'!I67</f>
        <v>-15.387178567838795</v>
      </c>
      <c r="O68" s="142">
        <f t="shared" si="9"/>
        <v>32.61099269871179</v>
      </c>
      <c r="P68" s="55">
        <f t="shared" si="10"/>
        <v>0</v>
      </c>
      <c r="Q68" s="66">
        <f t="shared" si="14"/>
        <v>0</v>
      </c>
      <c r="R68" s="164">
        <f t="shared" si="11"/>
        <v>32.61099269871179</v>
      </c>
      <c r="S68" s="142">
        <f t="shared" si="12"/>
        <v>-33.38900730128821</v>
      </c>
      <c r="T68" s="163"/>
      <c r="V68" s="17"/>
    </row>
    <row r="69" spans="1:22" x14ac:dyDescent="0.25">
      <c r="A69" s="57">
        <f>'A) Base RI'!A70</f>
        <v>5499</v>
      </c>
      <c r="B69" s="64" t="str">
        <f>'A) Base RI'!B70</f>
        <v>Senarclens</v>
      </c>
      <c r="C69" s="172">
        <v>396851.87665844441</v>
      </c>
      <c r="D69" s="173">
        <v>358668.50869361922</v>
      </c>
      <c r="E69" s="174">
        <v>0</v>
      </c>
      <c r="F69" s="173">
        <v>0</v>
      </c>
      <c r="G69" s="173">
        <v>0</v>
      </c>
      <c r="H69" s="175">
        <f t="shared" si="0"/>
        <v>755520.38535206369</v>
      </c>
      <c r="I69" s="233">
        <v>21697.695620437953</v>
      </c>
      <c r="J69" s="109">
        <f>'B) D RI'!U70</f>
        <v>18585.936788321167</v>
      </c>
      <c r="K69" s="76">
        <f t="shared" si="13"/>
        <v>34.820305278889059</v>
      </c>
      <c r="L69" s="41">
        <f>'B) D RI'!S70</f>
        <v>68.5</v>
      </c>
      <c r="M69" s="41">
        <f t="shared" si="8"/>
        <v>33.679694721110941</v>
      </c>
      <c r="N69" s="142">
        <f>'J) Plafonnement effort'!G68+'J) Plafonnement effort'!H68-'K) Plafonnement aide'!I68</f>
        <v>21.176935627613133</v>
      </c>
      <c r="O69" s="142">
        <f t="shared" si="9"/>
        <v>54.856630348724075</v>
      </c>
      <c r="P69" s="55">
        <f t="shared" si="10"/>
        <v>0</v>
      </c>
      <c r="Q69" s="66">
        <f t="shared" si="14"/>
        <v>0</v>
      </c>
      <c r="R69" s="164">
        <f t="shared" si="11"/>
        <v>54.856630348724075</v>
      </c>
      <c r="S69" s="142">
        <f t="shared" si="12"/>
        <v>-13.643369651275925</v>
      </c>
      <c r="T69" s="163"/>
      <c r="V69" s="17"/>
    </row>
    <row r="70" spans="1:22" x14ac:dyDescent="0.25">
      <c r="A70" s="57">
        <f>'A) Base RI'!A71</f>
        <v>5500</v>
      </c>
      <c r="B70" s="64" t="str">
        <f>'A) Base RI'!B71</f>
        <v>Sévery</v>
      </c>
      <c r="C70" s="172">
        <v>126050.04172830304</v>
      </c>
      <c r="D70" s="173">
        <v>24412.196964183415</v>
      </c>
      <c r="E70" s="174">
        <v>0</v>
      </c>
      <c r="F70" s="173">
        <v>0</v>
      </c>
      <c r="G70" s="173">
        <v>0</v>
      </c>
      <c r="H70" s="175">
        <f t="shared" si="0"/>
        <v>150462.23869248645</v>
      </c>
      <c r="I70" s="233">
        <v>6767.1525657894736</v>
      </c>
      <c r="J70" s="109">
        <f>'B) D RI'!U71</f>
        <v>8028.7526973684207</v>
      </c>
      <c r="K70" s="76">
        <f t="shared" si="13"/>
        <v>22.234202233466736</v>
      </c>
      <c r="L70" s="41">
        <f>'B) D RI'!S71</f>
        <v>76</v>
      </c>
      <c r="M70" s="41">
        <f t="shared" si="8"/>
        <v>53.765797766533268</v>
      </c>
      <c r="N70" s="142">
        <f>'J) Plafonnement effort'!G69+'J) Plafonnement effort'!H69-'K) Plafonnement aide'!I69</f>
        <v>22.942913482317085</v>
      </c>
      <c r="O70" s="142">
        <f t="shared" si="9"/>
        <v>76.708711248850349</v>
      </c>
      <c r="P70" s="55">
        <f t="shared" si="10"/>
        <v>0</v>
      </c>
      <c r="Q70" s="66">
        <f t="shared" si="14"/>
        <v>0</v>
      </c>
      <c r="R70" s="164">
        <f t="shared" si="11"/>
        <v>76.708711248850349</v>
      </c>
      <c r="S70" s="142">
        <f t="shared" si="12"/>
        <v>0.70871124885034931</v>
      </c>
      <c r="T70" s="163"/>
      <c r="V70" s="17"/>
    </row>
    <row r="71" spans="1:22" x14ac:dyDescent="0.25">
      <c r="A71" s="57">
        <f>'A) Base RI'!A72</f>
        <v>5501</v>
      </c>
      <c r="B71" s="64" t="str">
        <f>'A) Base RI'!B72</f>
        <v>Sullens</v>
      </c>
      <c r="C71" s="172">
        <v>665360.96250329993</v>
      </c>
      <c r="D71" s="173">
        <v>480088.88175295357</v>
      </c>
      <c r="E71" s="174">
        <v>0</v>
      </c>
      <c r="F71" s="173">
        <v>0</v>
      </c>
      <c r="G71" s="173">
        <v>0</v>
      </c>
      <c r="H71" s="175">
        <f t="shared" ref="H71:H134" si="15">SUM(C71:G71)</f>
        <v>1145449.8442562534</v>
      </c>
      <c r="I71" s="233">
        <v>35887.851857142865</v>
      </c>
      <c r="J71" s="109">
        <f>'B) D RI'!U72</f>
        <v>35737.650142857143</v>
      </c>
      <c r="K71" s="76">
        <f t="shared" si="13"/>
        <v>31.917481403342094</v>
      </c>
      <c r="L71" s="41">
        <f>'B) D RI'!S72</f>
        <v>70</v>
      </c>
      <c r="M71" s="41">
        <f t="shared" si="8"/>
        <v>38.082518596657906</v>
      </c>
      <c r="N71" s="142">
        <f>'J) Plafonnement effort'!G70+'J) Plafonnement effort'!H70-'K) Plafonnement aide'!I70</f>
        <v>31.143030665512331</v>
      </c>
      <c r="O71" s="142">
        <f t="shared" si="9"/>
        <v>69.225549262170233</v>
      </c>
      <c r="P71" s="55">
        <f t="shared" si="10"/>
        <v>0</v>
      </c>
      <c r="Q71" s="66">
        <f t="shared" si="14"/>
        <v>0</v>
      </c>
      <c r="R71" s="164">
        <f t="shared" si="11"/>
        <v>69.225549262170233</v>
      </c>
      <c r="S71" s="142">
        <f t="shared" si="12"/>
        <v>-0.77445073782976692</v>
      </c>
      <c r="T71" s="163"/>
      <c r="V71" s="17"/>
    </row>
    <row r="72" spans="1:22" x14ac:dyDescent="0.25">
      <c r="A72" s="57">
        <f>'A) Base RI'!A73</f>
        <v>5503</v>
      </c>
      <c r="B72" s="64" t="str">
        <f>'A) Base RI'!B73</f>
        <v>Vufflens-la-Ville</v>
      </c>
      <c r="C72" s="172">
        <v>1270202.9481285838</v>
      </c>
      <c r="D72" s="173">
        <v>967082.1471206228</v>
      </c>
      <c r="E72" s="174">
        <v>0</v>
      </c>
      <c r="F72" s="173">
        <v>0</v>
      </c>
      <c r="G72" s="173">
        <v>0</v>
      </c>
      <c r="H72" s="175">
        <f t="shared" si="15"/>
        <v>2237285.0952492068</v>
      </c>
      <c r="I72" s="233">
        <v>61379.446318407958</v>
      </c>
      <c r="J72" s="109">
        <f>'B) D RI'!U73</f>
        <v>64927.66542288557</v>
      </c>
      <c r="K72" s="76">
        <f t="shared" si="13"/>
        <v>36.450069680381517</v>
      </c>
      <c r="L72" s="41">
        <f>'B) D RI'!S73</f>
        <v>67</v>
      </c>
      <c r="M72" s="41">
        <f t="shared" si="8"/>
        <v>30.549930319618483</v>
      </c>
      <c r="N72" s="142">
        <f>'J) Plafonnement effort'!G71+'J) Plafonnement effort'!H71-'K) Plafonnement aide'!I71</f>
        <v>35.915363795399948</v>
      </c>
      <c r="O72" s="142">
        <f t="shared" si="9"/>
        <v>66.465294115018423</v>
      </c>
      <c r="P72" s="55">
        <f t="shared" si="10"/>
        <v>0</v>
      </c>
      <c r="Q72" s="66">
        <f t="shared" si="14"/>
        <v>0</v>
      </c>
      <c r="R72" s="164">
        <f t="shared" si="11"/>
        <v>66.465294115018423</v>
      </c>
      <c r="S72" s="142">
        <f t="shared" si="12"/>
        <v>-0.53470588498157667</v>
      </c>
      <c r="T72" s="163"/>
      <c r="V72" s="17"/>
    </row>
    <row r="73" spans="1:22" x14ac:dyDescent="0.25">
      <c r="A73" s="57">
        <f>'A) Base RI'!A74</f>
        <v>5511</v>
      </c>
      <c r="B73" s="64" t="str">
        <f>'A) Base RI'!B74</f>
        <v>Assens</v>
      </c>
      <c r="C73" s="172">
        <v>719592.69032687997</v>
      </c>
      <c r="D73" s="173">
        <v>581579.61388841586</v>
      </c>
      <c r="E73" s="174">
        <v>0</v>
      </c>
      <c r="F73" s="173">
        <v>0</v>
      </c>
      <c r="G73" s="173">
        <v>0</v>
      </c>
      <c r="H73" s="175">
        <f t="shared" si="15"/>
        <v>1301172.3042152957</v>
      </c>
      <c r="I73" s="233">
        <v>41422.612571428566</v>
      </c>
      <c r="J73" s="109">
        <f>'B) D RI'!U74</f>
        <v>39993.346428571429</v>
      </c>
      <c r="K73" s="76">
        <f t="shared" si="13"/>
        <v>31.412125489950029</v>
      </c>
      <c r="L73" s="41">
        <f>'B) D RI'!S74</f>
        <v>70</v>
      </c>
      <c r="M73" s="41">
        <f t="shared" si="8"/>
        <v>38.587874510049971</v>
      </c>
      <c r="N73" s="142">
        <f>'J) Plafonnement effort'!G72+'J) Plafonnement effort'!H72-'K) Plafonnement aide'!I72</f>
        <v>21.138521975069743</v>
      </c>
      <c r="O73" s="142">
        <f t="shared" si="9"/>
        <v>59.726396485119714</v>
      </c>
      <c r="P73" s="55">
        <f t="shared" si="10"/>
        <v>0</v>
      </c>
      <c r="Q73" s="66">
        <f t="shared" si="14"/>
        <v>0</v>
      </c>
      <c r="R73" s="164">
        <f t="shared" si="11"/>
        <v>59.726396485119714</v>
      </c>
      <c r="S73" s="142">
        <f t="shared" si="12"/>
        <v>-10.273603514880286</v>
      </c>
      <c r="T73" s="163"/>
      <c r="V73" s="17"/>
    </row>
    <row r="74" spans="1:22" x14ac:dyDescent="0.25">
      <c r="A74" s="57">
        <f>'A) Base RI'!A75</f>
        <v>5512</v>
      </c>
      <c r="B74" s="64" t="str">
        <f>'A) Base RI'!B75</f>
        <v>Bercher</v>
      </c>
      <c r="C74" s="172">
        <v>577535.77312119957</v>
      </c>
      <c r="D74" s="173">
        <v>-14059.690087654279</v>
      </c>
      <c r="E74" s="174">
        <v>0</v>
      </c>
      <c r="F74" s="173">
        <v>0</v>
      </c>
      <c r="G74" s="173">
        <v>0</v>
      </c>
      <c r="H74" s="175">
        <f t="shared" si="15"/>
        <v>563476.08303354529</v>
      </c>
      <c r="I74" s="233">
        <v>32079.191772151898</v>
      </c>
      <c r="J74" s="109">
        <f>'B) D RI'!U75</f>
        <v>35096.262278481016</v>
      </c>
      <c r="K74" s="76">
        <f t="shared" si="13"/>
        <v>17.565158344254222</v>
      </c>
      <c r="L74" s="41">
        <f>'B) D RI'!S75</f>
        <v>79</v>
      </c>
      <c r="M74" s="41">
        <f t="shared" si="8"/>
        <v>61.434841655745778</v>
      </c>
      <c r="N74" s="142">
        <f>'J) Plafonnement effort'!G73+'J) Plafonnement effort'!H73-'K) Plafonnement aide'!I73</f>
        <v>15.076130899068973</v>
      </c>
      <c r="O74" s="142">
        <f t="shared" si="9"/>
        <v>76.510972554814757</v>
      </c>
      <c r="P74" s="55">
        <f t="shared" si="10"/>
        <v>0</v>
      </c>
      <c r="Q74" s="66">
        <f t="shared" si="14"/>
        <v>0</v>
      </c>
      <c r="R74" s="164">
        <f t="shared" si="11"/>
        <v>76.510972554814757</v>
      </c>
      <c r="S74" s="142">
        <f t="shared" si="12"/>
        <v>-2.4890274451852434</v>
      </c>
      <c r="T74" s="163"/>
      <c r="V74" s="17"/>
    </row>
    <row r="75" spans="1:22" x14ac:dyDescent="0.25">
      <c r="A75" s="57">
        <f>'A) Base RI'!A76</f>
        <v>5513</v>
      </c>
      <c r="B75" s="64" t="str">
        <f>'A) Base RI'!B76</f>
        <v>Bioley-Orjulaz</v>
      </c>
      <c r="C75" s="172">
        <v>447351.40210744541</v>
      </c>
      <c r="D75" s="173">
        <v>399938.52743935533</v>
      </c>
      <c r="E75" s="174">
        <v>0</v>
      </c>
      <c r="F75" s="173">
        <v>0</v>
      </c>
      <c r="G75" s="173">
        <v>0</v>
      </c>
      <c r="H75" s="175">
        <f t="shared" si="15"/>
        <v>847289.92954680067</v>
      </c>
      <c r="I75" s="233">
        <v>24024.471515151512</v>
      </c>
      <c r="J75" s="109">
        <f>'B) D RI'!U76</f>
        <v>22441.228030303031</v>
      </c>
      <c r="K75" s="76">
        <f t="shared" si="13"/>
        <v>35.26778639074081</v>
      </c>
      <c r="L75" s="41">
        <f>'B) D RI'!S76</f>
        <v>66</v>
      </c>
      <c r="M75" s="41">
        <f t="shared" si="8"/>
        <v>30.73221360925919</v>
      </c>
      <c r="N75" s="142">
        <f>'J) Plafonnement effort'!G74+'J) Plafonnement effort'!H74-'K) Plafonnement aide'!I74</f>
        <v>33.779779175475753</v>
      </c>
      <c r="O75" s="142">
        <f t="shared" si="9"/>
        <v>64.511992784734943</v>
      </c>
      <c r="P75" s="55">
        <f t="shared" si="10"/>
        <v>0</v>
      </c>
      <c r="Q75" s="66">
        <f t="shared" si="14"/>
        <v>0</v>
      </c>
      <c r="R75" s="164">
        <f t="shared" si="11"/>
        <v>64.511992784734943</v>
      </c>
      <c r="S75" s="142">
        <f t="shared" si="12"/>
        <v>-1.488007215265057</v>
      </c>
      <c r="T75" s="163"/>
      <c r="V75" s="17"/>
    </row>
    <row r="76" spans="1:22" x14ac:dyDescent="0.25">
      <c r="A76" s="57">
        <f>'A) Base RI'!A77</f>
        <v>5514</v>
      </c>
      <c r="B76" s="64" t="str">
        <f>'A) Base RI'!B77</f>
        <v>Bottens</v>
      </c>
      <c r="C76" s="172">
        <v>746171.59517866024</v>
      </c>
      <c r="D76" s="173">
        <v>245149.58673198702</v>
      </c>
      <c r="E76" s="174">
        <v>0</v>
      </c>
      <c r="F76" s="173">
        <v>0</v>
      </c>
      <c r="G76" s="173">
        <v>0</v>
      </c>
      <c r="H76" s="175">
        <f t="shared" si="15"/>
        <v>991321.18191064731</v>
      </c>
      <c r="I76" s="233">
        <v>38346.680434782604</v>
      </c>
      <c r="J76" s="109">
        <f>'B) D RI'!U77</f>
        <v>40579.944927536235</v>
      </c>
      <c r="K76" s="76">
        <f t="shared" si="13"/>
        <v>25.851551442545809</v>
      </c>
      <c r="L76" s="41">
        <f>'B) D RI'!S77</f>
        <v>69</v>
      </c>
      <c r="M76" s="41">
        <f t="shared" si="8"/>
        <v>43.148448557454188</v>
      </c>
      <c r="N76" s="142">
        <f>'J) Plafonnement effort'!G75+'J) Plafonnement effort'!H75-'K) Plafonnement aide'!I75</f>
        <v>24.576551671708906</v>
      </c>
      <c r="O76" s="142">
        <f t="shared" si="9"/>
        <v>67.725000229163101</v>
      </c>
      <c r="P76" s="55">
        <f t="shared" si="10"/>
        <v>0</v>
      </c>
      <c r="Q76" s="66">
        <f t="shared" si="14"/>
        <v>0</v>
      </c>
      <c r="R76" s="164">
        <f t="shared" si="11"/>
        <v>67.725000229163101</v>
      </c>
      <c r="S76" s="142">
        <f t="shared" si="12"/>
        <v>-1.2749997708368994</v>
      </c>
      <c r="T76" s="163"/>
      <c r="V76" s="17"/>
    </row>
    <row r="77" spans="1:22" x14ac:dyDescent="0.25">
      <c r="A77" s="57">
        <f>'A) Base RI'!A78</f>
        <v>5515</v>
      </c>
      <c r="B77" s="64" t="str">
        <f>'A) Base RI'!B78</f>
        <v>Bretigny-sur-Morrens</v>
      </c>
      <c r="C77" s="172">
        <v>443633.48355435766</v>
      </c>
      <c r="D77" s="173">
        <v>144856.96938759024</v>
      </c>
      <c r="E77" s="174">
        <v>0</v>
      </c>
      <c r="F77" s="173">
        <v>0</v>
      </c>
      <c r="G77" s="173">
        <v>0</v>
      </c>
      <c r="H77" s="175">
        <f t="shared" si="15"/>
        <v>588490.45294194785</v>
      </c>
      <c r="I77" s="233">
        <v>24345.34643835617</v>
      </c>
      <c r="J77" s="109">
        <f>'B) D RI'!U78</f>
        <v>25654.980410958906</v>
      </c>
      <c r="K77" s="76">
        <f t="shared" si="13"/>
        <v>24.172605406624211</v>
      </c>
      <c r="L77" s="41">
        <f>'B) D RI'!S78</f>
        <v>73</v>
      </c>
      <c r="M77" s="41">
        <f t="shared" si="8"/>
        <v>48.827394593375786</v>
      </c>
      <c r="N77" s="142">
        <f>'J) Plafonnement effort'!G76+'J) Plafonnement effort'!H76-'K) Plafonnement aide'!I76</f>
        <v>22.507801921490014</v>
      </c>
      <c r="O77" s="142">
        <f t="shared" si="9"/>
        <v>71.3351965148658</v>
      </c>
      <c r="P77" s="55">
        <f t="shared" si="10"/>
        <v>0</v>
      </c>
      <c r="Q77" s="66">
        <f t="shared" si="14"/>
        <v>0</v>
      </c>
      <c r="R77" s="164">
        <f t="shared" si="11"/>
        <v>71.3351965148658</v>
      </c>
      <c r="S77" s="142">
        <f t="shared" si="12"/>
        <v>-1.6648034851342004</v>
      </c>
      <c r="T77" s="163"/>
      <c r="V77" s="17"/>
    </row>
    <row r="78" spans="1:22" x14ac:dyDescent="0.25">
      <c r="A78" s="57">
        <f>'A) Base RI'!A79</f>
        <v>5516</v>
      </c>
      <c r="B78" s="64" t="str">
        <f>'A) Base RI'!B79</f>
        <v>Cugy</v>
      </c>
      <c r="C78" s="172">
        <v>1951087.2756788409</v>
      </c>
      <c r="D78" s="173">
        <v>948245.45179026085</v>
      </c>
      <c r="E78" s="174">
        <v>0</v>
      </c>
      <c r="F78" s="173">
        <v>0</v>
      </c>
      <c r="G78" s="173">
        <v>0</v>
      </c>
      <c r="H78" s="175">
        <f t="shared" si="15"/>
        <v>2899332.7274691015</v>
      </c>
      <c r="I78" s="233">
        <v>104935.17701492537</v>
      </c>
      <c r="J78" s="109">
        <f>'B) D RI'!U79</f>
        <v>107712.55485714282</v>
      </c>
      <c r="K78" s="76">
        <f t="shared" si="13"/>
        <v>27.629750193843169</v>
      </c>
      <c r="L78" s="41">
        <f>'B) D RI'!S79</f>
        <v>70</v>
      </c>
      <c r="M78" s="41">
        <f t="shared" si="8"/>
        <v>42.370249806156835</v>
      </c>
      <c r="N78" s="142">
        <f>'J) Plafonnement effort'!G77+'J) Plafonnement effort'!H77-'K) Plafonnement aide'!I77</f>
        <v>25.76589066564684</v>
      </c>
      <c r="O78" s="142">
        <f t="shared" si="9"/>
        <v>68.136140471803671</v>
      </c>
      <c r="P78" s="55">
        <f t="shared" si="10"/>
        <v>0</v>
      </c>
      <c r="Q78" s="66">
        <f t="shared" si="14"/>
        <v>0</v>
      </c>
      <c r="R78" s="164">
        <f t="shared" si="11"/>
        <v>68.136140471803671</v>
      </c>
      <c r="S78" s="142">
        <f t="shared" si="12"/>
        <v>-1.8638595281963291</v>
      </c>
      <c r="T78" s="163"/>
      <c r="V78" s="17"/>
    </row>
    <row r="79" spans="1:22" x14ac:dyDescent="0.25">
      <c r="A79" s="57">
        <f>'A) Base RI'!A80</f>
        <v>5518</v>
      </c>
      <c r="B79" s="64" t="str">
        <f>'A) Base RI'!B80</f>
        <v>Echallens</v>
      </c>
      <c r="C79" s="172">
        <v>3163372.5675516957</v>
      </c>
      <c r="D79" s="173">
        <v>-201419.64518313715</v>
      </c>
      <c r="E79" s="174">
        <v>0</v>
      </c>
      <c r="F79" s="173">
        <v>0</v>
      </c>
      <c r="G79" s="173">
        <v>0</v>
      </c>
      <c r="H79" s="175">
        <f t="shared" si="15"/>
        <v>2961952.9223685586</v>
      </c>
      <c r="I79" s="233">
        <v>181423.1631081081</v>
      </c>
      <c r="J79" s="109">
        <f>'B) D RI'!U80</f>
        <v>187267.45324324328</v>
      </c>
      <c r="K79" s="76">
        <f t="shared" si="13"/>
        <v>16.326211447452071</v>
      </c>
      <c r="L79" s="41">
        <f>'B) D RI'!S80</f>
        <v>74</v>
      </c>
      <c r="M79" s="41">
        <f t="shared" si="8"/>
        <v>57.673788552547933</v>
      </c>
      <c r="N79" s="142">
        <f>'J) Plafonnement effort'!G78+'J) Plafonnement effort'!H78-'K) Plafonnement aide'!I78</f>
        <v>-12.587699491382477</v>
      </c>
      <c r="O79" s="142">
        <f t="shared" si="9"/>
        <v>45.086089061165453</v>
      </c>
      <c r="P79" s="55">
        <f t="shared" si="10"/>
        <v>0</v>
      </c>
      <c r="Q79" s="66">
        <f t="shared" si="14"/>
        <v>0</v>
      </c>
      <c r="R79" s="164">
        <f t="shared" si="11"/>
        <v>45.086089061165453</v>
      </c>
      <c r="S79" s="142">
        <f t="shared" si="12"/>
        <v>-28.913910938834547</v>
      </c>
      <c r="T79" s="163"/>
      <c r="V79" s="17"/>
    </row>
    <row r="80" spans="1:22" x14ac:dyDescent="0.25">
      <c r="A80" s="57">
        <f>'A) Base RI'!A81</f>
        <v>5520</v>
      </c>
      <c r="B80" s="64" t="str">
        <f>'A) Base RI'!B81</f>
        <v>Essertines-sur-Yverdon</v>
      </c>
      <c r="C80" s="172">
        <v>479475.27565773</v>
      </c>
      <c r="D80" s="173">
        <v>138159.05590717419</v>
      </c>
      <c r="E80" s="174">
        <v>0</v>
      </c>
      <c r="F80" s="173">
        <v>0</v>
      </c>
      <c r="G80" s="173">
        <v>0</v>
      </c>
      <c r="H80" s="175">
        <f t="shared" si="15"/>
        <v>617634.33156490419</v>
      </c>
      <c r="I80" s="233">
        <v>28021.579589041095</v>
      </c>
      <c r="J80" s="109">
        <f>'B) D RI'!U81</f>
        <v>28096.496575342466</v>
      </c>
      <c r="K80" s="76">
        <f t="shared" si="13"/>
        <v>22.041381700211275</v>
      </c>
      <c r="L80" s="41">
        <f>'B) D RI'!S81</f>
        <v>73</v>
      </c>
      <c r="M80" s="41">
        <f t="shared" si="8"/>
        <v>50.958618299788725</v>
      </c>
      <c r="N80" s="142">
        <f>'J) Plafonnement effort'!G79+'J) Plafonnement effort'!H79-'K) Plafonnement aide'!I79</f>
        <v>19.027883500646688</v>
      </c>
      <c r="O80" s="142">
        <f t="shared" si="9"/>
        <v>69.986501800435406</v>
      </c>
      <c r="P80" s="55">
        <f t="shared" si="10"/>
        <v>0</v>
      </c>
      <c r="Q80" s="66">
        <f t="shared" si="14"/>
        <v>0</v>
      </c>
      <c r="R80" s="164">
        <f t="shared" si="11"/>
        <v>69.986501800435406</v>
      </c>
      <c r="S80" s="142">
        <f t="shared" si="12"/>
        <v>-3.0134981995645944</v>
      </c>
      <c r="T80" s="163"/>
      <c r="V80" s="17"/>
    </row>
    <row r="81" spans="1:22" x14ac:dyDescent="0.25">
      <c r="A81" s="57">
        <f>'A) Base RI'!A82</f>
        <v>5521</v>
      </c>
      <c r="B81" s="64" t="str">
        <f>'A) Base RI'!B82</f>
        <v>Etagnières</v>
      </c>
      <c r="C81" s="172">
        <v>670618.15804319223</v>
      </c>
      <c r="D81" s="173">
        <v>392002.7402106254</v>
      </c>
      <c r="E81" s="174">
        <v>0</v>
      </c>
      <c r="F81" s="173">
        <v>0</v>
      </c>
      <c r="G81" s="173">
        <v>0</v>
      </c>
      <c r="H81" s="175">
        <f t="shared" si="15"/>
        <v>1062620.8982538176</v>
      </c>
      <c r="I81" s="233">
        <v>40532.749863013705</v>
      </c>
      <c r="J81" s="109">
        <f>'B) D RI'!U82</f>
        <v>40658.047260273968</v>
      </c>
      <c r="K81" s="76">
        <f t="shared" si="13"/>
        <v>26.216353488107732</v>
      </c>
      <c r="L81" s="41">
        <f>'B) D RI'!S82</f>
        <v>73</v>
      </c>
      <c r="M81" s="41">
        <f t="shared" si="8"/>
        <v>46.783646511892272</v>
      </c>
      <c r="N81" s="142">
        <f>'J) Plafonnement effort'!G80+'J) Plafonnement effort'!H80-'K) Plafonnement aide'!I80</f>
        <v>25.746877249110511</v>
      </c>
      <c r="O81" s="142">
        <f t="shared" si="9"/>
        <v>72.530523761002783</v>
      </c>
      <c r="P81" s="55">
        <f t="shared" si="10"/>
        <v>0</v>
      </c>
      <c r="Q81" s="66">
        <f t="shared" si="14"/>
        <v>0</v>
      </c>
      <c r="R81" s="164">
        <f t="shared" si="11"/>
        <v>72.530523761002783</v>
      </c>
      <c r="S81" s="142">
        <f t="shared" si="12"/>
        <v>-0.46947623899721691</v>
      </c>
      <c r="T81" s="163"/>
      <c r="V81" s="17"/>
    </row>
    <row r="82" spans="1:22" x14ac:dyDescent="0.25">
      <c r="A82" s="57">
        <f>'A) Base RI'!A83</f>
        <v>5522</v>
      </c>
      <c r="B82" s="64" t="str">
        <f>'A) Base RI'!B83</f>
        <v>Fey</v>
      </c>
      <c r="C82" s="172">
        <v>319487.47925883444</v>
      </c>
      <c r="D82" s="173">
        <v>57028.857492639392</v>
      </c>
      <c r="E82" s="174">
        <v>0</v>
      </c>
      <c r="F82" s="173">
        <v>0</v>
      </c>
      <c r="G82" s="173">
        <v>0</v>
      </c>
      <c r="H82" s="175">
        <f t="shared" si="15"/>
        <v>376516.33675147383</v>
      </c>
      <c r="I82" s="233">
        <v>18218.5124</v>
      </c>
      <c r="J82" s="109">
        <f>'B) D RI'!U83</f>
        <v>19109.159333333333</v>
      </c>
      <c r="K82" s="76">
        <f t="shared" si="13"/>
        <v>20.666689380823094</v>
      </c>
      <c r="L82" s="41">
        <f>'B) D RI'!S83</f>
        <v>75</v>
      </c>
      <c r="M82" s="41">
        <f t="shared" si="8"/>
        <v>54.333310619176906</v>
      </c>
      <c r="N82" s="142">
        <f>'J) Plafonnement effort'!G81+'J) Plafonnement effort'!H81-'K) Plafonnement aide'!I81</f>
        <v>18.805233882837815</v>
      </c>
      <c r="O82" s="142">
        <f t="shared" si="9"/>
        <v>73.138544502014724</v>
      </c>
      <c r="P82" s="55">
        <f t="shared" si="10"/>
        <v>0</v>
      </c>
      <c r="Q82" s="66">
        <f t="shared" si="14"/>
        <v>0</v>
      </c>
      <c r="R82" s="164">
        <f t="shared" si="11"/>
        <v>73.138544502014724</v>
      </c>
      <c r="S82" s="142">
        <f t="shared" si="12"/>
        <v>-1.8614554979852755</v>
      </c>
      <c r="T82" s="163"/>
      <c r="V82" s="17"/>
    </row>
    <row r="83" spans="1:22" x14ac:dyDescent="0.25">
      <c r="A83" s="57">
        <f>'A) Base RI'!A84</f>
        <v>5523</v>
      </c>
      <c r="B83" s="64" t="str">
        <f>'A) Base RI'!B84</f>
        <v>Froideville</v>
      </c>
      <c r="C83" s="172">
        <v>1470188.3118236791</v>
      </c>
      <c r="D83" s="173">
        <v>189403.6143733724</v>
      </c>
      <c r="E83" s="174">
        <v>0</v>
      </c>
      <c r="F83" s="173">
        <v>0</v>
      </c>
      <c r="G83" s="173">
        <v>0</v>
      </c>
      <c r="H83" s="175">
        <f t="shared" si="15"/>
        <v>1659591.9261970515</v>
      </c>
      <c r="I83" s="233">
        <v>77819.657763157898</v>
      </c>
      <c r="J83" s="109">
        <f>'B) D RI'!U84</f>
        <v>77198.057236842113</v>
      </c>
      <c r="K83" s="76">
        <f t="shared" si="13"/>
        <v>21.326127278122662</v>
      </c>
      <c r="L83" s="41">
        <f>'B) D RI'!S84</f>
        <v>76</v>
      </c>
      <c r="M83" s="41">
        <f t="shared" si="8"/>
        <v>54.673872721877338</v>
      </c>
      <c r="N83" s="142">
        <f>'J) Plafonnement effort'!G82+'J) Plafonnement effort'!H82-'K) Plafonnement aide'!I82</f>
        <v>15.575763786408462</v>
      </c>
      <c r="O83" s="142">
        <f t="shared" si="9"/>
        <v>70.249636508285803</v>
      </c>
      <c r="P83" s="55">
        <f t="shared" si="10"/>
        <v>0</v>
      </c>
      <c r="Q83" s="66">
        <f t="shared" si="14"/>
        <v>0</v>
      </c>
      <c r="R83" s="164">
        <f t="shared" si="11"/>
        <v>70.249636508285803</v>
      </c>
      <c r="S83" s="142">
        <f t="shared" si="12"/>
        <v>-5.7503634917141966</v>
      </c>
      <c r="T83" s="163"/>
      <c r="V83" s="17"/>
    </row>
    <row r="84" spans="1:22" x14ac:dyDescent="0.25">
      <c r="A84" s="57">
        <f>'A) Base RI'!A85</f>
        <v>5527</v>
      </c>
      <c r="B84" s="64" t="str">
        <f>'A) Base RI'!B85</f>
        <v>Morrens</v>
      </c>
      <c r="C84" s="172">
        <v>701979.0611626507</v>
      </c>
      <c r="D84" s="173">
        <v>378877.50032090239</v>
      </c>
      <c r="E84" s="174">
        <v>0</v>
      </c>
      <c r="F84" s="173">
        <v>0</v>
      </c>
      <c r="G84" s="173">
        <v>0</v>
      </c>
      <c r="H84" s="175">
        <f t="shared" si="15"/>
        <v>1080856.5614835531</v>
      </c>
      <c r="I84" s="233">
        <v>36998.677183098589</v>
      </c>
      <c r="J84" s="109">
        <f>'B) D RI'!U85</f>
        <v>37560.717323943667</v>
      </c>
      <c r="K84" s="76">
        <f t="shared" si="13"/>
        <v>29.213383930853087</v>
      </c>
      <c r="L84" s="41">
        <f>'B) D RI'!S85</f>
        <v>71</v>
      </c>
      <c r="M84" s="41">
        <f t="shared" si="8"/>
        <v>41.786616069146916</v>
      </c>
      <c r="N84" s="142">
        <f>'J) Plafonnement effort'!G83+'J) Plafonnement effort'!H83-'K) Plafonnement aide'!I83</f>
        <v>25.030139426007107</v>
      </c>
      <c r="O84" s="142">
        <f t="shared" si="9"/>
        <v>66.816755495154027</v>
      </c>
      <c r="P84" s="55">
        <f t="shared" si="10"/>
        <v>0</v>
      </c>
      <c r="Q84" s="66">
        <f t="shared" si="14"/>
        <v>0</v>
      </c>
      <c r="R84" s="164">
        <f t="shared" si="11"/>
        <v>66.816755495154027</v>
      </c>
      <c r="S84" s="142">
        <f t="shared" si="12"/>
        <v>-4.1832445048459732</v>
      </c>
      <c r="T84" s="163"/>
      <c r="V84" s="17"/>
    </row>
    <row r="85" spans="1:22" x14ac:dyDescent="0.25">
      <c r="A85" s="57">
        <f>'A) Base RI'!A86</f>
        <v>5529</v>
      </c>
      <c r="B85" s="64" t="str">
        <f>'A) Base RI'!B86</f>
        <v>Oulens-sous-Echallens</v>
      </c>
      <c r="C85" s="172">
        <v>344823.25257961336</v>
      </c>
      <c r="D85" s="173">
        <v>127366.03983239894</v>
      </c>
      <c r="E85" s="174">
        <v>0</v>
      </c>
      <c r="F85" s="173">
        <v>0</v>
      </c>
      <c r="G85" s="173">
        <v>0</v>
      </c>
      <c r="H85" s="175">
        <f t="shared" si="15"/>
        <v>472189.29241201229</v>
      </c>
      <c r="I85" s="233">
        <v>16830.940140845072</v>
      </c>
      <c r="J85" s="109">
        <f>'B) D RI'!U86</f>
        <v>19874.862394366199</v>
      </c>
      <c r="K85" s="76">
        <f t="shared" si="13"/>
        <v>28.054837606255305</v>
      </c>
      <c r="L85" s="41">
        <f>'B) D RI'!S86</f>
        <v>71</v>
      </c>
      <c r="M85" s="41">
        <f t="shared" si="8"/>
        <v>42.945162393744695</v>
      </c>
      <c r="N85" s="142">
        <f>'J) Plafonnement effort'!G84+'J) Plafonnement effort'!H84-'K) Plafonnement aide'!I84</f>
        <v>19.019304994890181</v>
      </c>
      <c r="O85" s="142">
        <f t="shared" si="9"/>
        <v>61.964467388634873</v>
      </c>
      <c r="P85" s="55">
        <f t="shared" si="10"/>
        <v>0</v>
      </c>
      <c r="Q85" s="66">
        <f t="shared" si="14"/>
        <v>0</v>
      </c>
      <c r="R85" s="164">
        <f t="shared" si="11"/>
        <v>61.964467388634873</v>
      </c>
      <c r="S85" s="142">
        <f t="shared" si="12"/>
        <v>-9.0355326113651273</v>
      </c>
      <c r="T85" s="163"/>
      <c r="V85" s="17"/>
    </row>
    <row r="86" spans="1:22" x14ac:dyDescent="0.25">
      <c r="A86" s="57">
        <f>'A) Base RI'!A87</f>
        <v>5530</v>
      </c>
      <c r="B86" s="64" t="str">
        <f>'A) Base RI'!B87</f>
        <v>Pailly</v>
      </c>
      <c r="C86" s="172">
        <v>273203.25655275583</v>
      </c>
      <c r="D86" s="173">
        <v>64985.290506643272</v>
      </c>
      <c r="E86" s="174">
        <v>0</v>
      </c>
      <c r="F86" s="173">
        <v>0</v>
      </c>
      <c r="G86" s="173">
        <v>0</v>
      </c>
      <c r="H86" s="175">
        <f t="shared" si="15"/>
        <v>338188.54705939908</v>
      </c>
      <c r="I86" s="233">
        <v>15988.116172043008</v>
      </c>
      <c r="J86" s="109">
        <f>'B) D RI'!U87</f>
        <v>15272.027655913982</v>
      </c>
      <c r="K86" s="76">
        <f t="shared" si="13"/>
        <v>21.152494979412221</v>
      </c>
      <c r="L86" s="41">
        <f>'B) D RI'!S87</f>
        <v>77.5</v>
      </c>
      <c r="M86" s="41">
        <f t="shared" si="8"/>
        <v>56.347505020587775</v>
      </c>
      <c r="N86" s="142">
        <f>'J) Plafonnement effort'!G85+'J) Plafonnement effort'!H85-'K) Plafonnement aide'!I85</f>
        <v>-13.741975719555583</v>
      </c>
      <c r="O86" s="142">
        <f t="shared" si="9"/>
        <v>42.605529301032192</v>
      </c>
      <c r="P86" s="55">
        <f t="shared" si="10"/>
        <v>0</v>
      </c>
      <c r="Q86" s="66">
        <f t="shared" si="14"/>
        <v>0</v>
      </c>
      <c r="R86" s="164">
        <f t="shared" si="11"/>
        <v>42.605529301032192</v>
      </c>
      <c r="S86" s="142">
        <f t="shared" si="12"/>
        <v>-34.894470698967808</v>
      </c>
      <c r="T86" s="163"/>
      <c r="V86" s="17"/>
    </row>
    <row r="87" spans="1:22" x14ac:dyDescent="0.25">
      <c r="A87" s="57">
        <f>'A) Base RI'!A88</f>
        <v>5531</v>
      </c>
      <c r="B87" s="64" t="str">
        <f>'A) Base RI'!B88</f>
        <v>Penthéréaz</v>
      </c>
      <c r="C87" s="172">
        <v>215063.20592239304</v>
      </c>
      <c r="D87" s="173">
        <v>44024.892275665043</v>
      </c>
      <c r="E87" s="174">
        <v>0</v>
      </c>
      <c r="F87" s="173">
        <v>0</v>
      </c>
      <c r="G87" s="173">
        <v>0</v>
      </c>
      <c r="H87" s="175">
        <f t="shared" si="15"/>
        <v>259088.09819805808</v>
      </c>
      <c r="I87" s="233">
        <v>11628.696923076923</v>
      </c>
      <c r="J87" s="109">
        <f>'B) D RI'!U88</f>
        <v>12101.700128205126</v>
      </c>
      <c r="K87" s="76">
        <f t="shared" si="13"/>
        <v>22.280062840394677</v>
      </c>
      <c r="L87" s="41">
        <f>'B) D RI'!S88</f>
        <v>78</v>
      </c>
      <c r="M87" s="41">
        <f t="shared" si="8"/>
        <v>55.719937159605323</v>
      </c>
      <c r="N87" s="142">
        <f>'J) Plafonnement effort'!G86+'J) Plafonnement effort'!H86-'K) Plafonnement aide'!I86</f>
        <v>17.083322860482344</v>
      </c>
      <c r="O87" s="142">
        <f t="shared" si="9"/>
        <v>72.803260020087663</v>
      </c>
      <c r="P87" s="55">
        <f t="shared" si="10"/>
        <v>0</v>
      </c>
      <c r="Q87" s="66">
        <f t="shared" si="14"/>
        <v>0</v>
      </c>
      <c r="R87" s="164">
        <f t="shared" si="11"/>
        <v>72.803260020087663</v>
      </c>
      <c r="S87" s="142">
        <f t="shared" si="12"/>
        <v>-5.196739979912337</v>
      </c>
      <c r="T87" s="163"/>
      <c r="V87" s="17"/>
    </row>
    <row r="88" spans="1:22" x14ac:dyDescent="0.25">
      <c r="A88" s="57">
        <f>'A) Base RI'!A89</f>
        <v>5533</v>
      </c>
      <c r="B88" s="64" t="str">
        <f>'A) Base RI'!B89</f>
        <v>Poliez-Pittet</v>
      </c>
      <c r="C88" s="172">
        <v>371134.34367766348</v>
      </c>
      <c r="D88" s="173">
        <v>21372.396929557784</v>
      </c>
      <c r="E88" s="174">
        <v>0</v>
      </c>
      <c r="F88" s="173">
        <v>0</v>
      </c>
      <c r="G88" s="173">
        <v>0</v>
      </c>
      <c r="H88" s="175">
        <f t="shared" si="15"/>
        <v>392506.74060722126</v>
      </c>
      <c r="I88" s="233">
        <v>21286.915727699528</v>
      </c>
      <c r="J88" s="109">
        <f>'B) D RI'!U89</f>
        <v>27045.170985915491</v>
      </c>
      <c r="K88" s="76">
        <f t="shared" si="13"/>
        <v>18.438873232183333</v>
      </c>
      <c r="L88" s="41">
        <f>'B) D RI'!S89</f>
        <v>71</v>
      </c>
      <c r="M88" s="41">
        <f t="shared" si="8"/>
        <v>52.561126767816667</v>
      </c>
      <c r="N88" s="142">
        <f>'J) Plafonnement effort'!G87+'J) Plafonnement effort'!H87-'K) Plafonnement aide'!I87</f>
        <v>20.129054509386691</v>
      </c>
      <c r="O88" s="142">
        <f t="shared" si="9"/>
        <v>72.690181277203351</v>
      </c>
      <c r="P88" s="55">
        <f t="shared" si="10"/>
        <v>0</v>
      </c>
      <c r="Q88" s="66">
        <f t="shared" si="14"/>
        <v>0</v>
      </c>
      <c r="R88" s="164">
        <f t="shared" si="11"/>
        <v>72.690181277203351</v>
      </c>
      <c r="S88" s="142">
        <f t="shared" si="12"/>
        <v>1.6901812772033509</v>
      </c>
      <c r="T88" s="163"/>
      <c r="V88" s="17"/>
    </row>
    <row r="89" spans="1:22" x14ac:dyDescent="0.25">
      <c r="A89" s="57">
        <f>'A) Base RI'!A90</f>
        <v>5534</v>
      </c>
      <c r="B89" s="64" t="str">
        <f>'A) Base RI'!B90</f>
        <v>Rueyres</v>
      </c>
      <c r="C89" s="172">
        <v>178014.44252937799</v>
      </c>
      <c r="D89" s="173">
        <v>49294.162404782008</v>
      </c>
      <c r="E89" s="174">
        <v>0</v>
      </c>
      <c r="F89" s="173">
        <v>0</v>
      </c>
      <c r="G89" s="173">
        <v>0</v>
      </c>
      <c r="H89" s="175">
        <f t="shared" si="15"/>
        <v>227308.60493416002</v>
      </c>
      <c r="I89" s="233">
        <v>8123.1504109589041</v>
      </c>
      <c r="J89" s="109">
        <f>'B) D RI'!U90</f>
        <v>10934.157945205479</v>
      </c>
      <c r="K89" s="76">
        <f t="shared" si="13"/>
        <v>27.982813740282225</v>
      </c>
      <c r="L89" s="41">
        <f>'B) D RI'!S90</f>
        <v>73</v>
      </c>
      <c r="M89" s="41">
        <f t="shared" si="8"/>
        <v>45.017186259717775</v>
      </c>
      <c r="N89" s="142">
        <f>'J) Plafonnement effort'!G88+'J) Plafonnement effort'!H88-'K) Plafonnement aide'!I88</f>
        <v>39.4743800705292</v>
      </c>
      <c r="O89" s="142">
        <f t="shared" si="9"/>
        <v>84.491566330246968</v>
      </c>
      <c r="P89" s="55">
        <f t="shared" si="10"/>
        <v>0</v>
      </c>
      <c r="Q89" s="66">
        <f t="shared" si="14"/>
        <v>0</v>
      </c>
      <c r="R89" s="164">
        <f t="shared" si="11"/>
        <v>84.491566330246968</v>
      </c>
      <c r="S89" s="142">
        <f t="shared" si="12"/>
        <v>11.491566330246968</v>
      </c>
      <c r="T89" s="163"/>
      <c r="V89" s="17"/>
    </row>
    <row r="90" spans="1:22" x14ac:dyDescent="0.25">
      <c r="A90" s="57">
        <f>'A) Base RI'!A91</f>
        <v>5535</v>
      </c>
      <c r="B90" s="64" t="str">
        <f>'A) Base RI'!B91</f>
        <v>Saint-Barthélemy</v>
      </c>
      <c r="C90" s="172">
        <v>350742.17155062919</v>
      </c>
      <c r="D90" s="173">
        <v>38152.490531291114</v>
      </c>
      <c r="E90" s="174">
        <v>0</v>
      </c>
      <c r="F90" s="173">
        <v>0</v>
      </c>
      <c r="G90" s="173">
        <v>0</v>
      </c>
      <c r="H90" s="175">
        <f t="shared" si="15"/>
        <v>388894.66208192031</v>
      </c>
      <c r="I90" s="233">
        <v>21652.779733333333</v>
      </c>
      <c r="J90" s="109">
        <f>'B) D RI'!U91</f>
        <v>20697.547200000001</v>
      </c>
      <c r="K90" s="76">
        <f t="shared" si="13"/>
        <v>17.960495921142037</v>
      </c>
      <c r="L90" s="41">
        <f>'B) D RI'!S91</f>
        <v>75</v>
      </c>
      <c r="M90" s="41">
        <f t="shared" si="8"/>
        <v>57.039504078857959</v>
      </c>
      <c r="N90" s="142">
        <f>'J) Plafonnement effort'!G89+'J) Plafonnement effort'!H89-'K) Plafonnement aide'!I89</f>
        <v>15.518502215441051</v>
      </c>
      <c r="O90" s="142">
        <f t="shared" si="9"/>
        <v>72.558006294299005</v>
      </c>
      <c r="P90" s="55">
        <f t="shared" si="10"/>
        <v>0</v>
      </c>
      <c r="Q90" s="66">
        <f t="shared" si="14"/>
        <v>0</v>
      </c>
      <c r="R90" s="164">
        <f t="shared" si="11"/>
        <v>72.558006294299005</v>
      </c>
      <c r="S90" s="142">
        <f t="shared" si="12"/>
        <v>-2.4419937057009946</v>
      </c>
      <c r="T90" s="163"/>
      <c r="V90" s="17"/>
    </row>
    <row r="91" spans="1:22" x14ac:dyDescent="0.25">
      <c r="A91" s="57">
        <f>'A) Base RI'!A92</f>
        <v>5537</v>
      </c>
      <c r="B91" s="64" t="str">
        <f>'A) Base RI'!B92</f>
        <v>Villars-le-Terroir</v>
      </c>
      <c r="C91" s="172">
        <v>494195.15593382856</v>
      </c>
      <c r="D91" s="173">
        <v>45429.338161705935</v>
      </c>
      <c r="E91" s="174">
        <v>0</v>
      </c>
      <c r="F91" s="173">
        <v>0</v>
      </c>
      <c r="G91" s="173">
        <v>0</v>
      </c>
      <c r="H91" s="175">
        <f t="shared" si="15"/>
        <v>539624.49409553455</v>
      </c>
      <c r="I91" s="233">
        <v>28181.728767123288</v>
      </c>
      <c r="J91" s="109">
        <f>'B) D RI'!U92</f>
        <v>30041.138287671231</v>
      </c>
      <c r="K91" s="76">
        <f t="shared" si="13"/>
        <v>19.148026671985384</v>
      </c>
      <c r="L91" s="41">
        <f>'B) D RI'!S92</f>
        <v>73</v>
      </c>
      <c r="M91" s="41">
        <f t="shared" si="8"/>
        <v>53.851973328014616</v>
      </c>
      <c r="N91" s="142">
        <f>'J) Plafonnement effort'!G90+'J) Plafonnement effort'!H90-'K) Plafonnement aide'!I90</f>
        <v>15.030333976241561</v>
      </c>
      <c r="O91" s="142">
        <f t="shared" si="9"/>
        <v>68.882307304256173</v>
      </c>
      <c r="P91" s="55">
        <f t="shared" si="10"/>
        <v>0</v>
      </c>
      <c r="Q91" s="66">
        <f t="shared" si="14"/>
        <v>0</v>
      </c>
      <c r="R91" s="164">
        <f t="shared" si="11"/>
        <v>68.882307304256173</v>
      </c>
      <c r="S91" s="142">
        <f t="shared" si="12"/>
        <v>-4.1176926957438269</v>
      </c>
      <c r="T91" s="163"/>
      <c r="V91" s="17"/>
    </row>
    <row r="92" spans="1:22" x14ac:dyDescent="0.25">
      <c r="A92" s="57">
        <f>'A) Base RI'!A93</f>
        <v>5539</v>
      </c>
      <c r="B92" s="64" t="str">
        <f>'A) Base RI'!B93</f>
        <v>Vuarrens</v>
      </c>
      <c r="C92" s="172">
        <v>409700.91043227405</v>
      </c>
      <c r="D92" s="173">
        <v>-82697.575329958403</v>
      </c>
      <c r="E92" s="174">
        <v>0</v>
      </c>
      <c r="F92" s="173">
        <v>0</v>
      </c>
      <c r="G92" s="173">
        <v>0</v>
      </c>
      <c r="H92" s="175">
        <f t="shared" si="15"/>
        <v>327003.33510231564</v>
      </c>
      <c r="I92" s="233">
        <v>22756.172933333331</v>
      </c>
      <c r="J92" s="109">
        <f>'B) D RI'!U93</f>
        <v>22727.031566666661</v>
      </c>
      <c r="K92" s="76">
        <f t="shared" si="13"/>
        <v>14.369873882585937</v>
      </c>
      <c r="L92" s="41">
        <f>'B) D RI'!S93</f>
        <v>75</v>
      </c>
      <c r="M92" s="41">
        <f t="shared" si="8"/>
        <v>60.630126117414065</v>
      </c>
      <c r="N92" s="142">
        <f>'J) Plafonnement effort'!G91+'J) Plafonnement effort'!H91-'K) Plafonnement aide'!I91</f>
        <v>4.1409193093090426</v>
      </c>
      <c r="O92" s="142">
        <f t="shared" si="9"/>
        <v>64.771045426723106</v>
      </c>
      <c r="P92" s="55">
        <f t="shared" si="10"/>
        <v>0</v>
      </c>
      <c r="Q92" s="66">
        <f t="shared" si="14"/>
        <v>0</v>
      </c>
      <c r="R92" s="164">
        <f t="shared" si="11"/>
        <v>64.771045426723106</v>
      </c>
      <c r="S92" s="142">
        <f t="shared" si="12"/>
        <v>-10.228954573276894</v>
      </c>
      <c r="T92" s="163"/>
      <c r="V92" s="17"/>
    </row>
    <row r="93" spans="1:22" x14ac:dyDescent="0.25">
      <c r="A93" s="57">
        <f>'A) Base RI'!A94</f>
        <v>5540</v>
      </c>
      <c r="B93" s="64" t="str">
        <f>'A) Base RI'!B94</f>
        <v>Montilliez</v>
      </c>
      <c r="C93" s="172">
        <v>836855.57412502647</v>
      </c>
      <c r="D93" s="173">
        <v>-11120.766791427508</v>
      </c>
      <c r="E93" s="174">
        <v>0</v>
      </c>
      <c r="F93" s="173">
        <v>0</v>
      </c>
      <c r="G93" s="173">
        <v>0</v>
      </c>
      <c r="H93" s="175">
        <f t="shared" si="15"/>
        <v>825734.80733359896</v>
      </c>
      <c r="I93" s="233">
        <v>47199.265101351346</v>
      </c>
      <c r="J93" s="109">
        <f>'B) D RI'!U94</f>
        <v>54875.674391891895</v>
      </c>
      <c r="K93" s="76">
        <f>H93/I93</f>
        <v>17.494653901082827</v>
      </c>
      <c r="L93" s="41">
        <f>'B) D RI'!S94</f>
        <v>74</v>
      </c>
      <c r="M93" s="41">
        <f>L93-K93</f>
        <v>56.505346098917173</v>
      </c>
      <c r="N93" s="142">
        <f>'J) Plafonnement effort'!G92+'J) Plafonnement effort'!H92-'K) Plafonnement aide'!I92</f>
        <v>15.499688653969192</v>
      </c>
      <c r="O93" s="142">
        <f>M93+N93</f>
        <v>72.00503475288636</v>
      </c>
      <c r="P93" s="55">
        <f t="shared" si="10"/>
        <v>0</v>
      </c>
      <c r="Q93" s="66">
        <f>P93*J93</f>
        <v>0</v>
      </c>
      <c r="R93" s="164">
        <f>O93+P93</f>
        <v>72.00503475288636</v>
      </c>
      <c r="S93" s="142">
        <f>R93-L93</f>
        <v>-1.9949652471136403</v>
      </c>
      <c r="T93" s="163"/>
      <c r="V93" s="17"/>
    </row>
    <row r="94" spans="1:22" x14ac:dyDescent="0.25">
      <c r="A94" s="57">
        <f>'A) Base RI'!A95</f>
        <v>5541</v>
      </c>
      <c r="B94" s="64" t="str">
        <f>'A) Base RI'!B95</f>
        <v>Goumoëns</v>
      </c>
      <c r="C94" s="172">
        <v>617330.70066540258</v>
      </c>
      <c r="D94" s="173">
        <v>286616.81129658117</v>
      </c>
      <c r="E94" s="174">
        <v>0</v>
      </c>
      <c r="F94" s="173">
        <v>0</v>
      </c>
      <c r="G94" s="173">
        <v>0</v>
      </c>
      <c r="H94" s="175">
        <f t="shared" si="15"/>
        <v>903947.51196198375</v>
      </c>
      <c r="I94" s="233">
        <v>35607.690389610398</v>
      </c>
      <c r="J94" s="109">
        <f>'B) D RI'!U95</f>
        <v>32498.070519480509</v>
      </c>
      <c r="K94" s="76">
        <f>H94/I94</f>
        <v>25.386300039997465</v>
      </c>
      <c r="L94" s="41">
        <f>'B) D RI'!S95</f>
        <v>77</v>
      </c>
      <c r="M94" s="41">
        <f>L94-K94</f>
        <v>51.613699960002535</v>
      </c>
      <c r="N94" s="142">
        <f>'J) Plafonnement effort'!G93+'J) Plafonnement effort'!H93-'K) Plafonnement aide'!I93</f>
        <v>21.047161441639535</v>
      </c>
      <c r="O94" s="142">
        <f>M94+N94</f>
        <v>72.660861401642066</v>
      </c>
      <c r="P94" s="55">
        <f t="shared" si="10"/>
        <v>0</v>
      </c>
      <c r="Q94" s="66">
        <f>P94*J94</f>
        <v>0</v>
      </c>
      <c r="R94" s="164">
        <f>O94+P94</f>
        <v>72.660861401642066</v>
      </c>
      <c r="S94" s="142">
        <f>R94-L94</f>
        <v>-4.339138598357934</v>
      </c>
      <c r="T94" s="163"/>
      <c r="V94" s="17"/>
    </row>
    <row r="95" spans="1:22" x14ac:dyDescent="0.25">
      <c r="A95" s="57">
        <f>'A) Base RI'!A96</f>
        <v>5551</v>
      </c>
      <c r="B95" s="64" t="str">
        <f>'A) Base RI'!B96</f>
        <v>Bonvillars</v>
      </c>
      <c r="C95" s="172">
        <v>269114.11808020656</v>
      </c>
      <c r="D95" s="173">
        <v>171052.68166505866</v>
      </c>
      <c r="E95" s="174">
        <v>0</v>
      </c>
      <c r="F95" s="173">
        <v>0</v>
      </c>
      <c r="G95" s="173">
        <v>0</v>
      </c>
      <c r="H95" s="175">
        <f t="shared" si="15"/>
        <v>440166.79974526522</v>
      </c>
      <c r="I95" s="233">
        <v>15988.430935064936</v>
      </c>
      <c r="J95" s="109">
        <f>'B) D RI'!U96</f>
        <v>19291.965896103895</v>
      </c>
      <c r="K95" s="76">
        <f t="shared" si="13"/>
        <v>27.530331245945835</v>
      </c>
      <c r="L95" s="41">
        <f>'B) D RI'!S96</f>
        <v>55</v>
      </c>
      <c r="M95" s="41">
        <f>L95-K95</f>
        <v>27.469668754054165</v>
      </c>
      <c r="N95" s="142">
        <f>'J) Plafonnement effort'!G94+'J) Plafonnement effort'!H94-'K) Plafonnement aide'!I94</f>
        <v>26.165406097145453</v>
      </c>
      <c r="O95" s="142">
        <f>M95+N95</f>
        <v>53.635074851199619</v>
      </c>
      <c r="P95" s="55">
        <f t="shared" si="10"/>
        <v>0</v>
      </c>
      <c r="Q95" s="66">
        <f>P95*J95</f>
        <v>0</v>
      </c>
      <c r="R95" s="164">
        <f>O95+P95</f>
        <v>53.635074851199619</v>
      </c>
      <c r="S95" s="142">
        <f>R95-L95</f>
        <v>-1.3649251488003813</v>
      </c>
      <c r="T95" s="163"/>
      <c r="V95" s="17"/>
    </row>
    <row r="96" spans="1:22" x14ac:dyDescent="0.25">
      <c r="A96" s="57">
        <f>'A) Base RI'!A97</f>
        <v>5552</v>
      </c>
      <c r="B96" s="64" t="str">
        <f>'A) Base RI'!B97</f>
        <v>Bullet</v>
      </c>
      <c r="C96" s="172">
        <v>355838.66306798166</v>
      </c>
      <c r="D96" s="173">
        <v>10483.156097538595</v>
      </c>
      <c r="E96" s="174">
        <v>0</v>
      </c>
      <c r="F96" s="173">
        <v>0</v>
      </c>
      <c r="G96" s="173">
        <v>0</v>
      </c>
      <c r="H96" s="175">
        <f t="shared" si="15"/>
        <v>366321.81916552025</v>
      </c>
      <c r="I96" s="233">
        <v>15525.607571428574</v>
      </c>
      <c r="J96" s="109">
        <f>'B) D RI'!U97</f>
        <v>15735.537571428569</v>
      </c>
      <c r="K96" s="76">
        <f t="shared" si="13"/>
        <v>23.594684941003791</v>
      </c>
      <c r="L96" s="41">
        <f>'B) D RI'!S97</f>
        <v>70</v>
      </c>
      <c r="M96" s="41">
        <f t="shared" si="8"/>
        <v>46.405315058996209</v>
      </c>
      <c r="N96" s="142">
        <f>'J) Plafonnement effort'!G95+'J) Plafonnement effort'!H95-'K) Plafonnement aide'!I95</f>
        <v>14.315262488174001</v>
      </c>
      <c r="O96" s="142">
        <f t="shared" si="9"/>
        <v>60.720577547170208</v>
      </c>
      <c r="P96" s="55">
        <f t="shared" si="10"/>
        <v>0</v>
      </c>
      <c r="Q96" s="66">
        <f t="shared" si="14"/>
        <v>0</v>
      </c>
      <c r="R96" s="164">
        <f t="shared" si="11"/>
        <v>60.720577547170208</v>
      </c>
      <c r="S96" s="142">
        <f t="shared" si="12"/>
        <v>-9.2794224528297917</v>
      </c>
      <c r="T96" s="163"/>
      <c r="V96" s="17"/>
    </row>
    <row r="97" spans="1:22" x14ac:dyDescent="0.25">
      <c r="A97" s="57">
        <f>'A) Base RI'!A98</f>
        <v>5553</v>
      </c>
      <c r="B97" s="64" t="str">
        <f>'A) Base RI'!B98</f>
        <v>Champagne</v>
      </c>
      <c r="C97" s="172">
        <v>825377.38159602089</v>
      </c>
      <c r="D97" s="173">
        <v>647783.52236795181</v>
      </c>
      <c r="E97" s="174">
        <v>0</v>
      </c>
      <c r="F97" s="173">
        <v>0</v>
      </c>
      <c r="G97" s="173">
        <v>0</v>
      </c>
      <c r="H97" s="175">
        <f t="shared" si="15"/>
        <v>1473160.9039639728</v>
      </c>
      <c r="I97" s="233">
        <v>43429.608412698406</v>
      </c>
      <c r="J97" s="109">
        <f>'B) D RI'!U98</f>
        <v>33369.783650793652</v>
      </c>
      <c r="K97" s="76">
        <f t="shared" si="13"/>
        <v>33.920658228482544</v>
      </c>
      <c r="L97" s="41">
        <f>'B) D RI'!S98</f>
        <v>63</v>
      </c>
      <c r="M97" s="41">
        <f t="shared" si="8"/>
        <v>29.079341771517456</v>
      </c>
      <c r="N97" s="142">
        <f>'J) Plafonnement effort'!G96+'J) Plafonnement effort'!H96-'K) Plafonnement aide'!I96</f>
        <v>17.585798181493942</v>
      </c>
      <c r="O97" s="142">
        <f t="shared" si="9"/>
        <v>46.665139953011398</v>
      </c>
      <c r="P97" s="55">
        <f t="shared" si="10"/>
        <v>0</v>
      </c>
      <c r="Q97" s="66">
        <f t="shared" si="14"/>
        <v>0</v>
      </c>
      <c r="R97" s="164">
        <f t="shared" si="11"/>
        <v>46.665139953011398</v>
      </c>
      <c r="S97" s="142">
        <f t="shared" si="12"/>
        <v>-16.334860046988602</v>
      </c>
      <c r="T97" s="163"/>
      <c r="V97" s="17"/>
    </row>
    <row r="98" spans="1:22" x14ac:dyDescent="0.25">
      <c r="A98" s="57">
        <f>'A) Base RI'!A99</f>
        <v>5554</v>
      </c>
      <c r="B98" s="64" t="str">
        <f>'A) Base RI'!B99</f>
        <v>Concise</v>
      </c>
      <c r="C98" s="172">
        <v>602296.50098141073</v>
      </c>
      <c r="D98" s="173">
        <v>180707.10515427287</v>
      </c>
      <c r="E98" s="174">
        <v>0</v>
      </c>
      <c r="F98" s="173">
        <v>0</v>
      </c>
      <c r="G98" s="173">
        <v>0</v>
      </c>
      <c r="H98" s="175">
        <f t="shared" si="15"/>
        <v>783003.6061356836</v>
      </c>
      <c r="I98" s="233">
        <v>29691.100933333331</v>
      </c>
      <c r="J98" s="109">
        <f>'B) D RI'!U99</f>
        <v>28986.7088</v>
      </c>
      <c r="K98" s="76">
        <f t="shared" si="13"/>
        <v>26.371659572132213</v>
      </c>
      <c r="L98" s="41">
        <f>'B) D RI'!S99</f>
        <v>75</v>
      </c>
      <c r="M98" s="41">
        <f t="shared" si="8"/>
        <v>48.628340427867784</v>
      </c>
      <c r="N98" s="142">
        <f>'J) Plafonnement effort'!G97+'J) Plafonnement effort'!H97-'K) Plafonnement aide'!I97</f>
        <v>12.825490567277312</v>
      </c>
      <c r="O98" s="142">
        <f t="shared" si="9"/>
        <v>61.453830995145097</v>
      </c>
      <c r="P98" s="55">
        <f t="shared" si="10"/>
        <v>0</v>
      </c>
      <c r="Q98" s="66">
        <f t="shared" si="14"/>
        <v>0</v>
      </c>
      <c r="R98" s="164">
        <f t="shared" si="11"/>
        <v>61.453830995145097</v>
      </c>
      <c r="S98" s="142">
        <f t="shared" si="12"/>
        <v>-13.546169004854903</v>
      </c>
      <c r="T98" s="163"/>
      <c r="V98" s="17"/>
    </row>
    <row r="99" spans="1:22" x14ac:dyDescent="0.25">
      <c r="A99" s="57">
        <f>'A) Base RI'!A100</f>
        <v>5555</v>
      </c>
      <c r="B99" s="64" t="str">
        <f>'A) Base RI'!B100</f>
        <v>Corcelles-près-Concise</v>
      </c>
      <c r="C99" s="172">
        <v>188145.39185883498</v>
      </c>
      <c r="D99" s="173">
        <v>45949.07204280002</v>
      </c>
      <c r="E99" s="174">
        <v>0</v>
      </c>
      <c r="F99" s="173">
        <v>0</v>
      </c>
      <c r="G99" s="173">
        <v>0</v>
      </c>
      <c r="H99" s="175">
        <f t="shared" si="15"/>
        <v>234094.463901635</v>
      </c>
      <c r="I99" s="233">
        <v>9762.6867605633779</v>
      </c>
      <c r="J99" s="109">
        <f>'B) D RI'!U100</f>
        <v>11040.372394366199</v>
      </c>
      <c r="K99" s="76">
        <f t="shared" si="13"/>
        <v>23.978487648222572</v>
      </c>
      <c r="L99" s="41">
        <f>'B) D RI'!S100</f>
        <v>71</v>
      </c>
      <c r="M99" s="41">
        <f t="shared" si="8"/>
        <v>47.021512351777432</v>
      </c>
      <c r="N99" s="142">
        <f>'J) Plafonnement effort'!G98+'J) Plafonnement effort'!H98-'K) Plafonnement aide'!I98</f>
        <v>14.991450831731717</v>
      </c>
      <c r="O99" s="142">
        <f t="shared" si="9"/>
        <v>62.01296318350915</v>
      </c>
      <c r="P99" s="55">
        <f t="shared" si="10"/>
        <v>0</v>
      </c>
      <c r="Q99" s="66">
        <f t="shared" si="14"/>
        <v>0</v>
      </c>
      <c r="R99" s="164">
        <f t="shared" si="11"/>
        <v>62.01296318350915</v>
      </c>
      <c r="S99" s="142">
        <f t="shared" si="12"/>
        <v>-8.9870368164908498</v>
      </c>
      <c r="T99" s="163"/>
      <c r="V99" s="17"/>
    </row>
    <row r="100" spans="1:22" x14ac:dyDescent="0.25">
      <c r="A100" s="57">
        <f>'A) Base RI'!A101</f>
        <v>5556</v>
      </c>
      <c r="B100" s="64" t="str">
        <f>'A) Base RI'!B101</f>
        <v>Fiez</v>
      </c>
      <c r="C100" s="172">
        <v>191565.36988083168</v>
      </c>
      <c r="D100" s="173">
        <v>12106.2320421451</v>
      </c>
      <c r="E100" s="174">
        <v>0</v>
      </c>
      <c r="F100" s="173">
        <v>0</v>
      </c>
      <c r="G100" s="173">
        <v>0</v>
      </c>
      <c r="H100" s="175">
        <f t="shared" si="15"/>
        <v>203671.60192297678</v>
      </c>
      <c r="I100" s="233">
        <v>10799.932053140095</v>
      </c>
      <c r="J100" s="109">
        <f>'B) D RI'!U101</f>
        <v>12472.754202898552</v>
      </c>
      <c r="K100" s="76">
        <f t="shared" si="13"/>
        <v>18.858600306078682</v>
      </c>
      <c r="L100" s="41">
        <f>'B) D RI'!S101</f>
        <v>69</v>
      </c>
      <c r="M100" s="41">
        <f t="shared" si="8"/>
        <v>50.141399693921315</v>
      </c>
      <c r="N100" s="142">
        <f>'J) Plafonnement effort'!G99+'J) Plafonnement effort'!H99-'K) Plafonnement aide'!I99</f>
        <v>12.503514941577969</v>
      </c>
      <c r="O100" s="142">
        <f t="shared" si="9"/>
        <v>62.644914635499283</v>
      </c>
      <c r="P100" s="55">
        <f t="shared" si="10"/>
        <v>0</v>
      </c>
      <c r="Q100" s="66">
        <f t="shared" si="14"/>
        <v>0</v>
      </c>
      <c r="R100" s="164">
        <f t="shared" si="11"/>
        <v>62.644914635499283</v>
      </c>
      <c r="S100" s="142">
        <f t="shared" si="12"/>
        <v>-6.3550853645007166</v>
      </c>
      <c r="T100" s="163"/>
      <c r="V100" s="17"/>
    </row>
    <row r="101" spans="1:22" x14ac:dyDescent="0.25">
      <c r="A101" s="57">
        <f>'A) Base RI'!A102</f>
        <v>5557</v>
      </c>
      <c r="B101" s="64" t="str">
        <f>'A) Base RI'!B102</f>
        <v>Fontaines-sur-Grandson</v>
      </c>
      <c r="C101" s="172">
        <v>73904.784013997269</v>
      </c>
      <c r="D101" s="173">
        <v>-20737.018655203297</v>
      </c>
      <c r="E101" s="174">
        <v>0</v>
      </c>
      <c r="F101" s="173">
        <v>0</v>
      </c>
      <c r="G101" s="173">
        <v>0</v>
      </c>
      <c r="H101" s="175">
        <f t="shared" si="15"/>
        <v>53167.765358793971</v>
      </c>
      <c r="I101" s="233">
        <v>4200.6523188405799</v>
      </c>
      <c r="J101" s="109">
        <f>'B) D RI'!U102</f>
        <v>4030.2872463768117</v>
      </c>
      <c r="K101" s="76">
        <f t="shared" si="13"/>
        <v>12.657025938644876</v>
      </c>
      <c r="L101" s="41">
        <f>'B) D RI'!S102</f>
        <v>69</v>
      </c>
      <c r="M101" s="41">
        <f t="shared" si="8"/>
        <v>56.342974061355122</v>
      </c>
      <c r="N101" s="142">
        <f>'J) Plafonnement effort'!G100+'J) Plafonnement effort'!H100-'K) Plafonnement aide'!I100</f>
        <v>7.7055376674112042</v>
      </c>
      <c r="O101" s="142">
        <f t="shared" si="9"/>
        <v>64.048511728766329</v>
      </c>
      <c r="P101" s="55">
        <f t="shared" si="10"/>
        <v>0</v>
      </c>
      <c r="Q101" s="66">
        <f t="shared" si="14"/>
        <v>0</v>
      </c>
      <c r="R101" s="164">
        <f t="shared" si="11"/>
        <v>64.048511728766329</v>
      </c>
      <c r="S101" s="142">
        <f t="shared" si="12"/>
        <v>-4.9514882712336714</v>
      </c>
      <c r="T101" s="163"/>
      <c r="V101" s="17"/>
    </row>
    <row r="102" spans="1:22" x14ac:dyDescent="0.25">
      <c r="A102" s="57">
        <f>'A) Base RI'!A103</f>
        <v>5559</v>
      </c>
      <c r="B102" s="64" t="str">
        <f>'A) Base RI'!B103</f>
        <v>Giez</v>
      </c>
      <c r="C102" s="172">
        <v>288833.69046522985</v>
      </c>
      <c r="D102" s="173">
        <v>296045.51962734794</v>
      </c>
      <c r="E102" s="174">
        <v>0</v>
      </c>
      <c r="F102" s="173">
        <v>0</v>
      </c>
      <c r="G102" s="173">
        <v>0</v>
      </c>
      <c r="H102" s="175">
        <f t="shared" si="15"/>
        <v>584879.21009257785</v>
      </c>
      <c r="I102" s="233">
        <v>17998.483636363639</v>
      </c>
      <c r="J102" s="109">
        <f>'B) D RI'!U103</f>
        <v>18149.138484848489</v>
      </c>
      <c r="K102" s="76">
        <f t="shared" si="13"/>
        <v>32.496026993679848</v>
      </c>
      <c r="L102" s="41">
        <f>'B) D RI'!S103</f>
        <v>66</v>
      </c>
      <c r="M102" s="41">
        <f t="shared" si="8"/>
        <v>33.503973006320152</v>
      </c>
      <c r="N102" s="142">
        <f>'J) Plafonnement effort'!G101+'J) Plafonnement effort'!H101-'K) Plafonnement aide'!I101</f>
        <v>40.61891185431702</v>
      </c>
      <c r="O102" s="142">
        <f t="shared" si="9"/>
        <v>74.122884860637171</v>
      </c>
      <c r="P102" s="55">
        <f t="shared" si="10"/>
        <v>0</v>
      </c>
      <c r="Q102" s="66">
        <f t="shared" si="14"/>
        <v>0</v>
      </c>
      <c r="R102" s="164">
        <f t="shared" si="11"/>
        <v>74.122884860637171</v>
      </c>
      <c r="S102" s="142">
        <f t="shared" si="12"/>
        <v>8.1228848606371713</v>
      </c>
      <c r="T102" s="163"/>
      <c r="V102" s="17"/>
    </row>
    <row r="103" spans="1:22" x14ac:dyDescent="0.25">
      <c r="A103" s="57">
        <f>'A) Base RI'!A104</f>
        <v>5560</v>
      </c>
      <c r="B103" s="64" t="str">
        <f>'A) Base RI'!B104</f>
        <v>Grandevent</v>
      </c>
      <c r="C103" s="172">
        <v>114906.84370477321</v>
      </c>
      <c r="D103" s="173">
        <v>25442.384673545108</v>
      </c>
      <c r="E103" s="174">
        <v>0</v>
      </c>
      <c r="F103" s="173">
        <v>0</v>
      </c>
      <c r="G103" s="173">
        <v>0</v>
      </c>
      <c r="H103" s="175">
        <f t="shared" si="15"/>
        <v>140349.22837831831</v>
      </c>
      <c r="I103" s="233">
        <v>6396.1444117647052</v>
      </c>
      <c r="J103" s="109">
        <f>'B) D RI'!U104</f>
        <v>6446.6273529411765</v>
      </c>
      <c r="K103" s="76">
        <f t="shared" si="13"/>
        <v>21.942786050947802</v>
      </c>
      <c r="L103" s="41">
        <f>'B) D RI'!S104</f>
        <v>68</v>
      </c>
      <c r="M103" s="41">
        <f t="shared" si="8"/>
        <v>46.057213949052198</v>
      </c>
      <c r="N103" s="142">
        <f>'J) Plafonnement effort'!G102+'J) Plafonnement effort'!H102-'K) Plafonnement aide'!I102</f>
        <v>19.505819043360262</v>
      </c>
      <c r="O103" s="142">
        <f t="shared" si="9"/>
        <v>65.56303299241246</v>
      </c>
      <c r="P103" s="55">
        <f t="shared" si="10"/>
        <v>0</v>
      </c>
      <c r="Q103" s="66">
        <f t="shared" si="14"/>
        <v>0</v>
      </c>
      <c r="R103" s="164">
        <f t="shared" si="11"/>
        <v>65.56303299241246</v>
      </c>
      <c r="S103" s="142">
        <f t="shared" si="12"/>
        <v>-2.4369670075875405</v>
      </c>
      <c r="T103" s="163"/>
      <c r="V103" s="17"/>
    </row>
    <row r="104" spans="1:22" x14ac:dyDescent="0.25">
      <c r="A104" s="57">
        <f>'A) Base RI'!A105</f>
        <v>5561</v>
      </c>
      <c r="B104" s="64" t="str">
        <f>'A) Base RI'!B105</f>
        <v>Grandson</v>
      </c>
      <c r="C104" s="172">
        <v>2102761.5028001401</v>
      </c>
      <c r="D104" s="173">
        <v>297058.5665300244</v>
      </c>
      <c r="E104" s="174">
        <v>0</v>
      </c>
      <c r="F104" s="173">
        <v>0</v>
      </c>
      <c r="G104" s="173">
        <v>0</v>
      </c>
      <c r="H104" s="175">
        <f t="shared" si="15"/>
        <v>2399820.0693301642</v>
      </c>
      <c r="I104" s="233">
        <v>106507.86840579711</v>
      </c>
      <c r="J104" s="109">
        <f>'B) D RI'!U105</f>
        <v>115170.40130434782</v>
      </c>
      <c r="K104" s="76">
        <f t="shared" si="13"/>
        <v>22.531857084838105</v>
      </c>
      <c r="L104" s="41">
        <f>'B) D RI'!S105</f>
        <v>69</v>
      </c>
      <c r="M104" s="41">
        <f t="shared" si="8"/>
        <v>46.468142915161891</v>
      </c>
      <c r="N104" s="142">
        <f>'J) Plafonnement effort'!G103+'J) Plafonnement effort'!H103-'K) Plafonnement aide'!I103</f>
        <v>-181.28674613648491</v>
      </c>
      <c r="O104" s="142">
        <f t="shared" si="9"/>
        <v>-134.81860322132303</v>
      </c>
      <c r="P104" s="55">
        <f t="shared" si="10"/>
        <v>0</v>
      </c>
      <c r="Q104" s="66">
        <f t="shared" si="14"/>
        <v>0</v>
      </c>
      <c r="R104" s="164">
        <f t="shared" si="11"/>
        <v>-134.81860322132303</v>
      </c>
      <c r="S104" s="142">
        <f t="shared" si="12"/>
        <v>-203.81860322132303</v>
      </c>
      <c r="T104" s="163"/>
      <c r="V104" s="17"/>
    </row>
    <row r="105" spans="1:22" x14ac:dyDescent="0.25">
      <c r="A105" s="57">
        <f>'A) Base RI'!A106</f>
        <v>5562</v>
      </c>
      <c r="B105" s="64" t="str">
        <f>'A) Base RI'!B106</f>
        <v>Mauborget</v>
      </c>
      <c r="C105" s="172">
        <v>65610.021805388038</v>
      </c>
      <c r="D105" s="173">
        <v>35112.251789012415</v>
      </c>
      <c r="E105" s="174">
        <v>0</v>
      </c>
      <c r="F105" s="173">
        <v>0</v>
      </c>
      <c r="G105" s="173">
        <v>0</v>
      </c>
      <c r="H105" s="175">
        <f t="shared" si="15"/>
        <v>100722.27359440045</v>
      </c>
      <c r="I105" s="233">
        <v>3916.9319285714282</v>
      </c>
      <c r="J105" s="109">
        <f>'B) D RI'!U106</f>
        <v>3662.5545714285713</v>
      </c>
      <c r="K105" s="76">
        <f t="shared" si="13"/>
        <v>25.714583615737123</v>
      </c>
      <c r="L105" s="41">
        <f>'B) D RI'!S106</f>
        <v>70</v>
      </c>
      <c r="M105" s="41">
        <f t="shared" si="8"/>
        <v>44.285416384262874</v>
      </c>
      <c r="N105" s="142">
        <f>'J) Plafonnement effort'!G104+'J) Plafonnement effort'!H104-'K) Plafonnement aide'!I104</f>
        <v>17.939123640374689</v>
      </c>
      <c r="O105" s="142">
        <f t="shared" si="9"/>
        <v>62.224540024637562</v>
      </c>
      <c r="P105" s="55">
        <f t="shared" si="10"/>
        <v>0</v>
      </c>
      <c r="Q105" s="66">
        <f t="shared" si="14"/>
        <v>0</v>
      </c>
      <c r="R105" s="164">
        <f t="shared" si="11"/>
        <v>62.224540024637562</v>
      </c>
      <c r="S105" s="142">
        <f t="shared" si="12"/>
        <v>-7.7754599753624376</v>
      </c>
      <c r="T105" s="163"/>
      <c r="V105" s="17"/>
    </row>
    <row r="106" spans="1:22" x14ac:dyDescent="0.25">
      <c r="A106" s="57">
        <f>'A) Base RI'!A107</f>
        <v>5563</v>
      </c>
      <c r="B106" s="64" t="str">
        <f>'A) Base RI'!B107</f>
        <v>Mutrux</v>
      </c>
      <c r="C106" s="172">
        <v>69970.530952325673</v>
      </c>
      <c r="D106" s="173">
        <v>-3679.8373666954431</v>
      </c>
      <c r="E106" s="174">
        <v>0</v>
      </c>
      <c r="F106" s="173">
        <v>0</v>
      </c>
      <c r="G106" s="173">
        <v>0</v>
      </c>
      <c r="H106" s="175">
        <f t="shared" si="15"/>
        <v>66290.69358563023</v>
      </c>
      <c r="I106" s="233">
        <v>4102.2142675159239</v>
      </c>
      <c r="J106" s="109">
        <f>'B) D RI'!U107</f>
        <v>4275.1686624203812</v>
      </c>
      <c r="K106" s="76">
        <f t="shared" si="13"/>
        <v>16.159734539115686</v>
      </c>
      <c r="L106" s="41">
        <f>'B) D RI'!S107</f>
        <v>78.5</v>
      </c>
      <c r="M106" s="41">
        <f t="shared" si="8"/>
        <v>62.340265460884311</v>
      </c>
      <c r="N106" s="142">
        <f>'J) Plafonnement effort'!G105+'J) Plafonnement effort'!H105-'K) Plafonnement aide'!I105</f>
        <v>5.1614103581110555</v>
      </c>
      <c r="O106" s="142">
        <f t="shared" si="9"/>
        <v>67.501675818995366</v>
      </c>
      <c r="P106" s="55">
        <f t="shared" si="10"/>
        <v>0</v>
      </c>
      <c r="Q106" s="66">
        <f t="shared" si="14"/>
        <v>0</v>
      </c>
      <c r="R106" s="164">
        <f t="shared" si="11"/>
        <v>67.501675818995366</v>
      </c>
      <c r="S106" s="142">
        <f t="shared" si="12"/>
        <v>-10.998324181004634</v>
      </c>
      <c r="T106" s="163"/>
      <c r="V106" s="17"/>
    </row>
    <row r="107" spans="1:22" x14ac:dyDescent="0.25">
      <c r="A107" s="57">
        <f>'A) Base RI'!A108</f>
        <v>5564</v>
      </c>
      <c r="B107" s="64" t="str">
        <f>'A) Base RI'!B108</f>
        <v>Novalles</v>
      </c>
      <c r="C107" s="172">
        <v>32914.931944808552</v>
      </c>
      <c r="D107" s="173">
        <v>-25286.897152235229</v>
      </c>
      <c r="E107" s="174">
        <v>0</v>
      </c>
      <c r="F107" s="173">
        <v>0</v>
      </c>
      <c r="G107" s="173">
        <v>0</v>
      </c>
      <c r="H107" s="175">
        <f t="shared" si="15"/>
        <v>7628.0347925733222</v>
      </c>
      <c r="I107" s="233">
        <v>2120.1975328947365</v>
      </c>
      <c r="J107" s="109">
        <f>'B) D RI'!U108</f>
        <v>2063.0078618421053</v>
      </c>
      <c r="K107" s="76">
        <f t="shared" si="13"/>
        <v>3.597794391430432</v>
      </c>
      <c r="L107" s="41">
        <f>'B) D RI'!S108</f>
        <v>76</v>
      </c>
      <c r="M107" s="41">
        <f t="shared" si="8"/>
        <v>72.402205608569574</v>
      </c>
      <c r="N107" s="142">
        <f>'J) Plafonnement effort'!G106+'J) Plafonnement effort'!H106-'K) Plafonnement aide'!I106</f>
        <v>7.7467757949410023</v>
      </c>
      <c r="O107" s="142">
        <f t="shared" si="9"/>
        <v>80.148981403510575</v>
      </c>
      <c r="P107" s="55">
        <f t="shared" si="10"/>
        <v>0</v>
      </c>
      <c r="Q107" s="66">
        <f t="shared" si="14"/>
        <v>0</v>
      </c>
      <c r="R107" s="164">
        <f t="shared" si="11"/>
        <v>80.148981403510575</v>
      </c>
      <c r="S107" s="142">
        <f t="shared" si="12"/>
        <v>4.1489814035105752</v>
      </c>
      <c r="T107" s="163"/>
      <c r="V107" s="17"/>
    </row>
    <row r="108" spans="1:22" x14ac:dyDescent="0.25">
      <c r="A108" s="57">
        <f>'A) Base RI'!A109</f>
        <v>5565</v>
      </c>
      <c r="B108" s="64" t="str">
        <f>'A) Base RI'!B109</f>
        <v>Onnens</v>
      </c>
      <c r="C108" s="172">
        <v>340645.75929948315</v>
      </c>
      <c r="D108" s="173">
        <v>266256.67857355665</v>
      </c>
      <c r="E108" s="174">
        <v>0</v>
      </c>
      <c r="F108" s="173">
        <v>0</v>
      </c>
      <c r="G108" s="173">
        <v>0</v>
      </c>
      <c r="H108" s="175">
        <f t="shared" si="15"/>
        <v>606902.43787303986</v>
      </c>
      <c r="I108" s="233">
        <v>19222.665538461537</v>
      </c>
      <c r="J108" s="109">
        <f>'B) D RI'!U109</f>
        <v>17902.806410256413</v>
      </c>
      <c r="K108" s="76">
        <f t="shared" si="13"/>
        <v>31.572231054986798</v>
      </c>
      <c r="L108" s="41">
        <f>'B) D RI'!S109</f>
        <v>65</v>
      </c>
      <c r="M108" s="41">
        <f t="shared" si="8"/>
        <v>33.427768945013199</v>
      </c>
      <c r="N108" s="142">
        <f>'J) Plafonnement effort'!G107+'J) Plafonnement effort'!H107-'K) Plafonnement aide'!I107</f>
        <v>20.768455430659078</v>
      </c>
      <c r="O108" s="142">
        <f t="shared" si="9"/>
        <v>54.196224375672273</v>
      </c>
      <c r="P108" s="55">
        <f t="shared" si="10"/>
        <v>0</v>
      </c>
      <c r="Q108" s="66">
        <f t="shared" si="14"/>
        <v>0</v>
      </c>
      <c r="R108" s="164">
        <f t="shared" si="11"/>
        <v>54.196224375672273</v>
      </c>
      <c r="S108" s="142">
        <f t="shared" si="12"/>
        <v>-10.803775624327727</v>
      </c>
      <c r="T108" s="163"/>
      <c r="V108" s="17"/>
    </row>
    <row r="109" spans="1:22" x14ac:dyDescent="0.25">
      <c r="A109" s="57">
        <f>'A) Base RI'!A110</f>
        <v>5566</v>
      </c>
      <c r="B109" s="64" t="str">
        <f>'A) Base RI'!B110</f>
        <v>Provence</v>
      </c>
      <c r="C109" s="172">
        <v>141692.67170602325</v>
      </c>
      <c r="D109" s="173">
        <v>-131879.33214824606</v>
      </c>
      <c r="E109" s="174">
        <v>0</v>
      </c>
      <c r="F109" s="173">
        <v>0</v>
      </c>
      <c r="G109" s="173">
        <v>0</v>
      </c>
      <c r="H109" s="175">
        <f t="shared" si="15"/>
        <v>9813.339557777188</v>
      </c>
      <c r="I109" s="233">
        <v>7814.1319753086409</v>
      </c>
      <c r="J109" s="109">
        <f>'B) D RI'!U110</f>
        <v>8605.0976954732487</v>
      </c>
      <c r="K109" s="76">
        <f t="shared" si="13"/>
        <v>1.2558451263410588</v>
      </c>
      <c r="L109" s="41">
        <f>'B) D RI'!S110</f>
        <v>81</v>
      </c>
      <c r="M109" s="41">
        <f t="shared" si="8"/>
        <v>79.744154873658943</v>
      </c>
      <c r="N109" s="142">
        <f>'J) Plafonnement effort'!G108+'J) Plafonnement effort'!H108-'K) Plafonnement aide'!I108</f>
        <v>6.0988688151942245</v>
      </c>
      <c r="O109" s="142">
        <f t="shared" si="9"/>
        <v>85.843023688853165</v>
      </c>
      <c r="P109" s="55">
        <f t="shared" si="10"/>
        <v>0</v>
      </c>
      <c r="Q109" s="66">
        <f t="shared" si="14"/>
        <v>0</v>
      </c>
      <c r="R109" s="164">
        <f t="shared" si="11"/>
        <v>85.843023688853165</v>
      </c>
      <c r="S109" s="142">
        <f t="shared" si="12"/>
        <v>4.8430236888531653</v>
      </c>
      <c r="T109" s="163"/>
      <c r="V109" s="17"/>
    </row>
    <row r="110" spans="1:22" x14ac:dyDescent="0.25">
      <c r="A110" s="57">
        <f>'A) Base RI'!A111</f>
        <v>5568</v>
      </c>
      <c r="B110" s="64" t="str">
        <f>'A) Base RI'!B111</f>
        <v>Sainte-Croix</v>
      </c>
      <c r="C110" s="172">
        <v>2371860.9888435937</v>
      </c>
      <c r="D110" s="173">
        <v>-2199258.9783340739</v>
      </c>
      <c r="E110" s="174">
        <v>0</v>
      </c>
      <c r="F110" s="173">
        <v>0</v>
      </c>
      <c r="G110" s="173">
        <v>0</v>
      </c>
      <c r="H110" s="175">
        <f t="shared" si="15"/>
        <v>172602.01050951984</v>
      </c>
      <c r="I110" s="233">
        <v>93435.029714285716</v>
      </c>
      <c r="J110" s="109">
        <f>'B) D RI'!U111</f>
        <v>96229.339714285714</v>
      </c>
      <c r="K110" s="76">
        <f t="shared" si="13"/>
        <v>1.8472944359018051</v>
      </c>
      <c r="L110" s="41">
        <f>'B) D RI'!S111</f>
        <v>70</v>
      </c>
      <c r="M110" s="41">
        <f t="shared" si="8"/>
        <v>68.152705564098198</v>
      </c>
      <c r="N110" s="142">
        <f>'J) Plafonnement effort'!G109+'J) Plafonnement effort'!H109-'K) Plafonnement aide'!I109</f>
        <v>-48.527762063310178</v>
      </c>
      <c r="O110" s="142">
        <f t="shared" si="9"/>
        <v>19.624943500788021</v>
      </c>
      <c r="P110" s="55">
        <f t="shared" si="10"/>
        <v>0</v>
      </c>
      <c r="Q110" s="66">
        <f t="shared" si="14"/>
        <v>0</v>
      </c>
      <c r="R110" s="164">
        <f t="shared" si="11"/>
        <v>19.624943500788021</v>
      </c>
      <c r="S110" s="142">
        <f t="shared" si="12"/>
        <v>-50.375056499211979</v>
      </c>
      <c r="T110" s="163"/>
      <c r="V110" s="17"/>
    </row>
    <row r="111" spans="1:22" x14ac:dyDescent="0.25">
      <c r="A111" s="57">
        <f>'A) Base RI'!A112</f>
        <v>5571</v>
      </c>
      <c r="B111" s="64" t="str">
        <f>'A) Base RI'!B112</f>
        <v>Tévenon</v>
      </c>
      <c r="C111" s="172">
        <v>388527.12348820374</v>
      </c>
      <c r="D111" s="173">
        <v>-11983.633411319344</v>
      </c>
      <c r="E111" s="174">
        <v>0</v>
      </c>
      <c r="F111" s="173">
        <v>0</v>
      </c>
      <c r="G111" s="173">
        <v>0</v>
      </c>
      <c r="H111" s="175">
        <f t="shared" si="15"/>
        <v>376543.49007688439</v>
      </c>
      <c r="I111" s="233">
        <v>20766.182465753427</v>
      </c>
      <c r="J111" s="109">
        <f>'B) D RI'!U112</f>
        <v>20963.465799086756</v>
      </c>
      <c r="K111" s="76">
        <f t="shared" si="13"/>
        <v>18.132533059355591</v>
      </c>
      <c r="L111" s="41">
        <f>'B) D RI'!S112</f>
        <v>73</v>
      </c>
      <c r="M111" s="41">
        <f t="shared" si="8"/>
        <v>54.867466940644405</v>
      </c>
      <c r="N111" s="142">
        <f>'J) Plafonnement effort'!G110+'J) Plafonnement effort'!H110-'K) Plafonnement aide'!I110</f>
        <v>23.872728337935641</v>
      </c>
      <c r="O111" s="142">
        <f t="shared" si="9"/>
        <v>78.740195278580046</v>
      </c>
      <c r="P111" s="55">
        <f t="shared" si="10"/>
        <v>0</v>
      </c>
      <c r="Q111" s="66">
        <f t="shared" si="14"/>
        <v>0</v>
      </c>
      <c r="R111" s="164">
        <f t="shared" si="11"/>
        <v>78.740195278580046</v>
      </c>
      <c r="S111" s="142">
        <f t="shared" si="12"/>
        <v>5.7401952785800461</v>
      </c>
      <c r="T111" s="163"/>
      <c r="V111" s="17"/>
    </row>
    <row r="112" spans="1:22" x14ac:dyDescent="0.25">
      <c r="A112" s="57">
        <f>'A) Base RI'!A113</f>
        <v>5581</v>
      </c>
      <c r="B112" s="64" t="str">
        <f>'A) Base RI'!B113</f>
        <v>Belmont-sur-Lausanne</v>
      </c>
      <c r="C112" s="172">
        <v>3091221.926756416</v>
      </c>
      <c r="D112" s="173">
        <v>2126423.2012506286</v>
      </c>
      <c r="E112" s="174">
        <v>0</v>
      </c>
      <c r="F112" s="173">
        <v>0</v>
      </c>
      <c r="G112" s="173">
        <v>0</v>
      </c>
      <c r="H112" s="175">
        <f t="shared" si="15"/>
        <v>5217645.128007045</v>
      </c>
      <c r="I112" s="233">
        <v>173034.35179856114</v>
      </c>
      <c r="J112" s="109">
        <f>'B) D RI'!U113</f>
        <v>187042.91923261393</v>
      </c>
      <c r="K112" s="76">
        <f t="shared" si="13"/>
        <v>30.15381092698399</v>
      </c>
      <c r="L112" s="41">
        <f>'B) D RI'!S113</f>
        <v>69.5</v>
      </c>
      <c r="M112" s="41">
        <f t="shared" si="8"/>
        <v>39.346189073016006</v>
      </c>
      <c r="N112" s="142">
        <f>'J) Plafonnement effort'!G111+'J) Plafonnement effort'!H111-'K) Plafonnement aide'!I111</f>
        <v>26.986860622383944</v>
      </c>
      <c r="O112" s="142">
        <f t="shared" si="9"/>
        <v>66.33304969539995</v>
      </c>
      <c r="P112" s="55">
        <f t="shared" si="10"/>
        <v>0</v>
      </c>
      <c r="Q112" s="66">
        <f t="shared" si="14"/>
        <v>0</v>
      </c>
      <c r="R112" s="164">
        <f t="shared" si="11"/>
        <v>66.33304969539995</v>
      </c>
      <c r="S112" s="142">
        <f t="shared" si="12"/>
        <v>-3.16695030460005</v>
      </c>
      <c r="T112" s="163"/>
      <c r="V112" s="17"/>
    </row>
    <row r="113" spans="1:22" x14ac:dyDescent="0.25">
      <c r="A113" s="57">
        <f>'A) Base RI'!A114</f>
        <v>5582</v>
      </c>
      <c r="B113" s="64" t="str">
        <f>'A) Base RI'!B114</f>
        <v>Cheseaux-sur-Lausanne</v>
      </c>
      <c r="C113" s="172">
        <v>3128523.9511883012</v>
      </c>
      <c r="D113" s="173">
        <v>1107245.8801449293</v>
      </c>
      <c r="E113" s="174">
        <v>0</v>
      </c>
      <c r="F113" s="173">
        <v>0</v>
      </c>
      <c r="G113" s="173">
        <v>0</v>
      </c>
      <c r="H113" s="175">
        <f t="shared" si="15"/>
        <v>4235769.8313332302</v>
      </c>
      <c r="I113" s="233">
        <v>165346.44872483221</v>
      </c>
      <c r="J113" s="109">
        <f>'B) D RI'!U114</f>
        <v>203617.184295302</v>
      </c>
      <c r="K113" s="76">
        <f t="shared" si="13"/>
        <v>25.617543430777598</v>
      </c>
      <c r="L113" s="41">
        <f>'B) D RI'!S114</f>
        <v>74.5</v>
      </c>
      <c r="M113" s="41">
        <f t="shared" si="8"/>
        <v>48.882456569222398</v>
      </c>
      <c r="N113" s="142">
        <f>'J) Plafonnement effort'!G112+'J) Plafonnement effort'!H112-'K) Plafonnement aide'!I112</f>
        <v>28.806562760380427</v>
      </c>
      <c r="O113" s="142">
        <f t="shared" si="9"/>
        <v>77.689019329602829</v>
      </c>
      <c r="P113" s="55">
        <f t="shared" si="10"/>
        <v>0</v>
      </c>
      <c r="Q113" s="66">
        <f t="shared" si="14"/>
        <v>0</v>
      </c>
      <c r="R113" s="164">
        <f t="shared" si="11"/>
        <v>77.689019329602829</v>
      </c>
      <c r="S113" s="142">
        <f t="shared" si="12"/>
        <v>3.1890193296028286</v>
      </c>
      <c r="T113" s="163"/>
      <c r="V113" s="17"/>
    </row>
    <row r="114" spans="1:22" x14ac:dyDescent="0.25">
      <c r="A114" s="57">
        <f>'A) Base RI'!A115</f>
        <v>5583</v>
      </c>
      <c r="B114" s="64" t="str">
        <f>'A) Base RI'!B115</f>
        <v>Crissier</v>
      </c>
      <c r="C114" s="172">
        <v>6180196.2695626998</v>
      </c>
      <c r="D114" s="173">
        <v>2584596.2306296625</v>
      </c>
      <c r="E114" s="174">
        <v>0</v>
      </c>
      <c r="F114" s="173">
        <v>0</v>
      </c>
      <c r="G114" s="173">
        <v>0</v>
      </c>
      <c r="H114" s="175">
        <f t="shared" si="15"/>
        <v>8764792.5001923628</v>
      </c>
      <c r="I114" s="233">
        <v>323925.7196923077</v>
      </c>
      <c r="J114" s="109">
        <f>'B) D RI'!U115</f>
        <v>311741.22092307697</v>
      </c>
      <c r="K114" s="76">
        <f t="shared" si="13"/>
        <v>27.058032034374765</v>
      </c>
      <c r="L114" s="41">
        <f>'B) D RI'!S115</f>
        <v>65</v>
      </c>
      <c r="M114" s="41">
        <f t="shared" si="8"/>
        <v>37.941967965625238</v>
      </c>
      <c r="N114" s="142">
        <f>'J) Plafonnement effort'!G113+'J) Plafonnement effort'!H113-'K) Plafonnement aide'!I113</f>
        <v>19.301454275468711</v>
      </c>
      <c r="O114" s="142">
        <f t="shared" si="9"/>
        <v>57.243422241093953</v>
      </c>
      <c r="P114" s="55">
        <f t="shared" si="10"/>
        <v>0</v>
      </c>
      <c r="Q114" s="66">
        <f t="shared" si="14"/>
        <v>0</v>
      </c>
      <c r="R114" s="164">
        <f t="shared" si="11"/>
        <v>57.243422241093953</v>
      </c>
      <c r="S114" s="142">
        <f t="shared" si="12"/>
        <v>-7.7565777589060474</v>
      </c>
      <c r="T114" s="163"/>
      <c r="V114" s="17"/>
    </row>
    <row r="115" spans="1:22" x14ac:dyDescent="0.25">
      <c r="A115" s="57">
        <f>'A) Base RI'!A116</f>
        <v>5584</v>
      </c>
      <c r="B115" s="64" t="str">
        <f>'A) Base RI'!B116</f>
        <v>Epalinges</v>
      </c>
      <c r="C115" s="172">
        <v>8748407.9928017259</v>
      </c>
      <c r="D115" s="173">
        <v>4161251.9181175241</v>
      </c>
      <c r="E115" s="174">
        <v>0</v>
      </c>
      <c r="F115" s="173">
        <v>0</v>
      </c>
      <c r="G115" s="173">
        <v>0</v>
      </c>
      <c r="H115" s="175">
        <f t="shared" si="15"/>
        <v>12909659.910919249</v>
      </c>
      <c r="I115" s="233">
        <v>455923.60696969699</v>
      </c>
      <c r="J115" s="109">
        <f>'B) D RI'!U116</f>
        <v>455692.51</v>
      </c>
      <c r="K115" s="76">
        <f t="shared" si="13"/>
        <v>28.31540133822746</v>
      </c>
      <c r="L115" s="41">
        <f>'B) D RI'!S116</f>
        <v>66</v>
      </c>
      <c r="M115" s="41">
        <f t="shared" ref="M115:M166" si="16">L115-K115</f>
        <v>37.68459866177254</v>
      </c>
      <c r="N115" s="142">
        <f>'J) Plafonnement effort'!G114+'J) Plafonnement effort'!H114-'K) Plafonnement aide'!I114</f>
        <v>14.347499046830118</v>
      </c>
      <c r="O115" s="142">
        <f t="shared" ref="O115:O166" si="17">M115+N115</f>
        <v>52.032097708602656</v>
      </c>
      <c r="P115" s="55">
        <f t="shared" ref="P115:P166" si="18">IF(O115&gt;$P$5,$P$5-O115,0)</f>
        <v>0</v>
      </c>
      <c r="Q115" s="66">
        <f t="shared" si="14"/>
        <v>0</v>
      </c>
      <c r="R115" s="164">
        <f t="shared" ref="R115:R166" si="19">O115+P115</f>
        <v>52.032097708602656</v>
      </c>
      <c r="S115" s="142">
        <f t="shared" ref="S115:S166" si="20">R115-L115</f>
        <v>-13.967902291397344</v>
      </c>
      <c r="T115" s="163"/>
      <c r="V115" s="17"/>
    </row>
    <row r="116" spans="1:22" x14ac:dyDescent="0.25">
      <c r="A116" s="57">
        <f>'A) Base RI'!A117</f>
        <v>5585</v>
      </c>
      <c r="B116" s="64" t="str">
        <f>'A) Base RI'!B117</f>
        <v>Jouxtens-Mézery</v>
      </c>
      <c r="C116" s="172">
        <v>4427608.112415106</v>
      </c>
      <c r="D116" s="173">
        <v>2245655.6835050737</v>
      </c>
      <c r="E116" s="174">
        <v>0</v>
      </c>
      <c r="F116" s="173">
        <v>0</v>
      </c>
      <c r="G116" s="173">
        <v>0</v>
      </c>
      <c r="H116" s="175">
        <f t="shared" si="15"/>
        <v>6673263.7959201802</v>
      </c>
      <c r="I116" s="233">
        <v>159177.88018867921</v>
      </c>
      <c r="J116" s="109">
        <f>'B) D RI'!U117</f>
        <v>201546.16339622639</v>
      </c>
      <c r="K116" s="76">
        <f t="shared" si="13"/>
        <v>41.923311128469123</v>
      </c>
      <c r="L116" s="41">
        <f>'B) D RI'!S117</f>
        <v>53</v>
      </c>
      <c r="M116" s="41">
        <f t="shared" si="16"/>
        <v>11.076688871530877</v>
      </c>
      <c r="N116" s="142">
        <f>'J) Plafonnement effort'!G115+'J) Plafonnement effort'!H115-'K) Plafonnement aide'!I115</f>
        <v>45</v>
      </c>
      <c r="O116" s="142">
        <f t="shared" si="17"/>
        <v>56.076688871530877</v>
      </c>
      <c r="P116" s="55">
        <f t="shared" si="18"/>
        <v>0</v>
      </c>
      <c r="Q116" s="66">
        <f t="shared" si="14"/>
        <v>0</v>
      </c>
      <c r="R116" s="164">
        <f t="shared" si="19"/>
        <v>56.076688871530877</v>
      </c>
      <c r="S116" s="142">
        <f t="shared" si="20"/>
        <v>3.0766888715308767</v>
      </c>
      <c r="T116" s="163"/>
      <c r="V116" s="17"/>
    </row>
    <row r="117" spans="1:22" x14ac:dyDescent="0.25">
      <c r="A117" s="57">
        <f>'A) Base RI'!A118</f>
        <v>5586</v>
      </c>
      <c r="B117" s="64" t="str">
        <f>'A) Base RI'!B118</f>
        <v>Lausanne</v>
      </c>
      <c r="C117" s="172">
        <v>108802578.36292088</v>
      </c>
      <c r="D117" s="173">
        <v>-25991604.472212285</v>
      </c>
      <c r="E117" s="174">
        <v>0</v>
      </c>
      <c r="F117" s="173">
        <v>0</v>
      </c>
      <c r="G117" s="173">
        <v>0</v>
      </c>
      <c r="H117" s="175">
        <f t="shared" si="15"/>
        <v>82810973.890708596</v>
      </c>
      <c r="I117" s="233">
        <v>5897479.10464135</v>
      </c>
      <c r="J117" s="109">
        <f>'B) D RI'!U118</f>
        <v>6075429.3645991571</v>
      </c>
      <c r="K117" s="76">
        <f t="shared" ref="K117:K167" si="21">H117/I117</f>
        <v>14.041757914078218</v>
      </c>
      <c r="L117" s="41">
        <f>'B) D RI'!S118</f>
        <v>79</v>
      </c>
      <c r="M117" s="41">
        <f t="shared" si="16"/>
        <v>64.958242085921782</v>
      </c>
      <c r="N117" s="142">
        <f>'J) Plafonnement effort'!G116+'J) Plafonnement effort'!H116-'K) Plafonnement aide'!I116</f>
        <v>-96.169110227219392</v>
      </c>
      <c r="O117" s="142">
        <f t="shared" si="17"/>
        <v>-31.21086814129761</v>
      </c>
      <c r="P117" s="55">
        <f t="shared" si="18"/>
        <v>0</v>
      </c>
      <c r="Q117" s="66">
        <f t="shared" si="14"/>
        <v>0</v>
      </c>
      <c r="R117" s="164">
        <f t="shared" si="19"/>
        <v>-31.21086814129761</v>
      </c>
      <c r="S117" s="142">
        <f t="shared" si="20"/>
        <v>-110.21086814129761</v>
      </c>
      <c r="T117" s="163"/>
      <c r="V117" s="17"/>
    </row>
    <row r="118" spans="1:22" x14ac:dyDescent="0.25">
      <c r="A118" s="57">
        <f>'A) Base RI'!A119</f>
        <v>5587</v>
      </c>
      <c r="B118" s="64" t="str">
        <f>'A) Base RI'!B119</f>
        <v>Le Mont-sur-Lausanne</v>
      </c>
      <c r="C118" s="172">
        <v>7534626.6836123038</v>
      </c>
      <c r="D118" s="173">
        <v>3940968.2637198297</v>
      </c>
      <c r="E118" s="174">
        <v>0</v>
      </c>
      <c r="F118" s="173">
        <v>0</v>
      </c>
      <c r="G118" s="173">
        <v>0</v>
      </c>
      <c r="H118" s="175">
        <f t="shared" si="15"/>
        <v>11475594.947332133</v>
      </c>
      <c r="I118" s="233">
        <v>380449.00348888891</v>
      </c>
      <c r="J118" s="109">
        <f>'B) D RI'!U119</f>
        <v>413343.80273333337</v>
      </c>
      <c r="K118" s="76">
        <f t="shared" si="21"/>
        <v>30.163293482426692</v>
      </c>
      <c r="L118" s="41">
        <f>'B) D RI'!S119</f>
        <v>75</v>
      </c>
      <c r="M118" s="41">
        <f t="shared" si="16"/>
        <v>44.836706517573305</v>
      </c>
      <c r="N118" s="142">
        <f>'J) Plafonnement effort'!G117+'J) Plafonnement effort'!H117-'K) Plafonnement aide'!I117</f>
        <v>14.554237698269878</v>
      </c>
      <c r="O118" s="142">
        <f t="shared" si="17"/>
        <v>59.390944215843184</v>
      </c>
      <c r="P118" s="55">
        <f t="shared" si="18"/>
        <v>0</v>
      </c>
      <c r="Q118" s="66">
        <f t="shared" ref="Q118:Q167" si="22">P118*J118</f>
        <v>0</v>
      </c>
      <c r="R118" s="164">
        <f t="shared" si="19"/>
        <v>59.390944215843184</v>
      </c>
      <c r="S118" s="142">
        <f t="shared" si="20"/>
        <v>-15.609055784156816</v>
      </c>
      <c r="T118" s="163"/>
      <c r="V118" s="17"/>
    </row>
    <row r="119" spans="1:22" x14ac:dyDescent="0.25">
      <c r="A119" s="57">
        <f>'A) Base RI'!A120</f>
        <v>5588</v>
      </c>
      <c r="B119" s="64" t="str">
        <f>'A) Base RI'!B120</f>
        <v>Paudex</v>
      </c>
      <c r="C119" s="172">
        <v>4082415.8793408982</v>
      </c>
      <c r="D119" s="173">
        <v>2176763.1424396117</v>
      </c>
      <c r="E119" s="174">
        <v>0</v>
      </c>
      <c r="F119" s="173">
        <v>0</v>
      </c>
      <c r="G119" s="173">
        <v>0</v>
      </c>
      <c r="H119" s="175">
        <f t="shared" si="15"/>
        <v>6259179.0217805095</v>
      </c>
      <c r="I119" s="233">
        <v>152789.79231126595</v>
      </c>
      <c r="J119" s="109">
        <f>'B) D RI'!U120</f>
        <v>160000.57716608592</v>
      </c>
      <c r="K119" s="76">
        <f t="shared" si="21"/>
        <v>40.965950192727561</v>
      </c>
      <c r="L119" s="41">
        <f>'B) D RI'!S120</f>
        <v>61.5</v>
      </c>
      <c r="M119" s="41">
        <f t="shared" si="16"/>
        <v>20.534049807272439</v>
      </c>
      <c r="N119" s="142">
        <f>'J) Plafonnement effort'!G118+'J) Plafonnement effort'!H118-'K) Plafonnement aide'!I118</f>
        <v>44.039337707626359</v>
      </c>
      <c r="O119" s="142">
        <f t="shared" si="17"/>
        <v>64.573387514898798</v>
      </c>
      <c r="P119" s="55">
        <f t="shared" si="18"/>
        <v>0</v>
      </c>
      <c r="Q119" s="66">
        <f t="shared" si="22"/>
        <v>0</v>
      </c>
      <c r="R119" s="164">
        <f t="shared" si="19"/>
        <v>64.573387514898798</v>
      </c>
      <c r="S119" s="142">
        <f t="shared" si="20"/>
        <v>3.0733875148987977</v>
      </c>
      <c r="T119" s="163"/>
      <c r="V119" s="17"/>
    </row>
    <row r="120" spans="1:22" x14ac:dyDescent="0.25">
      <c r="A120" s="57">
        <f>'A) Base RI'!A121</f>
        <v>5589</v>
      </c>
      <c r="B120" s="64" t="str">
        <f>'A) Base RI'!B121</f>
        <v>Prilly</v>
      </c>
      <c r="C120" s="172">
        <v>8920985.5471211113</v>
      </c>
      <c r="D120" s="173">
        <v>870544.33072183933</v>
      </c>
      <c r="E120" s="174">
        <v>0</v>
      </c>
      <c r="F120" s="173">
        <v>0</v>
      </c>
      <c r="G120" s="173">
        <v>0</v>
      </c>
      <c r="H120" s="175">
        <f t="shared" si="15"/>
        <v>9791529.8778429516</v>
      </c>
      <c r="I120" s="233">
        <v>462414.97306122456</v>
      </c>
      <c r="J120" s="109">
        <f>'B) D RI'!U121</f>
        <v>437574.2323809524</v>
      </c>
      <c r="K120" s="76">
        <f t="shared" si="21"/>
        <v>21.174768223922836</v>
      </c>
      <c r="L120" s="41">
        <f>'B) D RI'!S121</f>
        <v>73.5</v>
      </c>
      <c r="M120" s="41">
        <f t="shared" si="16"/>
        <v>52.32523177607716</v>
      </c>
      <c r="N120" s="142">
        <f>'J) Plafonnement effort'!G119+'J) Plafonnement effort'!H119-'K) Plafonnement aide'!I119</f>
        <v>16.365859512647329</v>
      </c>
      <c r="O120" s="142">
        <f t="shared" si="17"/>
        <v>68.691091288724493</v>
      </c>
      <c r="P120" s="55">
        <f t="shared" si="18"/>
        <v>0</v>
      </c>
      <c r="Q120" s="66">
        <f t="shared" si="22"/>
        <v>0</v>
      </c>
      <c r="R120" s="164">
        <f t="shared" si="19"/>
        <v>68.691091288724493</v>
      </c>
      <c r="S120" s="142">
        <f t="shared" si="20"/>
        <v>-4.8089087112755067</v>
      </c>
      <c r="T120" s="163"/>
      <c r="V120" s="17"/>
    </row>
    <row r="121" spans="1:22" x14ac:dyDescent="0.25">
      <c r="A121" s="57">
        <f>'A) Base RI'!A122</f>
        <v>5590</v>
      </c>
      <c r="B121" s="64" t="str">
        <f>'A) Base RI'!B122</f>
        <v>Pully</v>
      </c>
      <c r="C121" s="172">
        <v>35208865.665665694</v>
      </c>
      <c r="D121" s="173">
        <v>10925176.875869364</v>
      </c>
      <c r="E121" s="174">
        <v>0</v>
      </c>
      <c r="F121" s="173">
        <v>0</v>
      </c>
      <c r="G121" s="173">
        <v>0</v>
      </c>
      <c r="H121" s="175">
        <f t="shared" si="15"/>
        <v>46134042.541535057</v>
      </c>
      <c r="I121" s="233">
        <v>1366683.426371882</v>
      </c>
      <c r="J121" s="109">
        <f>'B) D RI'!U122</f>
        <v>1422298.2200936768</v>
      </c>
      <c r="K121" s="76">
        <f t="shared" si="21"/>
        <v>33.756202534779064</v>
      </c>
      <c r="L121" s="41">
        <f>'B) D RI'!S122</f>
        <v>61</v>
      </c>
      <c r="M121" s="41">
        <f t="shared" si="16"/>
        <v>27.243797465220936</v>
      </c>
      <c r="N121" s="142">
        <f>'J) Plafonnement effort'!G120+'J) Plafonnement effort'!H120-'K) Plafonnement aide'!I120</f>
        <v>30.413078469451833</v>
      </c>
      <c r="O121" s="142">
        <f t="shared" si="17"/>
        <v>57.656875934672769</v>
      </c>
      <c r="P121" s="55">
        <f t="shared" si="18"/>
        <v>0</v>
      </c>
      <c r="Q121" s="66">
        <f t="shared" si="22"/>
        <v>0</v>
      </c>
      <c r="R121" s="164">
        <f t="shared" si="19"/>
        <v>57.656875934672769</v>
      </c>
      <c r="S121" s="142">
        <f t="shared" si="20"/>
        <v>-3.3431240653272312</v>
      </c>
      <c r="T121" s="163"/>
      <c r="V121" s="17"/>
    </row>
    <row r="122" spans="1:22" x14ac:dyDescent="0.25">
      <c r="A122" s="57">
        <f>'A) Base RI'!A123</f>
        <v>5591</v>
      </c>
      <c r="B122" s="64" t="str">
        <f>'A) Base RI'!B123</f>
        <v>Renens</v>
      </c>
      <c r="C122" s="172">
        <v>9660628.290971186</v>
      </c>
      <c r="D122" s="173">
        <v>-13658352.951330673</v>
      </c>
      <c r="E122" s="174">
        <v>442905.30333491904</v>
      </c>
      <c r="F122" s="173">
        <v>0</v>
      </c>
      <c r="G122" s="173">
        <v>0</v>
      </c>
      <c r="H122" s="175">
        <f t="shared" si="15"/>
        <v>-3554819.3570245681</v>
      </c>
      <c r="I122" s="233">
        <v>546895.28569608741</v>
      </c>
      <c r="J122" s="109">
        <f>'B) D RI'!U123</f>
        <v>529647.11015468603</v>
      </c>
      <c r="K122" s="76">
        <f t="shared" si="21"/>
        <v>-6.5</v>
      </c>
      <c r="L122" s="41">
        <f>'B) D RI'!S123</f>
        <v>78.5</v>
      </c>
      <c r="M122" s="41">
        <f t="shared" si="16"/>
        <v>85</v>
      </c>
      <c r="N122" s="142">
        <f>'J) Plafonnement effort'!G121+'J) Plafonnement effort'!H121-'K) Plafonnement aide'!I121</f>
        <v>-53.412424171706732</v>
      </c>
      <c r="O122" s="142">
        <f t="shared" si="17"/>
        <v>31.587575828293268</v>
      </c>
      <c r="P122" s="55">
        <f t="shared" si="18"/>
        <v>0</v>
      </c>
      <c r="Q122" s="66">
        <f t="shared" si="22"/>
        <v>0</v>
      </c>
      <c r="R122" s="164">
        <f t="shared" si="19"/>
        <v>31.587575828293268</v>
      </c>
      <c r="S122" s="142">
        <f t="shared" si="20"/>
        <v>-46.912424171706732</v>
      </c>
      <c r="T122" s="163"/>
      <c r="V122" s="17"/>
    </row>
    <row r="123" spans="1:22" x14ac:dyDescent="0.25">
      <c r="A123" s="57">
        <f>'A) Base RI'!A124</f>
        <v>5592</v>
      </c>
      <c r="B123" s="64" t="str">
        <f>'A) Base RI'!B124</f>
        <v>Romanel-sur-Lausanne</v>
      </c>
      <c r="C123" s="172">
        <v>2208926.8495967444</v>
      </c>
      <c r="D123" s="173">
        <v>353815.36886738241</v>
      </c>
      <c r="E123" s="174">
        <v>0</v>
      </c>
      <c r="F123" s="173">
        <v>0</v>
      </c>
      <c r="G123" s="173">
        <v>0</v>
      </c>
      <c r="H123" s="175">
        <f t="shared" si="15"/>
        <v>2562742.2184641268</v>
      </c>
      <c r="I123" s="233">
        <v>110273.83828571429</v>
      </c>
      <c r="J123" s="109">
        <f>'B) D RI'!U124</f>
        <v>116555.94314285714</v>
      </c>
      <c r="K123" s="76">
        <f t="shared" si="21"/>
        <v>23.239802461796817</v>
      </c>
      <c r="L123" s="41">
        <f>'B) D RI'!S124</f>
        <v>70</v>
      </c>
      <c r="M123" s="41">
        <f t="shared" si="16"/>
        <v>46.760197538203187</v>
      </c>
      <c r="N123" s="142">
        <f>'J) Plafonnement effort'!G122+'J) Plafonnement effort'!H122-'K) Plafonnement aide'!I122</f>
        <v>19.477987007692896</v>
      </c>
      <c r="O123" s="142">
        <f t="shared" si="17"/>
        <v>66.238184545896075</v>
      </c>
      <c r="P123" s="55">
        <f t="shared" si="18"/>
        <v>0</v>
      </c>
      <c r="Q123" s="66">
        <f t="shared" si="22"/>
        <v>0</v>
      </c>
      <c r="R123" s="164">
        <f t="shared" si="19"/>
        <v>66.238184545896075</v>
      </c>
      <c r="S123" s="142">
        <f t="shared" si="20"/>
        <v>-3.7618154541039246</v>
      </c>
      <c r="T123" s="163"/>
      <c r="V123" s="17"/>
    </row>
    <row r="124" spans="1:22" x14ac:dyDescent="0.25">
      <c r="A124" s="57">
        <f>'A) Base RI'!A125</f>
        <v>5601</v>
      </c>
      <c r="B124" s="64" t="str">
        <f>'A) Base RI'!B125</f>
        <v>Chexbres</v>
      </c>
      <c r="C124" s="172">
        <v>1947905.1499638958</v>
      </c>
      <c r="D124" s="173">
        <v>1420965.8066664725</v>
      </c>
      <c r="E124" s="174">
        <v>0</v>
      </c>
      <c r="F124" s="173">
        <v>0</v>
      </c>
      <c r="G124" s="173">
        <v>0</v>
      </c>
      <c r="H124" s="175">
        <f t="shared" si="15"/>
        <v>3368870.9566303683</v>
      </c>
      <c r="I124" s="233">
        <v>104474.96078125002</v>
      </c>
      <c r="J124" s="109">
        <f>'B) D RI'!U125</f>
        <v>99746.160000000018</v>
      </c>
      <c r="K124" s="76">
        <f t="shared" si="21"/>
        <v>32.245725975280529</v>
      </c>
      <c r="L124" s="41">
        <f>'B) D RI'!S125</f>
        <v>64</v>
      </c>
      <c r="M124" s="41">
        <f t="shared" si="16"/>
        <v>31.754274024719471</v>
      </c>
      <c r="N124" s="142">
        <f>'J) Plafonnement effort'!G123+'J) Plafonnement effort'!H123-'K) Plafonnement aide'!I123</f>
        <v>28.297161014023189</v>
      </c>
      <c r="O124" s="142">
        <f t="shared" si="17"/>
        <v>60.05143503874266</v>
      </c>
      <c r="P124" s="55">
        <f t="shared" si="18"/>
        <v>0</v>
      </c>
      <c r="Q124" s="66">
        <f t="shared" si="22"/>
        <v>0</v>
      </c>
      <c r="R124" s="164">
        <f t="shared" si="19"/>
        <v>60.05143503874266</v>
      </c>
      <c r="S124" s="142">
        <f t="shared" si="20"/>
        <v>-3.9485649612573397</v>
      </c>
      <c r="T124" s="163"/>
      <c r="V124" s="17"/>
    </row>
    <row r="125" spans="1:22" x14ac:dyDescent="0.25">
      <c r="A125" s="57">
        <f>'A) Base RI'!A126</f>
        <v>5604</v>
      </c>
      <c r="B125" s="64" t="str">
        <f>'A) Base RI'!B126</f>
        <v>Forel (Lavaux)</v>
      </c>
      <c r="C125" s="172">
        <v>1158218.7660183688</v>
      </c>
      <c r="D125" s="173">
        <v>257119.64776183525</v>
      </c>
      <c r="E125" s="174">
        <v>0</v>
      </c>
      <c r="F125" s="173">
        <v>0</v>
      </c>
      <c r="G125" s="173">
        <v>0</v>
      </c>
      <c r="H125" s="175">
        <f t="shared" si="15"/>
        <v>1415338.413780204</v>
      </c>
      <c r="I125" s="233">
        <v>65514.699852941172</v>
      </c>
      <c r="J125" s="109">
        <f>'B) D RI'!U126</f>
        <v>71240.347352941171</v>
      </c>
      <c r="K125" s="76">
        <f t="shared" si="21"/>
        <v>21.603371715922847</v>
      </c>
      <c r="L125" s="41">
        <f>'B) D RI'!S126</f>
        <v>68</v>
      </c>
      <c r="M125" s="41">
        <f t="shared" si="16"/>
        <v>46.396628284077153</v>
      </c>
      <c r="N125" s="142">
        <f>'J) Plafonnement effort'!G124+'J) Plafonnement effort'!H124-'K) Plafonnement aide'!I124</f>
        <v>23.353010869236257</v>
      </c>
      <c r="O125" s="142">
        <f t="shared" si="17"/>
        <v>69.74963915331341</v>
      </c>
      <c r="P125" s="55">
        <f t="shared" si="18"/>
        <v>0</v>
      </c>
      <c r="Q125" s="66">
        <f t="shared" si="22"/>
        <v>0</v>
      </c>
      <c r="R125" s="164">
        <f t="shared" si="19"/>
        <v>69.74963915331341</v>
      </c>
      <c r="S125" s="142">
        <f t="shared" si="20"/>
        <v>1.7496391533134101</v>
      </c>
      <c r="T125" s="163"/>
      <c r="V125" s="17"/>
    </row>
    <row r="126" spans="1:22" x14ac:dyDescent="0.25">
      <c r="A126" s="57">
        <f>'A) Base RI'!A127</f>
        <v>5606</v>
      </c>
      <c r="B126" s="64" t="str">
        <f>'A) Base RI'!B127</f>
        <v>Lutry</v>
      </c>
      <c r="C126" s="172">
        <v>19169347.398568131</v>
      </c>
      <c r="D126" s="173">
        <v>8006668.9152763579</v>
      </c>
      <c r="E126" s="174">
        <v>0</v>
      </c>
      <c r="F126" s="173">
        <v>0</v>
      </c>
      <c r="G126" s="173">
        <v>0</v>
      </c>
      <c r="H126" s="175">
        <f t="shared" si="15"/>
        <v>27176016.313844487</v>
      </c>
      <c r="I126" s="233">
        <v>742470.65823979594</v>
      </c>
      <c r="J126" s="109">
        <f>'B) D RI'!U127</f>
        <v>770648.37755469768</v>
      </c>
      <c r="K126" s="76">
        <f t="shared" si="21"/>
        <v>36.602141798130752</v>
      </c>
      <c r="L126" s="41">
        <f>'B) D RI'!S127</f>
        <v>55.5</v>
      </c>
      <c r="M126" s="41">
        <f t="shared" si="16"/>
        <v>18.897858201869248</v>
      </c>
      <c r="N126" s="142">
        <f>'J) Plafonnement effort'!G125+'J) Plafonnement effort'!H125-'K) Plafonnement aide'!I125</f>
        <v>15.509271174464189</v>
      </c>
      <c r="O126" s="142">
        <f t="shared" si="17"/>
        <v>34.407129376333437</v>
      </c>
      <c r="P126" s="55">
        <f t="shared" si="18"/>
        <v>0</v>
      </c>
      <c r="Q126" s="66">
        <f t="shared" si="22"/>
        <v>0</v>
      </c>
      <c r="R126" s="164">
        <f t="shared" si="19"/>
        <v>34.407129376333437</v>
      </c>
      <c r="S126" s="142">
        <f t="shared" si="20"/>
        <v>-21.092870623666563</v>
      </c>
      <c r="T126" s="163"/>
      <c r="V126" s="17"/>
    </row>
    <row r="127" spans="1:22" x14ac:dyDescent="0.25">
      <c r="A127" s="57">
        <f>'A) Base RI'!A128</f>
        <v>5607</v>
      </c>
      <c r="B127" s="64" t="str">
        <f>'A) Base RI'!B128</f>
        <v>Puidoux</v>
      </c>
      <c r="C127" s="172">
        <v>1823834.4700530292</v>
      </c>
      <c r="D127" s="173">
        <v>669585.59938853653</v>
      </c>
      <c r="E127" s="174">
        <v>0</v>
      </c>
      <c r="F127" s="173">
        <v>0</v>
      </c>
      <c r="G127" s="173">
        <v>0</v>
      </c>
      <c r="H127" s="175">
        <f t="shared" si="15"/>
        <v>2493420.0694415658</v>
      </c>
      <c r="I127" s="233">
        <v>100862.46201406649</v>
      </c>
      <c r="J127" s="109">
        <f>'B) D RI'!U128</f>
        <v>97147.534937888209</v>
      </c>
      <c r="K127" s="76">
        <f t="shared" si="21"/>
        <v>24.720991532943426</v>
      </c>
      <c r="L127" s="41">
        <f>'B) D RI'!S128</f>
        <v>70</v>
      </c>
      <c r="M127" s="41">
        <f t="shared" si="16"/>
        <v>45.27900846705657</v>
      </c>
      <c r="N127" s="142">
        <f>'J) Plafonnement effort'!G126+'J) Plafonnement effort'!H126-'K) Plafonnement aide'!I126</f>
        <v>-25.039802222032598</v>
      </c>
      <c r="O127" s="142">
        <f t="shared" si="17"/>
        <v>20.239206245023972</v>
      </c>
      <c r="P127" s="55">
        <f t="shared" si="18"/>
        <v>0</v>
      </c>
      <c r="Q127" s="66">
        <f t="shared" si="22"/>
        <v>0</v>
      </c>
      <c r="R127" s="164">
        <f t="shared" si="19"/>
        <v>20.239206245023972</v>
      </c>
      <c r="S127" s="142">
        <f t="shared" si="20"/>
        <v>-49.760793754976028</v>
      </c>
      <c r="T127" s="163"/>
      <c r="V127" s="17"/>
    </row>
    <row r="128" spans="1:22" x14ac:dyDescent="0.25">
      <c r="A128" s="57">
        <f>'A) Base RI'!A129</f>
        <v>5609</v>
      </c>
      <c r="B128" s="64" t="str">
        <f>'A) Base RI'!B129</f>
        <v>Rivaz</v>
      </c>
      <c r="C128" s="172">
        <v>301628.64065155142</v>
      </c>
      <c r="D128" s="173">
        <v>264040.98102692328</v>
      </c>
      <c r="E128" s="174">
        <v>0</v>
      </c>
      <c r="F128" s="173">
        <v>0</v>
      </c>
      <c r="G128" s="173">
        <v>0</v>
      </c>
      <c r="H128" s="175">
        <f t="shared" si="15"/>
        <v>565669.62167847471</v>
      </c>
      <c r="I128" s="233">
        <v>16122.244409448818</v>
      </c>
      <c r="J128" s="109">
        <f>'B) D RI'!U129</f>
        <v>16888.91165354331</v>
      </c>
      <c r="K128" s="76">
        <f t="shared" si="21"/>
        <v>35.086282487254117</v>
      </c>
      <c r="L128" s="41">
        <f>'B) D RI'!S129</f>
        <v>63.5</v>
      </c>
      <c r="M128" s="41">
        <f t="shared" si="16"/>
        <v>28.413717512745883</v>
      </c>
      <c r="N128" s="142">
        <f>'J) Plafonnement effort'!G127+'J) Plafonnement effort'!H127-'K) Plafonnement aide'!I127</f>
        <v>30.461160286399249</v>
      </c>
      <c r="O128" s="142">
        <f t="shared" si="17"/>
        <v>58.874877799145132</v>
      </c>
      <c r="P128" s="55">
        <f t="shared" si="18"/>
        <v>0</v>
      </c>
      <c r="Q128" s="66">
        <f t="shared" si="22"/>
        <v>0</v>
      </c>
      <c r="R128" s="164">
        <f t="shared" si="19"/>
        <v>58.874877799145132</v>
      </c>
      <c r="S128" s="142">
        <f t="shared" si="20"/>
        <v>-4.625122200854868</v>
      </c>
      <c r="T128" s="163"/>
      <c r="V128" s="17"/>
    </row>
    <row r="129" spans="1:22" x14ac:dyDescent="0.25">
      <c r="A129" s="57">
        <f>'A) Base RI'!A130</f>
        <v>5610</v>
      </c>
      <c r="B129" s="64" t="str">
        <f>'A) Base RI'!B130</f>
        <v>St-Saphorin (Lavaux)</v>
      </c>
      <c r="C129" s="172">
        <v>353277.98371044651</v>
      </c>
      <c r="D129" s="173">
        <v>351561.7768076167</v>
      </c>
      <c r="E129" s="174">
        <v>0</v>
      </c>
      <c r="F129" s="173">
        <v>0</v>
      </c>
      <c r="G129" s="173">
        <v>0</v>
      </c>
      <c r="H129" s="175">
        <f t="shared" si="15"/>
        <v>704839.76051806321</v>
      </c>
      <c r="I129" s="233">
        <v>20974.487096774192</v>
      </c>
      <c r="J129" s="109">
        <f>'B) D RI'!U130</f>
        <v>20007.714179104478</v>
      </c>
      <c r="K129" s="76">
        <f t="shared" si="21"/>
        <v>33.604624383232967</v>
      </c>
      <c r="L129" s="41">
        <f>'B) D RI'!S130</f>
        <v>67</v>
      </c>
      <c r="M129" s="41">
        <f t="shared" si="16"/>
        <v>33.395375616767033</v>
      </c>
      <c r="N129" s="142">
        <f>'J) Plafonnement effort'!G128+'J) Plafonnement effort'!H128-'K) Plafonnement aide'!I128</f>
        <v>34.888490756684099</v>
      </c>
      <c r="O129" s="142">
        <f t="shared" si="17"/>
        <v>68.283866373451133</v>
      </c>
      <c r="P129" s="55">
        <f t="shared" si="18"/>
        <v>0</v>
      </c>
      <c r="Q129" s="66">
        <f t="shared" si="22"/>
        <v>0</v>
      </c>
      <c r="R129" s="164">
        <f t="shared" si="19"/>
        <v>68.283866373451133</v>
      </c>
      <c r="S129" s="142">
        <f t="shared" si="20"/>
        <v>1.2838663734511329</v>
      </c>
      <c r="T129" s="163"/>
      <c r="V129" s="17"/>
    </row>
    <row r="130" spans="1:22" x14ac:dyDescent="0.25">
      <c r="A130" s="57">
        <f>'A) Base RI'!A131</f>
        <v>5611</v>
      </c>
      <c r="B130" s="64" t="str">
        <f>'A) Base RI'!B131</f>
        <v>Savigny</v>
      </c>
      <c r="C130" s="172">
        <v>2460361.3346179519</v>
      </c>
      <c r="D130" s="173">
        <v>1205494.6533911778</v>
      </c>
      <c r="E130" s="174">
        <v>0</v>
      </c>
      <c r="F130" s="173">
        <v>0</v>
      </c>
      <c r="G130" s="173">
        <v>0</v>
      </c>
      <c r="H130" s="175">
        <f t="shared" si="15"/>
        <v>3665855.9880091297</v>
      </c>
      <c r="I130" s="233">
        <v>130312.40671641791</v>
      </c>
      <c r="J130" s="109">
        <f>'B) D RI'!U131</f>
        <v>115537.42516908211</v>
      </c>
      <c r="K130" s="76">
        <f t="shared" si="21"/>
        <v>28.131289110381172</v>
      </c>
      <c r="L130" s="41">
        <f>'B) D RI'!S131</f>
        <v>69</v>
      </c>
      <c r="M130" s="41">
        <f t="shared" si="16"/>
        <v>40.868710889618825</v>
      </c>
      <c r="N130" s="142">
        <f>'J) Plafonnement effort'!G129+'J) Plafonnement effort'!H129-'K) Plafonnement aide'!I129</f>
        <v>21.565821338895041</v>
      </c>
      <c r="O130" s="142">
        <f t="shared" si="17"/>
        <v>62.434532228513866</v>
      </c>
      <c r="P130" s="55">
        <f t="shared" si="18"/>
        <v>0</v>
      </c>
      <c r="Q130" s="66">
        <f t="shared" si="22"/>
        <v>0</v>
      </c>
      <c r="R130" s="164">
        <f t="shared" si="19"/>
        <v>62.434532228513866</v>
      </c>
      <c r="S130" s="142">
        <f t="shared" si="20"/>
        <v>-6.5654677714861336</v>
      </c>
      <c r="T130" s="163"/>
      <c r="V130" s="17"/>
    </row>
    <row r="131" spans="1:22" x14ac:dyDescent="0.25">
      <c r="A131" s="57">
        <f>'A) Base RI'!A132</f>
        <v>5613</v>
      </c>
      <c r="B131" s="64" t="str">
        <f>'A) Base RI'!B132</f>
        <v>Bourg-en-Lavaux</v>
      </c>
      <c r="C131" s="172">
        <v>5842132.1482976824</v>
      </c>
      <c r="D131" s="173">
        <v>3525501.4868601765</v>
      </c>
      <c r="E131" s="174">
        <v>0</v>
      </c>
      <c r="F131" s="173">
        <v>0</v>
      </c>
      <c r="G131" s="173">
        <v>0</v>
      </c>
      <c r="H131" s="175">
        <f t="shared" si="15"/>
        <v>9367633.635157859</v>
      </c>
      <c r="I131" s="233">
        <v>295658.88923497271</v>
      </c>
      <c r="J131" s="109">
        <f>'B) D RI'!U132</f>
        <v>301872.13311475411</v>
      </c>
      <c r="K131" s="76">
        <f t="shared" si="21"/>
        <v>31.683923522126886</v>
      </c>
      <c r="L131" s="41">
        <f>'B) D RI'!S132</f>
        <v>61</v>
      </c>
      <c r="M131" s="41">
        <f t="shared" si="16"/>
        <v>29.316076477873114</v>
      </c>
      <c r="N131" s="142">
        <f>'J) Plafonnement effort'!G130+'J) Plafonnement effort'!H130-'K) Plafonnement aide'!I130</f>
        <v>20.721620692101418</v>
      </c>
      <c r="O131" s="142">
        <f t="shared" si="17"/>
        <v>50.037697169974535</v>
      </c>
      <c r="P131" s="55">
        <f t="shared" si="18"/>
        <v>0</v>
      </c>
      <c r="Q131" s="66">
        <f t="shared" si="22"/>
        <v>0</v>
      </c>
      <c r="R131" s="164">
        <f t="shared" si="19"/>
        <v>50.037697169974535</v>
      </c>
      <c r="S131" s="142">
        <f t="shared" si="20"/>
        <v>-10.962302830025465</v>
      </c>
      <c r="T131" s="163"/>
      <c r="V131" s="17"/>
    </row>
    <row r="132" spans="1:22" x14ac:dyDescent="0.25">
      <c r="A132" s="57">
        <f>'A) Base RI'!A133</f>
        <v>5621</v>
      </c>
      <c r="B132" s="64" t="str">
        <f>'A) Base RI'!B133</f>
        <v>Aclens</v>
      </c>
      <c r="C132" s="172">
        <v>741117.42253705743</v>
      </c>
      <c r="D132" s="173">
        <v>553631.78536725219</v>
      </c>
      <c r="E132" s="174">
        <v>0</v>
      </c>
      <c r="F132" s="173">
        <v>0</v>
      </c>
      <c r="G132" s="173">
        <v>0</v>
      </c>
      <c r="H132" s="175">
        <f t="shared" si="15"/>
        <v>1294749.2079043095</v>
      </c>
      <c r="I132" s="233">
        <v>33759.339076246331</v>
      </c>
      <c r="J132" s="109">
        <f>'B) D RI'!U133</f>
        <v>26820.105850439882</v>
      </c>
      <c r="K132" s="76">
        <f t="shared" si="21"/>
        <v>38.352326891829406</v>
      </c>
      <c r="L132" s="41">
        <f>'B) D RI'!S133</f>
        <v>62</v>
      </c>
      <c r="M132" s="41">
        <f t="shared" si="16"/>
        <v>23.647673108170594</v>
      </c>
      <c r="N132" s="142">
        <f>'J) Plafonnement effort'!G131+'J) Plafonnement effort'!H131-'K) Plafonnement aide'!I131</f>
        <v>34.222395958215344</v>
      </c>
      <c r="O132" s="142">
        <f t="shared" si="17"/>
        <v>57.870069066385938</v>
      </c>
      <c r="P132" s="55">
        <f t="shared" si="18"/>
        <v>0</v>
      </c>
      <c r="Q132" s="66">
        <f t="shared" si="22"/>
        <v>0</v>
      </c>
      <c r="R132" s="164">
        <f t="shared" si="19"/>
        <v>57.870069066385938</v>
      </c>
      <c r="S132" s="142">
        <f t="shared" si="20"/>
        <v>-4.1299309336140624</v>
      </c>
      <c r="T132" s="163"/>
      <c r="V132" s="17"/>
    </row>
    <row r="133" spans="1:22" x14ac:dyDescent="0.25">
      <c r="A133" s="57">
        <f>'A) Base RI'!A134</f>
        <v>5622</v>
      </c>
      <c r="B133" s="64" t="str">
        <f>'A) Base RI'!B134</f>
        <v>Bremblens</v>
      </c>
      <c r="C133" s="172">
        <v>479488.78131868428</v>
      </c>
      <c r="D133" s="173">
        <v>471077.5818903789</v>
      </c>
      <c r="E133" s="174">
        <v>0</v>
      </c>
      <c r="F133" s="173">
        <v>0</v>
      </c>
      <c r="G133" s="173">
        <v>0</v>
      </c>
      <c r="H133" s="175">
        <f t="shared" si="15"/>
        <v>950566.36320906319</v>
      </c>
      <c r="I133" s="233">
        <v>28126.288636363635</v>
      </c>
      <c r="J133" s="109">
        <f>'B) D RI'!U134</f>
        <v>32681.756515151512</v>
      </c>
      <c r="K133" s="76">
        <f t="shared" si="21"/>
        <v>33.796366648250363</v>
      </c>
      <c r="L133" s="41">
        <f>'B) D RI'!S134</f>
        <v>66</v>
      </c>
      <c r="M133" s="41">
        <f t="shared" si="16"/>
        <v>32.203633351749637</v>
      </c>
      <c r="N133" s="142">
        <f>'J) Plafonnement effort'!G132+'J) Plafonnement effort'!H132-'K) Plafonnement aide'!I132</f>
        <v>39.09880162894752</v>
      </c>
      <c r="O133" s="142">
        <f t="shared" si="17"/>
        <v>71.302434980697157</v>
      </c>
      <c r="P133" s="55">
        <f t="shared" si="18"/>
        <v>0</v>
      </c>
      <c r="Q133" s="66">
        <f t="shared" si="22"/>
        <v>0</v>
      </c>
      <c r="R133" s="164">
        <f t="shared" si="19"/>
        <v>71.302434980697157</v>
      </c>
      <c r="S133" s="142">
        <f t="shared" si="20"/>
        <v>5.3024349806971571</v>
      </c>
      <c r="T133" s="163"/>
      <c r="V133" s="17"/>
    </row>
    <row r="134" spans="1:22" x14ac:dyDescent="0.25">
      <c r="A134" s="57">
        <f>'A) Base RI'!A135</f>
        <v>5623</v>
      </c>
      <c r="B134" s="64" t="str">
        <f>'A) Base RI'!B135</f>
        <v>Buchillon</v>
      </c>
      <c r="C134" s="172">
        <v>2763063.0243445942</v>
      </c>
      <c r="D134" s="173">
        <v>1222153.3660657406</v>
      </c>
      <c r="E134" s="174">
        <v>0</v>
      </c>
      <c r="F134" s="173">
        <v>0</v>
      </c>
      <c r="G134" s="173">
        <v>0</v>
      </c>
      <c r="H134" s="175">
        <f t="shared" si="15"/>
        <v>3985216.3904103348</v>
      </c>
      <c r="I134" s="233">
        <v>86045.549622641513</v>
      </c>
      <c r="J134" s="109">
        <f>'B) D RI'!U135</f>
        <v>82402.410188679249</v>
      </c>
      <c r="K134" s="76">
        <f t="shared" si="21"/>
        <v>46.315194776345393</v>
      </c>
      <c r="L134" s="41">
        <f>'B) D RI'!S135</f>
        <v>53</v>
      </c>
      <c r="M134" s="41">
        <f t="shared" si="16"/>
        <v>6.6848052236546067</v>
      </c>
      <c r="N134" s="142">
        <f>'J) Plafonnement effort'!G133+'J) Plafonnement effort'!H133-'K) Plafonnement aide'!I133</f>
        <v>45</v>
      </c>
      <c r="O134" s="142">
        <f t="shared" si="17"/>
        <v>51.684805223654607</v>
      </c>
      <c r="P134" s="55">
        <f t="shared" si="18"/>
        <v>0</v>
      </c>
      <c r="Q134" s="66">
        <f t="shared" si="22"/>
        <v>0</v>
      </c>
      <c r="R134" s="164">
        <f t="shared" si="19"/>
        <v>51.684805223654607</v>
      </c>
      <c r="S134" s="142">
        <f t="shared" si="20"/>
        <v>-1.3151947763453933</v>
      </c>
      <c r="T134" s="163"/>
      <c r="V134" s="17"/>
    </row>
    <row r="135" spans="1:22" x14ac:dyDescent="0.25">
      <c r="A135" s="57">
        <f>'A) Base RI'!A136</f>
        <v>5624</v>
      </c>
      <c r="B135" s="64" t="str">
        <f>'A) Base RI'!B136</f>
        <v>Bussigny</v>
      </c>
      <c r="C135" s="172">
        <v>7466072.4364863373</v>
      </c>
      <c r="D135" s="173">
        <v>1346286.2446609437</v>
      </c>
      <c r="E135" s="174">
        <v>0</v>
      </c>
      <c r="F135" s="173">
        <v>0</v>
      </c>
      <c r="G135" s="173">
        <v>0</v>
      </c>
      <c r="H135" s="175">
        <f t="shared" ref="H135:H193" si="23">SUM(C135:G135)</f>
        <v>8812358.6811472811</v>
      </c>
      <c r="I135" s="233">
        <v>312174.83774193545</v>
      </c>
      <c r="J135" s="109">
        <f>'B) D RI'!U136</f>
        <v>334130.13322580641</v>
      </c>
      <c r="K135" s="76">
        <f t="shared" si="21"/>
        <v>28.228920514190079</v>
      </c>
      <c r="L135" s="41">
        <f>'B) D RI'!S136</f>
        <v>62</v>
      </c>
      <c r="M135" s="41">
        <f t="shared" si="16"/>
        <v>33.771079485809921</v>
      </c>
      <c r="N135" s="142">
        <f>'J) Plafonnement effort'!G134+'J) Plafonnement effort'!H134-'K) Plafonnement aide'!I134</f>
        <v>-44.451496309537774</v>
      </c>
      <c r="O135" s="142">
        <f t="shared" si="17"/>
        <v>-10.680416823727853</v>
      </c>
      <c r="P135" s="55">
        <f t="shared" si="18"/>
        <v>0</v>
      </c>
      <c r="Q135" s="66">
        <f t="shared" si="22"/>
        <v>0</v>
      </c>
      <c r="R135" s="164">
        <f t="shared" si="19"/>
        <v>-10.680416823727853</v>
      </c>
      <c r="S135" s="142">
        <f t="shared" si="20"/>
        <v>-72.680416823727853</v>
      </c>
      <c r="T135" s="163"/>
      <c r="V135" s="17"/>
    </row>
    <row r="136" spans="1:22" x14ac:dyDescent="0.25">
      <c r="A136" s="57">
        <f>'A) Base RI'!A137</f>
        <v>5625</v>
      </c>
      <c r="B136" s="64" t="str">
        <f>'A) Base RI'!B137</f>
        <v>Bussy-Chardonney</v>
      </c>
      <c r="C136" s="172">
        <v>302679.07627804764</v>
      </c>
      <c r="D136" s="173">
        <v>252405.872850043</v>
      </c>
      <c r="E136" s="174">
        <v>0</v>
      </c>
      <c r="F136" s="173">
        <v>0</v>
      </c>
      <c r="G136" s="173">
        <v>0</v>
      </c>
      <c r="H136" s="175">
        <f t="shared" si="23"/>
        <v>555084.94912809064</v>
      </c>
      <c r="I136" s="233">
        <v>16172.617200854704</v>
      </c>
      <c r="J136" s="109">
        <f>'B) D RI'!U137</f>
        <v>13745.926324786325</v>
      </c>
      <c r="K136" s="76">
        <f t="shared" si="21"/>
        <v>34.322518256275494</v>
      </c>
      <c r="L136" s="41">
        <f>'B) D RI'!S137</f>
        <v>78</v>
      </c>
      <c r="M136" s="41">
        <f t="shared" si="16"/>
        <v>43.677481743724506</v>
      </c>
      <c r="N136" s="142">
        <f>'J) Plafonnement effort'!G135+'J) Plafonnement effort'!H135-'K) Plafonnement aide'!I135</f>
        <v>29.896257562215936</v>
      </c>
      <c r="O136" s="142">
        <f t="shared" si="17"/>
        <v>73.57373930594045</v>
      </c>
      <c r="P136" s="55">
        <f t="shared" si="18"/>
        <v>0</v>
      </c>
      <c r="Q136" s="66">
        <f t="shared" si="22"/>
        <v>0</v>
      </c>
      <c r="R136" s="164">
        <f t="shared" si="19"/>
        <v>73.57373930594045</v>
      </c>
      <c r="S136" s="142">
        <f t="shared" si="20"/>
        <v>-4.4262606940595504</v>
      </c>
      <c r="T136" s="163"/>
      <c r="V136" s="17"/>
    </row>
    <row r="137" spans="1:22" x14ac:dyDescent="0.25">
      <c r="A137" s="57">
        <f>'A) Base RI'!A138</f>
        <v>5627</v>
      </c>
      <c r="B137" s="64" t="str">
        <f>'A) Base RI'!B138</f>
        <v>Chavannes-près-Renens</v>
      </c>
      <c r="C137" s="172">
        <v>2842647.91779905</v>
      </c>
      <c r="D137" s="173">
        <v>-4207039.8392327037</v>
      </c>
      <c r="E137" s="174">
        <v>308064.42552648095</v>
      </c>
      <c r="F137" s="173">
        <v>0</v>
      </c>
      <c r="G137" s="173">
        <v>0</v>
      </c>
      <c r="H137" s="175">
        <f t="shared" si="23"/>
        <v>-1056327.4959071728</v>
      </c>
      <c r="I137" s="233">
        <v>162511.92244725736</v>
      </c>
      <c r="J137" s="109">
        <f>'B) D RI'!U138</f>
        <v>171770.86046413501</v>
      </c>
      <c r="K137" s="76">
        <f t="shared" si="21"/>
        <v>-6.5</v>
      </c>
      <c r="L137" s="41">
        <f>'B) D RI'!S138</f>
        <v>79</v>
      </c>
      <c r="M137" s="41">
        <f t="shared" si="16"/>
        <v>85.5</v>
      </c>
      <c r="N137" s="142">
        <f>'J) Plafonnement effort'!G136+'J) Plafonnement effort'!H136-'K) Plafonnement aide'!I136</f>
        <v>-74.751709560632406</v>
      </c>
      <c r="O137" s="142">
        <f t="shared" si="17"/>
        <v>10.748290439367594</v>
      </c>
      <c r="P137" s="55">
        <f t="shared" si="18"/>
        <v>0</v>
      </c>
      <c r="Q137" s="66">
        <f t="shared" si="22"/>
        <v>0</v>
      </c>
      <c r="R137" s="164">
        <f t="shared" si="19"/>
        <v>10.748290439367594</v>
      </c>
      <c r="S137" s="142">
        <f t="shared" si="20"/>
        <v>-68.251709560632406</v>
      </c>
      <c r="T137" s="163"/>
      <c r="V137" s="17"/>
    </row>
    <row r="138" spans="1:22" x14ac:dyDescent="0.25">
      <c r="A138" s="57">
        <f>'A) Base RI'!A139</f>
        <v>5628</v>
      </c>
      <c r="B138" s="64" t="str">
        <f>'A) Base RI'!B139</f>
        <v>Chigny</v>
      </c>
      <c r="C138" s="172">
        <v>316341.10266973916</v>
      </c>
      <c r="D138" s="173">
        <v>317178.62636408751</v>
      </c>
      <c r="E138" s="174">
        <v>0</v>
      </c>
      <c r="F138" s="173">
        <v>0</v>
      </c>
      <c r="G138" s="173">
        <v>0</v>
      </c>
      <c r="H138" s="175">
        <f t="shared" si="23"/>
        <v>633519.72903382662</v>
      </c>
      <c r="I138" s="233">
        <v>19064.278346774194</v>
      </c>
      <c r="J138" s="109">
        <f>'B) D RI'!U139</f>
        <v>19361.666733870967</v>
      </c>
      <c r="K138" s="76">
        <f t="shared" si="21"/>
        <v>33.23072174620355</v>
      </c>
      <c r="L138" s="41">
        <f>'B) D RI'!S139</f>
        <v>62</v>
      </c>
      <c r="M138" s="41">
        <f t="shared" si="16"/>
        <v>28.76927825379645</v>
      </c>
      <c r="N138" s="142">
        <f>'J) Plafonnement effort'!G137+'J) Plafonnement effort'!H137-'K) Plafonnement aide'!I137</f>
        <v>34.532266456911159</v>
      </c>
      <c r="O138" s="142">
        <f t="shared" si="17"/>
        <v>63.30154471070761</v>
      </c>
      <c r="P138" s="55">
        <f t="shared" si="18"/>
        <v>0</v>
      </c>
      <c r="Q138" s="66">
        <f t="shared" si="22"/>
        <v>0</v>
      </c>
      <c r="R138" s="164">
        <f t="shared" si="19"/>
        <v>63.30154471070761</v>
      </c>
      <c r="S138" s="142">
        <f t="shared" si="20"/>
        <v>1.3015447107076099</v>
      </c>
      <c r="T138" s="163"/>
      <c r="V138" s="17"/>
    </row>
    <row r="139" spans="1:22" x14ac:dyDescent="0.25">
      <c r="A139" s="57">
        <f>'A) Base RI'!A140</f>
        <v>5629</v>
      </c>
      <c r="B139" s="64" t="str">
        <f>'A) Base RI'!B140</f>
        <v>Clarmont</v>
      </c>
      <c r="C139" s="172">
        <v>128322.92509300115</v>
      </c>
      <c r="D139" s="173">
        <v>125092.61382620648</v>
      </c>
      <c r="E139" s="174">
        <v>0</v>
      </c>
      <c r="F139" s="173">
        <v>0</v>
      </c>
      <c r="G139" s="173">
        <v>0</v>
      </c>
      <c r="H139" s="175">
        <f t="shared" si="23"/>
        <v>253415.53891920764</v>
      </c>
      <c r="I139" s="233">
        <v>7581.8990666666659</v>
      </c>
      <c r="J139" s="109">
        <f>'B) D RI'!U140</f>
        <v>7536.1791999999996</v>
      </c>
      <c r="K139" s="76">
        <f t="shared" si="21"/>
        <v>33.423755274365604</v>
      </c>
      <c r="L139" s="41">
        <f>'B) D RI'!S140</f>
        <v>75</v>
      </c>
      <c r="M139" s="41">
        <f t="shared" si="16"/>
        <v>41.576244725634396</v>
      </c>
      <c r="N139" s="142">
        <f>'J) Plafonnement effort'!G138+'J) Plafonnement effort'!H138-'K) Plafonnement aide'!I138</f>
        <v>34.45686685125893</v>
      </c>
      <c r="O139" s="142">
        <f t="shared" si="17"/>
        <v>76.033111576893333</v>
      </c>
      <c r="P139" s="55">
        <f t="shared" si="18"/>
        <v>0</v>
      </c>
      <c r="Q139" s="66">
        <f t="shared" si="22"/>
        <v>0</v>
      </c>
      <c r="R139" s="164">
        <f t="shared" si="19"/>
        <v>76.033111576893333</v>
      </c>
      <c r="S139" s="142">
        <f t="shared" si="20"/>
        <v>1.033111576893333</v>
      </c>
      <c r="T139" s="163"/>
      <c r="V139" s="17"/>
    </row>
    <row r="140" spans="1:22" x14ac:dyDescent="0.25">
      <c r="A140" s="57">
        <f>'A) Base RI'!A141</f>
        <v>5631</v>
      </c>
      <c r="B140" s="64" t="str">
        <f>'A) Base RI'!B141</f>
        <v>Denens</v>
      </c>
      <c r="C140" s="172">
        <v>805296.94310280296</v>
      </c>
      <c r="D140" s="173">
        <v>565366.05504200747</v>
      </c>
      <c r="E140" s="174">
        <v>0</v>
      </c>
      <c r="F140" s="173">
        <v>0</v>
      </c>
      <c r="G140" s="173">
        <v>0</v>
      </c>
      <c r="H140" s="175">
        <f t="shared" si="23"/>
        <v>1370662.9981448106</v>
      </c>
      <c r="I140" s="233">
        <v>34218.35955882354</v>
      </c>
      <c r="J140" s="109">
        <f>'B) D RI'!U141</f>
        <v>42221.936176470583</v>
      </c>
      <c r="K140" s="76">
        <f t="shared" si="21"/>
        <v>40.056362017838801</v>
      </c>
      <c r="L140" s="41">
        <f>'B) D RI'!S141</f>
        <v>68</v>
      </c>
      <c r="M140" s="41">
        <f t="shared" si="16"/>
        <v>27.943637982161199</v>
      </c>
      <c r="N140" s="142">
        <f>'J) Plafonnement effort'!G139+'J) Plafonnement effort'!H139-'K) Plafonnement aide'!I139</f>
        <v>39.306333619727987</v>
      </c>
      <c r="O140" s="142">
        <f t="shared" si="17"/>
        <v>67.249971601889186</v>
      </c>
      <c r="P140" s="55">
        <f t="shared" si="18"/>
        <v>0</v>
      </c>
      <c r="Q140" s="66">
        <f t="shared" si="22"/>
        <v>0</v>
      </c>
      <c r="R140" s="164">
        <f t="shared" si="19"/>
        <v>67.249971601889186</v>
      </c>
      <c r="S140" s="142">
        <f t="shared" si="20"/>
        <v>-0.75002839811081401</v>
      </c>
      <c r="T140" s="163"/>
      <c r="V140" s="17"/>
    </row>
    <row r="141" spans="1:22" x14ac:dyDescent="0.25">
      <c r="A141" s="57">
        <f>'A) Base RI'!A142</f>
        <v>5632</v>
      </c>
      <c r="B141" s="64" t="str">
        <f>'A) Base RI'!B142</f>
        <v>Denges</v>
      </c>
      <c r="C141" s="172">
        <v>1240912.6517864179</v>
      </c>
      <c r="D141" s="173">
        <v>954175.25981711352</v>
      </c>
      <c r="E141" s="174">
        <v>0</v>
      </c>
      <c r="F141" s="173">
        <v>0</v>
      </c>
      <c r="G141" s="173">
        <v>0</v>
      </c>
      <c r="H141" s="175">
        <f t="shared" si="23"/>
        <v>2195087.9116035313</v>
      </c>
      <c r="I141" s="233">
        <v>70599.599193548376</v>
      </c>
      <c r="J141" s="109">
        <f>'B) D RI'!U142</f>
        <v>67310.066612903232</v>
      </c>
      <c r="K141" s="76">
        <f t="shared" si="21"/>
        <v>31.092073279137338</v>
      </c>
      <c r="L141" s="41">
        <f>'B) D RI'!S142</f>
        <v>62</v>
      </c>
      <c r="M141" s="41">
        <f t="shared" si="16"/>
        <v>30.907926720862662</v>
      </c>
      <c r="N141" s="142">
        <f>'J) Plafonnement effort'!G140+'J) Plafonnement effort'!H140-'K) Plafonnement aide'!I140</f>
        <v>30.623611245195164</v>
      </c>
      <c r="O141" s="142">
        <f t="shared" si="17"/>
        <v>61.531537966057826</v>
      </c>
      <c r="P141" s="55">
        <f t="shared" si="18"/>
        <v>0</v>
      </c>
      <c r="Q141" s="66">
        <f t="shared" si="22"/>
        <v>0</v>
      </c>
      <c r="R141" s="164">
        <f t="shared" si="19"/>
        <v>61.531537966057826</v>
      </c>
      <c r="S141" s="142">
        <f t="shared" si="20"/>
        <v>-0.46846203394217412</v>
      </c>
      <c r="T141" s="163"/>
      <c r="V141" s="17"/>
    </row>
    <row r="142" spans="1:22" x14ac:dyDescent="0.25">
      <c r="A142" s="57">
        <f>'A) Base RI'!A143</f>
        <v>5633</v>
      </c>
      <c r="B142" s="64" t="str">
        <f>'A) Base RI'!B143</f>
        <v>Echandens</v>
      </c>
      <c r="C142" s="172">
        <v>2246702.0782364965</v>
      </c>
      <c r="D142" s="173">
        <v>1622461.8979713139</v>
      </c>
      <c r="E142" s="174">
        <v>0</v>
      </c>
      <c r="F142" s="173">
        <v>0</v>
      </c>
      <c r="G142" s="173">
        <v>0</v>
      </c>
      <c r="H142" s="175">
        <f t="shared" si="23"/>
        <v>3869163.9762078105</v>
      </c>
      <c r="I142" s="233">
        <v>123013.45645161292</v>
      </c>
      <c r="J142" s="109">
        <f>'B) D RI'!U143</f>
        <v>139554.44612903227</v>
      </c>
      <c r="K142" s="76">
        <f t="shared" si="21"/>
        <v>31.453176650879151</v>
      </c>
      <c r="L142" s="41">
        <f>'B) D RI'!S143</f>
        <v>62</v>
      </c>
      <c r="M142" s="41">
        <f t="shared" si="16"/>
        <v>30.546823349120849</v>
      </c>
      <c r="N142" s="142">
        <f>'J) Plafonnement effort'!G141+'J) Plafonnement effort'!H141-'K) Plafonnement aide'!I141</f>
        <v>29.311506928882817</v>
      </c>
      <c r="O142" s="142">
        <f t="shared" si="17"/>
        <v>59.858330278003663</v>
      </c>
      <c r="P142" s="55">
        <f t="shared" si="18"/>
        <v>0</v>
      </c>
      <c r="Q142" s="66">
        <f t="shared" si="22"/>
        <v>0</v>
      </c>
      <c r="R142" s="164">
        <f t="shared" si="19"/>
        <v>59.858330278003663</v>
      </c>
      <c r="S142" s="142">
        <f t="shared" si="20"/>
        <v>-2.1416697219963368</v>
      </c>
      <c r="T142" s="163"/>
      <c r="V142" s="17"/>
    </row>
    <row r="143" spans="1:22" x14ac:dyDescent="0.25">
      <c r="A143" s="57">
        <f>'A) Base RI'!A144</f>
        <v>5634</v>
      </c>
      <c r="B143" s="64" t="str">
        <f>'A) Base RI'!B144</f>
        <v>Echichens</v>
      </c>
      <c r="C143" s="172">
        <v>2141114.3984992765</v>
      </c>
      <c r="D143" s="173">
        <v>1613245.7514994987</v>
      </c>
      <c r="E143" s="174">
        <v>0</v>
      </c>
      <c r="F143" s="173">
        <v>0</v>
      </c>
      <c r="G143" s="173">
        <v>0</v>
      </c>
      <c r="H143" s="175">
        <f t="shared" si="23"/>
        <v>3754360.1499987752</v>
      </c>
      <c r="I143" s="233">
        <v>121660.2017647059</v>
      </c>
      <c r="J143" s="109">
        <f>'B) D RI'!U144</f>
        <v>125699.21529411766</v>
      </c>
      <c r="K143" s="76">
        <f t="shared" si="21"/>
        <v>30.859394407875541</v>
      </c>
      <c r="L143" s="41">
        <f>'B) D RI'!S144</f>
        <v>68</v>
      </c>
      <c r="M143" s="41">
        <f t="shared" si="16"/>
        <v>37.140605592124459</v>
      </c>
      <c r="N143" s="142">
        <f>'J) Plafonnement effort'!G142+'J) Plafonnement effort'!H142-'K) Plafonnement aide'!I142</f>
        <v>32.704513066199439</v>
      </c>
      <c r="O143" s="142">
        <f t="shared" si="17"/>
        <v>69.845118658323898</v>
      </c>
      <c r="P143" s="55">
        <f t="shared" si="18"/>
        <v>0</v>
      </c>
      <c r="Q143" s="66">
        <f t="shared" si="22"/>
        <v>0</v>
      </c>
      <c r="R143" s="164">
        <f t="shared" si="19"/>
        <v>69.845118658323898</v>
      </c>
      <c r="S143" s="142">
        <f t="shared" si="20"/>
        <v>1.8451186583238979</v>
      </c>
      <c r="T143" s="163"/>
      <c r="V143" s="17"/>
    </row>
    <row r="144" spans="1:22" x14ac:dyDescent="0.25">
      <c r="A144" s="57">
        <f>'A) Base RI'!A145</f>
        <v>5635</v>
      </c>
      <c r="B144" s="64" t="str">
        <f>'A) Base RI'!B145</f>
        <v>Ecublens</v>
      </c>
      <c r="C144" s="172">
        <v>8348731.2384701483</v>
      </c>
      <c r="D144" s="173">
        <v>674549.41838945076</v>
      </c>
      <c r="E144" s="174">
        <v>0</v>
      </c>
      <c r="F144" s="173">
        <v>0</v>
      </c>
      <c r="G144" s="173">
        <v>0</v>
      </c>
      <c r="H144" s="175">
        <f t="shared" si="23"/>
        <v>9023280.6568595991</v>
      </c>
      <c r="I144" s="233">
        <v>470087.75038200343</v>
      </c>
      <c r="J144" s="109">
        <f>'B) D RI'!U145</f>
        <v>424543.31159592536</v>
      </c>
      <c r="K144" s="76">
        <f t="shared" si="21"/>
        <v>19.194885741070866</v>
      </c>
      <c r="L144" s="41">
        <f>'B) D RI'!S145</f>
        <v>62</v>
      </c>
      <c r="M144" s="41">
        <f t="shared" si="16"/>
        <v>42.805114258929137</v>
      </c>
      <c r="N144" s="142">
        <f>'J) Plafonnement effort'!G143+'J) Plafonnement effort'!H143-'K) Plafonnement aide'!I143</f>
        <v>-2.7630697906277248</v>
      </c>
      <c r="O144" s="142">
        <f t="shared" si="17"/>
        <v>40.042044468301413</v>
      </c>
      <c r="P144" s="55">
        <f t="shared" si="18"/>
        <v>0</v>
      </c>
      <c r="Q144" s="66">
        <f t="shared" si="22"/>
        <v>0</v>
      </c>
      <c r="R144" s="164">
        <f t="shared" si="19"/>
        <v>40.042044468301413</v>
      </c>
      <c r="S144" s="142">
        <f t="shared" si="20"/>
        <v>-21.957955531698587</v>
      </c>
      <c r="T144" s="163"/>
      <c r="V144" s="17"/>
    </row>
    <row r="145" spans="1:22" x14ac:dyDescent="0.25">
      <c r="A145" s="57">
        <f>'A) Base RI'!A146</f>
        <v>5636</v>
      </c>
      <c r="B145" s="64" t="str">
        <f>'A) Base RI'!B146</f>
        <v>Etoy</v>
      </c>
      <c r="C145" s="172">
        <v>2923094.4663156457</v>
      </c>
      <c r="D145" s="173">
        <v>2182979.2033095099</v>
      </c>
      <c r="E145" s="174">
        <v>0</v>
      </c>
      <c r="F145" s="173">
        <v>0</v>
      </c>
      <c r="G145" s="173">
        <v>0</v>
      </c>
      <c r="H145" s="175">
        <f t="shared" si="23"/>
        <v>5106073.6696251556</v>
      </c>
      <c r="I145" s="233">
        <v>158779.04229508198</v>
      </c>
      <c r="J145" s="109">
        <f>'B) D RI'!U146</f>
        <v>150854.83475409835</v>
      </c>
      <c r="K145" s="76">
        <f t="shared" si="21"/>
        <v>32.158360422251462</v>
      </c>
      <c r="L145" s="41">
        <f>'B) D RI'!S146</f>
        <v>61</v>
      </c>
      <c r="M145" s="41">
        <f t="shared" si="16"/>
        <v>28.841639577748538</v>
      </c>
      <c r="N145" s="142">
        <f>'J) Plafonnement effort'!G144+'J) Plafonnement effort'!H144-'K) Plafonnement aide'!I144</f>
        <v>45</v>
      </c>
      <c r="O145" s="142">
        <f t="shared" si="17"/>
        <v>73.841639577748538</v>
      </c>
      <c r="P145" s="55">
        <f t="shared" si="18"/>
        <v>0</v>
      </c>
      <c r="Q145" s="66">
        <f t="shared" si="22"/>
        <v>0</v>
      </c>
      <c r="R145" s="164">
        <f t="shared" si="19"/>
        <v>73.841639577748538</v>
      </c>
      <c r="S145" s="142">
        <f t="shared" si="20"/>
        <v>12.841639577748538</v>
      </c>
      <c r="T145" s="163"/>
      <c r="V145" s="17"/>
    </row>
    <row r="146" spans="1:22" x14ac:dyDescent="0.25">
      <c r="A146" s="57">
        <f>'A) Base RI'!A147</f>
        <v>5637</v>
      </c>
      <c r="B146" s="64" t="str">
        <f>'A) Base RI'!B147</f>
        <v>Lavigny</v>
      </c>
      <c r="C146" s="172">
        <v>679849.56611208618</v>
      </c>
      <c r="D146" s="173">
        <v>211720.2665592095</v>
      </c>
      <c r="E146" s="174">
        <v>0</v>
      </c>
      <c r="F146" s="173">
        <v>0</v>
      </c>
      <c r="G146" s="173">
        <v>0</v>
      </c>
      <c r="H146" s="175">
        <f t="shared" si="23"/>
        <v>891569.83267129562</v>
      </c>
      <c r="I146" s="233">
        <v>31075.388277404931</v>
      </c>
      <c r="J146" s="109">
        <f>'B) D RI'!U147</f>
        <v>35788.809619686814</v>
      </c>
      <c r="K146" s="76">
        <f t="shared" si="21"/>
        <v>28.690545222231719</v>
      </c>
      <c r="L146" s="41">
        <f>'B) D RI'!S147</f>
        <v>74.5</v>
      </c>
      <c r="M146" s="41">
        <f t="shared" si="16"/>
        <v>45.809454777768281</v>
      </c>
      <c r="N146" s="142">
        <f>'J) Plafonnement effort'!G145+'J) Plafonnement effort'!H145-'K) Plafonnement aide'!I145</f>
        <v>28.514471137949126</v>
      </c>
      <c r="O146" s="142">
        <f t="shared" si="17"/>
        <v>74.32392591571741</v>
      </c>
      <c r="P146" s="55">
        <f t="shared" si="18"/>
        <v>0</v>
      </c>
      <c r="Q146" s="66">
        <f t="shared" si="22"/>
        <v>0</v>
      </c>
      <c r="R146" s="164">
        <f t="shared" si="19"/>
        <v>74.32392591571741</v>
      </c>
      <c r="S146" s="142">
        <f t="shared" si="20"/>
        <v>-0.17607408428258964</v>
      </c>
      <c r="T146" s="163"/>
      <c r="V146" s="17"/>
    </row>
    <row r="147" spans="1:22" x14ac:dyDescent="0.25">
      <c r="A147" s="57">
        <f>'A) Base RI'!A148</f>
        <v>5638</v>
      </c>
      <c r="B147" s="64" t="str">
        <f>'A) Base RI'!B148</f>
        <v>Lonay</v>
      </c>
      <c r="C147" s="172">
        <v>3527611.0223647961</v>
      </c>
      <c r="D147" s="173">
        <v>2141266.5074204234</v>
      </c>
      <c r="E147" s="174">
        <v>0</v>
      </c>
      <c r="F147" s="173">
        <v>0</v>
      </c>
      <c r="G147" s="173">
        <v>0</v>
      </c>
      <c r="H147" s="175">
        <f t="shared" si="23"/>
        <v>5668877.5297852196</v>
      </c>
      <c r="I147" s="233">
        <v>152475.57054545457</v>
      </c>
      <c r="J147" s="109">
        <f>'B) D RI'!U148</f>
        <v>150874.30218181817</v>
      </c>
      <c r="K147" s="76">
        <f t="shared" si="21"/>
        <v>37.178923217049174</v>
      </c>
      <c r="L147" s="41">
        <f>'B) D RI'!S148</f>
        <v>55</v>
      </c>
      <c r="M147" s="41">
        <f t="shared" si="16"/>
        <v>17.821076782950826</v>
      </c>
      <c r="N147" s="142">
        <f>'J) Plafonnement effort'!G146+'J) Plafonnement effort'!H146-'K) Plafonnement aide'!I146</f>
        <v>31.729050856165827</v>
      </c>
      <c r="O147" s="142">
        <f t="shared" si="17"/>
        <v>49.550127639116653</v>
      </c>
      <c r="P147" s="55">
        <f t="shared" si="18"/>
        <v>0</v>
      </c>
      <c r="Q147" s="66">
        <f t="shared" si="22"/>
        <v>0</v>
      </c>
      <c r="R147" s="164">
        <f t="shared" si="19"/>
        <v>49.550127639116653</v>
      </c>
      <c r="S147" s="142">
        <f t="shared" si="20"/>
        <v>-5.4498723608833473</v>
      </c>
      <c r="T147" s="163"/>
      <c r="V147" s="17"/>
    </row>
    <row r="148" spans="1:22" x14ac:dyDescent="0.25">
      <c r="A148" s="57">
        <f>'A) Base RI'!A149</f>
        <v>5639</v>
      </c>
      <c r="B148" s="64" t="str">
        <f>'A) Base RI'!B149</f>
        <v>Lully</v>
      </c>
      <c r="C148" s="172">
        <v>810499.32332114736</v>
      </c>
      <c r="D148" s="173">
        <v>707554.93399066152</v>
      </c>
      <c r="E148" s="174">
        <v>0</v>
      </c>
      <c r="F148" s="173">
        <v>0</v>
      </c>
      <c r="G148" s="173">
        <v>0</v>
      </c>
      <c r="H148" s="175">
        <f t="shared" si="23"/>
        <v>1518054.2573118089</v>
      </c>
      <c r="I148" s="233">
        <v>42318.428360655736</v>
      </c>
      <c r="J148" s="109">
        <f>'B) D RI'!U149</f>
        <v>41723.705573770494</v>
      </c>
      <c r="K148" s="76">
        <f t="shared" si="21"/>
        <v>35.872179476380872</v>
      </c>
      <c r="L148" s="41">
        <f>'B) D RI'!S149</f>
        <v>61</v>
      </c>
      <c r="M148" s="41">
        <f t="shared" si="16"/>
        <v>25.127820523619128</v>
      </c>
      <c r="N148" s="142">
        <f>'J) Plafonnement effort'!G147+'J) Plafonnement effort'!H147-'K) Plafonnement aide'!I147</f>
        <v>33.840506121186436</v>
      </c>
      <c r="O148" s="142">
        <f t="shared" si="17"/>
        <v>58.968326644805565</v>
      </c>
      <c r="P148" s="55">
        <f t="shared" si="18"/>
        <v>0</v>
      </c>
      <c r="Q148" s="66">
        <f t="shared" si="22"/>
        <v>0</v>
      </c>
      <c r="R148" s="164">
        <f t="shared" si="19"/>
        <v>58.968326644805565</v>
      </c>
      <c r="S148" s="142">
        <f t="shared" si="20"/>
        <v>-2.0316733551944353</v>
      </c>
      <c r="T148" s="163"/>
      <c r="V148" s="17"/>
    </row>
    <row r="149" spans="1:22" x14ac:dyDescent="0.25">
      <c r="A149" s="57">
        <f>'A) Base RI'!A150</f>
        <v>5640</v>
      </c>
      <c r="B149" s="64" t="str">
        <f>'A) Base RI'!B150</f>
        <v>Lussy-sur-Morges</v>
      </c>
      <c r="C149" s="172">
        <v>1052981.6344073536</v>
      </c>
      <c r="D149" s="173">
        <v>732862.81865292718</v>
      </c>
      <c r="E149" s="174">
        <v>0</v>
      </c>
      <c r="F149" s="173">
        <v>0</v>
      </c>
      <c r="G149" s="173">
        <v>0</v>
      </c>
      <c r="H149" s="175">
        <f t="shared" si="23"/>
        <v>1785844.4530602808</v>
      </c>
      <c r="I149" s="233">
        <v>45310.844393939391</v>
      </c>
      <c r="J149" s="109">
        <f>'B) D RI'!U150</f>
        <v>54175.567575757566</v>
      </c>
      <c r="K149" s="76">
        <f t="shared" si="21"/>
        <v>39.413179713312708</v>
      </c>
      <c r="L149" s="41">
        <f>'B) D RI'!S150</f>
        <v>66</v>
      </c>
      <c r="M149" s="41">
        <f t="shared" si="16"/>
        <v>26.586820286687292</v>
      </c>
      <c r="N149" s="142">
        <f>'J) Plafonnement effort'!G148+'J) Plafonnement effort'!H148-'K) Plafonnement aide'!I148</f>
        <v>43.071630310985697</v>
      </c>
      <c r="O149" s="142">
        <f t="shared" si="17"/>
        <v>69.658450597672982</v>
      </c>
      <c r="P149" s="55">
        <f t="shared" si="18"/>
        <v>0</v>
      </c>
      <c r="Q149" s="66">
        <f t="shared" si="22"/>
        <v>0</v>
      </c>
      <c r="R149" s="164">
        <f t="shared" si="19"/>
        <v>69.658450597672982</v>
      </c>
      <c r="S149" s="142">
        <f t="shared" si="20"/>
        <v>3.6584505976729815</v>
      </c>
      <c r="T149" s="163"/>
      <c r="V149" s="17"/>
    </row>
    <row r="150" spans="1:22" x14ac:dyDescent="0.25">
      <c r="A150" s="57">
        <f>'A) Base RI'!A151</f>
        <v>5642</v>
      </c>
      <c r="B150" s="64" t="str">
        <f>'A) Base RI'!B151</f>
        <v>Morges</v>
      </c>
      <c r="C150" s="172">
        <v>13561761.739018923</v>
      </c>
      <c r="D150" s="173">
        <v>2997940.1100084819</v>
      </c>
      <c r="E150" s="174">
        <v>0</v>
      </c>
      <c r="F150" s="173">
        <v>0</v>
      </c>
      <c r="G150" s="173">
        <v>0</v>
      </c>
      <c r="H150" s="175">
        <f t="shared" si="23"/>
        <v>16559701.849027405</v>
      </c>
      <c r="I150" s="233">
        <v>715380.13065693423</v>
      </c>
      <c r="J150" s="109">
        <f>'B) D RI'!U151</f>
        <v>781778.61635036487</v>
      </c>
      <c r="K150" s="76">
        <f t="shared" si="21"/>
        <v>23.14811544153542</v>
      </c>
      <c r="L150" s="41">
        <f>'B) D RI'!S151</f>
        <v>68.5</v>
      </c>
      <c r="M150" s="41">
        <f t="shared" si="16"/>
        <v>45.351884558464576</v>
      </c>
      <c r="N150" s="142">
        <f>'J) Plafonnement effort'!G149+'J) Plafonnement effort'!H149-'K) Plafonnement aide'!I149</f>
        <v>22.754030183309904</v>
      </c>
      <c r="O150" s="142">
        <f t="shared" si="17"/>
        <v>68.105914741774484</v>
      </c>
      <c r="P150" s="55">
        <f t="shared" si="18"/>
        <v>0</v>
      </c>
      <c r="Q150" s="66">
        <f t="shared" si="22"/>
        <v>0</v>
      </c>
      <c r="R150" s="164">
        <f t="shared" si="19"/>
        <v>68.105914741774484</v>
      </c>
      <c r="S150" s="142">
        <f t="shared" si="20"/>
        <v>-0.3940852582255161</v>
      </c>
      <c r="T150" s="163"/>
      <c r="V150" s="17"/>
    </row>
    <row r="151" spans="1:22" x14ac:dyDescent="0.25">
      <c r="A151" s="57">
        <f>'A) Base RI'!A152</f>
        <v>5643</v>
      </c>
      <c r="B151" s="64" t="str">
        <f>'A) Base RI'!B152</f>
        <v>Préverenges</v>
      </c>
      <c r="C151" s="172">
        <v>4337283.9354185071</v>
      </c>
      <c r="D151" s="173">
        <v>2705035.6390614272</v>
      </c>
      <c r="E151" s="174">
        <v>0</v>
      </c>
      <c r="F151" s="173">
        <v>0</v>
      </c>
      <c r="G151" s="173">
        <v>0</v>
      </c>
      <c r="H151" s="175">
        <f t="shared" si="23"/>
        <v>7042319.5744799338</v>
      </c>
      <c r="I151" s="233">
        <v>249793.53640625</v>
      </c>
      <c r="J151" s="109">
        <f>'B) D RI'!U152</f>
        <v>262779.91921874997</v>
      </c>
      <c r="K151" s="76">
        <f t="shared" si="21"/>
        <v>28.192561247968825</v>
      </c>
      <c r="L151" s="41">
        <f>'B) D RI'!S152</f>
        <v>64</v>
      </c>
      <c r="M151" s="41">
        <f t="shared" si="16"/>
        <v>35.807438752031175</v>
      </c>
      <c r="N151" s="142">
        <f>'J) Plafonnement effort'!G150+'J) Plafonnement effort'!H150-'K) Plafonnement aide'!I150</f>
        <v>28.635631035992457</v>
      </c>
      <c r="O151" s="142">
        <f t="shared" si="17"/>
        <v>64.443069788023635</v>
      </c>
      <c r="P151" s="55">
        <f t="shared" si="18"/>
        <v>0</v>
      </c>
      <c r="Q151" s="66">
        <f t="shared" si="22"/>
        <v>0</v>
      </c>
      <c r="R151" s="164">
        <f t="shared" si="19"/>
        <v>64.443069788023635</v>
      </c>
      <c r="S151" s="142">
        <f t="shared" si="20"/>
        <v>0.44306978802363517</v>
      </c>
      <c r="T151" s="163"/>
      <c r="V151" s="17"/>
    </row>
    <row r="152" spans="1:22" x14ac:dyDescent="0.25">
      <c r="A152" s="57">
        <f>'A) Base RI'!A153</f>
        <v>5644</v>
      </c>
      <c r="B152" s="64" t="str">
        <f>'A) Base RI'!B153</f>
        <v>Reverolle</v>
      </c>
      <c r="C152" s="172">
        <v>293092.49818841118</v>
      </c>
      <c r="D152" s="173">
        <v>247846.68688976433</v>
      </c>
      <c r="E152" s="174">
        <v>0</v>
      </c>
      <c r="F152" s="173">
        <v>0</v>
      </c>
      <c r="G152" s="173">
        <v>0</v>
      </c>
      <c r="H152" s="175">
        <f t="shared" si="23"/>
        <v>540939.18507817551</v>
      </c>
      <c r="I152" s="233">
        <v>15594.857631578949</v>
      </c>
      <c r="J152" s="109">
        <f>'B) D RI'!U153</f>
        <v>14128.860263157892</v>
      </c>
      <c r="K152" s="76">
        <f t="shared" si="21"/>
        <v>34.687022982678329</v>
      </c>
      <c r="L152" s="41">
        <f>'B) D RI'!S153</f>
        <v>76</v>
      </c>
      <c r="M152" s="41">
        <f t="shared" si="16"/>
        <v>41.312977017321671</v>
      </c>
      <c r="N152" s="142">
        <f>'J) Plafonnement effort'!G151+'J) Plafonnement effort'!H151-'K) Plafonnement aide'!I151</f>
        <v>27.628120110478424</v>
      </c>
      <c r="O152" s="142">
        <f t="shared" si="17"/>
        <v>68.941097127800091</v>
      </c>
      <c r="P152" s="55">
        <f t="shared" si="18"/>
        <v>0</v>
      </c>
      <c r="Q152" s="66">
        <f t="shared" si="22"/>
        <v>0</v>
      </c>
      <c r="R152" s="164">
        <f t="shared" si="19"/>
        <v>68.941097127800091</v>
      </c>
      <c r="S152" s="142">
        <f t="shared" si="20"/>
        <v>-7.0589028721999085</v>
      </c>
      <c r="T152" s="163"/>
      <c r="V152" s="17"/>
    </row>
    <row r="153" spans="1:22" x14ac:dyDescent="0.25">
      <c r="A153" s="57">
        <f>'A) Base RI'!A154</f>
        <v>5645</v>
      </c>
      <c r="B153" s="64" t="str">
        <f>'A) Base RI'!B154</f>
        <v>Romanel-sur-Morges</v>
      </c>
      <c r="C153" s="172">
        <v>436438.86800029129</v>
      </c>
      <c r="D153" s="173">
        <v>424770.18467387825</v>
      </c>
      <c r="E153" s="174">
        <v>0</v>
      </c>
      <c r="F153" s="173">
        <v>0</v>
      </c>
      <c r="G153" s="173">
        <v>0</v>
      </c>
      <c r="H153" s="175">
        <f t="shared" si="23"/>
        <v>861209.05267416954</v>
      </c>
      <c r="I153" s="233">
        <v>25378.60526785714</v>
      </c>
      <c r="J153" s="109">
        <f>'B) D RI'!U154</f>
        <v>26355.884598214288</v>
      </c>
      <c r="K153" s="76">
        <f t="shared" si="21"/>
        <v>33.934451621142472</v>
      </c>
      <c r="L153" s="41">
        <f>'B) D RI'!S154</f>
        <v>56</v>
      </c>
      <c r="M153" s="41">
        <f t="shared" si="16"/>
        <v>22.065548378857528</v>
      </c>
      <c r="N153" s="142">
        <f>'J) Plafonnement effort'!G152+'J) Plafonnement effort'!H152-'K) Plafonnement aide'!I152</f>
        <v>34.824828438352853</v>
      </c>
      <c r="O153" s="142">
        <f t="shared" si="17"/>
        <v>56.890376817210381</v>
      </c>
      <c r="P153" s="55">
        <f t="shared" si="18"/>
        <v>0</v>
      </c>
      <c r="Q153" s="66">
        <f t="shared" si="22"/>
        <v>0</v>
      </c>
      <c r="R153" s="164">
        <f t="shared" si="19"/>
        <v>56.890376817210381</v>
      </c>
      <c r="S153" s="142">
        <f t="shared" si="20"/>
        <v>0.89037681721038098</v>
      </c>
      <c r="T153" s="163"/>
      <c r="V153" s="17"/>
    </row>
    <row r="154" spans="1:22" x14ac:dyDescent="0.25">
      <c r="A154" s="57">
        <f>'A) Base RI'!A155</f>
        <v>5646</v>
      </c>
      <c r="B154" s="64" t="str">
        <f>'A) Base RI'!B155</f>
        <v>Saint-Prex</v>
      </c>
      <c r="C154" s="172">
        <v>6416507.9497518651</v>
      </c>
      <c r="D154" s="173">
        <v>3564125.9792294009</v>
      </c>
      <c r="E154" s="174">
        <v>0</v>
      </c>
      <c r="F154" s="173">
        <v>0</v>
      </c>
      <c r="G154" s="173">
        <v>0</v>
      </c>
      <c r="H154" s="175">
        <f t="shared" si="23"/>
        <v>9980633.9289812669</v>
      </c>
      <c r="I154" s="233">
        <v>307317.64145454549</v>
      </c>
      <c r="J154" s="109">
        <f>'B) D RI'!U155</f>
        <v>529776.58672727272</v>
      </c>
      <c r="K154" s="76">
        <f t="shared" si="21"/>
        <v>32.476605904374921</v>
      </c>
      <c r="L154" s="41">
        <f>'B) D RI'!S155</f>
        <v>55</v>
      </c>
      <c r="M154" s="41">
        <f t="shared" si="16"/>
        <v>22.523394095625079</v>
      </c>
      <c r="N154" s="142">
        <f>'J) Plafonnement effort'!G153+'J) Plafonnement effort'!H153-'K) Plafonnement aide'!I153</f>
        <v>37.988586466589119</v>
      </c>
      <c r="O154" s="142">
        <f t="shared" si="17"/>
        <v>60.511980562214198</v>
      </c>
      <c r="P154" s="55">
        <f t="shared" si="18"/>
        <v>0</v>
      </c>
      <c r="Q154" s="66">
        <f t="shared" si="22"/>
        <v>0</v>
      </c>
      <c r="R154" s="164">
        <f t="shared" si="19"/>
        <v>60.511980562214198</v>
      </c>
      <c r="S154" s="142">
        <f t="shared" si="20"/>
        <v>5.5119805622141982</v>
      </c>
      <c r="T154" s="163"/>
      <c r="V154" s="17"/>
    </row>
    <row r="155" spans="1:22" x14ac:dyDescent="0.25">
      <c r="A155" s="57">
        <f>'A) Base RI'!A156</f>
        <v>5648</v>
      </c>
      <c r="B155" s="64" t="str">
        <f>'A) Base RI'!B156</f>
        <v>Saint-Sulpice</v>
      </c>
      <c r="C155" s="172">
        <v>7802896.1877138</v>
      </c>
      <c r="D155" s="173">
        <v>4013657.8659073091</v>
      </c>
      <c r="E155" s="174">
        <v>0</v>
      </c>
      <c r="F155" s="173">
        <v>0</v>
      </c>
      <c r="G155" s="173">
        <v>0</v>
      </c>
      <c r="H155" s="175">
        <f t="shared" si="23"/>
        <v>11816554.05362111</v>
      </c>
      <c r="I155" s="233">
        <v>307335.61263636366</v>
      </c>
      <c r="J155" s="109">
        <f>'B) D RI'!U156</f>
        <v>320539.61704545456</v>
      </c>
      <c r="K155" s="76">
        <f t="shared" si="21"/>
        <v>38.448372293263439</v>
      </c>
      <c r="L155" s="41">
        <f>'B) D RI'!S156</f>
        <v>55</v>
      </c>
      <c r="M155" s="41">
        <f t="shared" si="16"/>
        <v>16.551627706736561</v>
      </c>
      <c r="N155" s="142">
        <f>'J) Plafonnement effort'!G154+'J) Plafonnement effort'!H154-'K) Plafonnement aide'!I154</f>
        <v>38.229078891542095</v>
      </c>
      <c r="O155" s="142">
        <f t="shared" si="17"/>
        <v>54.780706598278655</v>
      </c>
      <c r="P155" s="55">
        <f t="shared" si="18"/>
        <v>0</v>
      </c>
      <c r="Q155" s="66">
        <f t="shared" si="22"/>
        <v>0</v>
      </c>
      <c r="R155" s="164">
        <f t="shared" si="19"/>
        <v>54.780706598278655</v>
      </c>
      <c r="S155" s="142">
        <f t="shared" si="20"/>
        <v>-0.21929340172134459</v>
      </c>
      <c r="T155" s="163"/>
      <c r="V155" s="17"/>
    </row>
    <row r="156" spans="1:22" x14ac:dyDescent="0.25">
      <c r="A156" s="57">
        <f>'A) Base RI'!A157</f>
        <v>5649</v>
      </c>
      <c r="B156" s="64" t="str">
        <f>'A) Base RI'!B157</f>
        <v>Tolochenaz</v>
      </c>
      <c r="C156" s="172">
        <v>2185929.7032157662</v>
      </c>
      <c r="D156" s="173">
        <v>1601816.1853444818</v>
      </c>
      <c r="E156" s="174">
        <v>0</v>
      </c>
      <c r="F156" s="173">
        <v>0</v>
      </c>
      <c r="G156" s="173">
        <v>0</v>
      </c>
      <c r="H156" s="175">
        <f t="shared" si="23"/>
        <v>3787745.8885602481</v>
      </c>
      <c r="I156" s="233">
        <v>109360.12415384616</v>
      </c>
      <c r="J156" s="109">
        <f>'B) D RI'!U157</f>
        <v>78727.730769230766</v>
      </c>
      <c r="K156" s="76">
        <f t="shared" si="21"/>
        <v>34.635530252614792</v>
      </c>
      <c r="L156" s="41">
        <f>'B) D RI'!S157</f>
        <v>65</v>
      </c>
      <c r="M156" s="41">
        <f t="shared" si="16"/>
        <v>30.364469747385208</v>
      </c>
      <c r="N156" s="142">
        <f>'J) Plafonnement effort'!G155+'J) Plafonnement effort'!H155-'K) Plafonnement aide'!I155</f>
        <v>32.746986736832945</v>
      </c>
      <c r="O156" s="142">
        <f t="shared" si="17"/>
        <v>63.111456484218152</v>
      </c>
      <c r="P156" s="55">
        <f t="shared" si="18"/>
        <v>0</v>
      </c>
      <c r="Q156" s="66">
        <f t="shared" si="22"/>
        <v>0</v>
      </c>
      <c r="R156" s="164">
        <f t="shared" si="19"/>
        <v>63.111456484218152</v>
      </c>
      <c r="S156" s="142">
        <f t="shared" si="20"/>
        <v>-1.8885435157818478</v>
      </c>
      <c r="T156" s="163"/>
      <c r="V156" s="17"/>
    </row>
    <row r="157" spans="1:22" x14ac:dyDescent="0.25">
      <c r="A157" s="57">
        <f>'A) Base RI'!A158</f>
        <v>5650</v>
      </c>
      <c r="B157" s="64" t="str">
        <f>'A) Base RI'!B158</f>
        <v>Vaux-sur-Morges</v>
      </c>
      <c r="C157" s="172">
        <v>6151006.4621015824</v>
      </c>
      <c r="D157" s="173">
        <v>2064675.0750422338</v>
      </c>
      <c r="E157" s="174">
        <v>0</v>
      </c>
      <c r="F157" s="173">
        <v>0</v>
      </c>
      <c r="G157" s="173">
        <v>0</v>
      </c>
      <c r="H157" s="175">
        <f t="shared" si="23"/>
        <v>8215681.5371438162</v>
      </c>
      <c r="I157" s="233">
        <v>185061.46846153846</v>
      </c>
      <c r="J157" s="109">
        <f>'B) D RI'!U158</f>
        <v>167594.44571428568</v>
      </c>
      <c r="K157" s="76">
        <f t="shared" si="21"/>
        <v>44.39433884018537</v>
      </c>
      <c r="L157" s="41">
        <f>'B) D RI'!S158</f>
        <v>56</v>
      </c>
      <c r="M157" s="41">
        <f t="shared" si="16"/>
        <v>11.60566115981463</v>
      </c>
      <c r="N157" s="142">
        <f>'J) Plafonnement effort'!G156+'J) Plafonnement effort'!H156-'K) Plafonnement aide'!I156</f>
        <v>45</v>
      </c>
      <c r="O157" s="142">
        <f t="shared" si="17"/>
        <v>56.60566115981463</v>
      </c>
      <c r="P157" s="55">
        <f t="shared" si="18"/>
        <v>0</v>
      </c>
      <c r="Q157" s="66">
        <f t="shared" si="22"/>
        <v>0</v>
      </c>
      <c r="R157" s="164">
        <f t="shared" si="19"/>
        <v>56.60566115981463</v>
      </c>
      <c r="S157" s="142">
        <f t="shared" si="20"/>
        <v>0.60566115981463042</v>
      </c>
      <c r="T157" s="163"/>
      <c r="V157" s="17"/>
    </row>
    <row r="158" spans="1:22" x14ac:dyDescent="0.25">
      <c r="A158" s="57">
        <f>'A) Base RI'!A159</f>
        <v>5651</v>
      </c>
      <c r="B158" s="64" t="str">
        <f>'A) Base RI'!B159</f>
        <v>Villars-Sainte-Croix</v>
      </c>
      <c r="C158" s="172">
        <v>850524.19484126242</v>
      </c>
      <c r="D158" s="173">
        <v>632869.28788784868</v>
      </c>
      <c r="E158" s="174">
        <v>0</v>
      </c>
      <c r="F158" s="173">
        <v>0</v>
      </c>
      <c r="G158" s="173">
        <v>0</v>
      </c>
      <c r="H158" s="175">
        <f t="shared" si="23"/>
        <v>1483393.4827291111</v>
      </c>
      <c r="I158" s="233">
        <v>37823.297796610175</v>
      </c>
      <c r="J158" s="109">
        <f>'B) D RI'!U159</f>
        <v>39092.930338983046</v>
      </c>
      <c r="K158" s="76">
        <f t="shared" si="21"/>
        <v>39.219041414787917</v>
      </c>
      <c r="L158" s="41">
        <f>'B) D RI'!S159</f>
        <v>59</v>
      </c>
      <c r="M158" s="41">
        <f t="shared" si="16"/>
        <v>19.780958585212083</v>
      </c>
      <c r="N158" s="142">
        <f>'J) Plafonnement effort'!G157+'J) Plafonnement effort'!H157-'K) Plafonnement aide'!I157</f>
        <v>37.563175660808767</v>
      </c>
      <c r="O158" s="142">
        <f t="shared" si="17"/>
        <v>57.34413424602085</v>
      </c>
      <c r="P158" s="55">
        <f t="shared" si="18"/>
        <v>0</v>
      </c>
      <c r="Q158" s="66">
        <f t="shared" si="22"/>
        <v>0</v>
      </c>
      <c r="R158" s="164">
        <f t="shared" si="19"/>
        <v>57.34413424602085</v>
      </c>
      <c r="S158" s="142">
        <f t="shared" si="20"/>
        <v>-1.6558657539791497</v>
      </c>
      <c r="T158" s="163"/>
      <c r="V158" s="17"/>
    </row>
    <row r="159" spans="1:22" x14ac:dyDescent="0.25">
      <c r="A159" s="57">
        <f>'A) Base RI'!A160</f>
        <v>5652</v>
      </c>
      <c r="B159" s="64" t="str">
        <f>'A) Base RI'!B160</f>
        <v>Villars-sous-Yens</v>
      </c>
      <c r="C159" s="172">
        <v>395310.5962470274</v>
      </c>
      <c r="D159" s="173">
        <v>355394.79968931573</v>
      </c>
      <c r="E159" s="174">
        <v>0</v>
      </c>
      <c r="F159" s="173">
        <v>0</v>
      </c>
      <c r="G159" s="173">
        <v>0</v>
      </c>
      <c r="H159" s="175">
        <f t="shared" si="23"/>
        <v>750705.39593634312</v>
      </c>
      <c r="I159" s="233">
        <v>23640.281403508772</v>
      </c>
      <c r="J159" s="109">
        <f>'B) D RI'!U160</f>
        <v>21921.455131578947</v>
      </c>
      <c r="K159" s="76">
        <f t="shared" si="21"/>
        <v>31.755349402267303</v>
      </c>
      <c r="L159" s="41">
        <f>'B) D RI'!S160</f>
        <v>76</v>
      </c>
      <c r="M159" s="41">
        <f t="shared" si="16"/>
        <v>44.244650597732701</v>
      </c>
      <c r="N159" s="142">
        <f>'J) Plafonnement effort'!G158+'J) Plafonnement effort'!H158-'K) Plafonnement aide'!I158</f>
        <v>26.431195277561464</v>
      </c>
      <c r="O159" s="142">
        <f t="shared" si="17"/>
        <v>70.675845875294158</v>
      </c>
      <c r="P159" s="55">
        <f t="shared" si="18"/>
        <v>0</v>
      </c>
      <c r="Q159" s="66">
        <f t="shared" si="22"/>
        <v>0</v>
      </c>
      <c r="R159" s="164">
        <f t="shared" si="19"/>
        <v>70.675845875294158</v>
      </c>
      <c r="S159" s="142">
        <f t="shared" si="20"/>
        <v>-5.3241541247058422</v>
      </c>
      <c r="T159" s="163"/>
      <c r="V159" s="17"/>
    </row>
    <row r="160" spans="1:22" x14ac:dyDescent="0.25">
      <c r="A160" s="57">
        <f>'A) Base RI'!A161</f>
        <v>5653</v>
      </c>
      <c r="B160" s="64" t="str">
        <f>'A) Base RI'!B161</f>
        <v>Vufflens-le-Château</v>
      </c>
      <c r="C160" s="172">
        <v>1272400.1544387648</v>
      </c>
      <c r="D160" s="173">
        <v>960379.31635636371</v>
      </c>
      <c r="E160" s="174">
        <v>0</v>
      </c>
      <c r="F160" s="173">
        <v>0</v>
      </c>
      <c r="G160" s="173">
        <v>0</v>
      </c>
      <c r="H160" s="175">
        <f t="shared" si="23"/>
        <v>2232779.4707951285</v>
      </c>
      <c r="I160" s="233">
        <v>59809.956818181818</v>
      </c>
      <c r="J160" s="109">
        <f>'B) D RI'!U161</f>
        <v>61105.159227272721</v>
      </c>
      <c r="K160" s="76">
        <f t="shared" si="21"/>
        <v>37.331233620225234</v>
      </c>
      <c r="L160" s="41">
        <f>'B) D RI'!S161</f>
        <v>55</v>
      </c>
      <c r="M160" s="41">
        <f t="shared" si="16"/>
        <v>17.668766379774766</v>
      </c>
      <c r="N160" s="142">
        <f>'J) Plafonnement effort'!G159+'J) Plafonnement effort'!H159-'K) Plafonnement aide'!I159</f>
        <v>37.557721734789588</v>
      </c>
      <c r="O160" s="142">
        <f t="shared" si="17"/>
        <v>55.226488114564354</v>
      </c>
      <c r="P160" s="55">
        <f t="shared" si="18"/>
        <v>0</v>
      </c>
      <c r="Q160" s="66">
        <f t="shared" si="22"/>
        <v>0</v>
      </c>
      <c r="R160" s="164">
        <f t="shared" si="19"/>
        <v>55.226488114564354</v>
      </c>
      <c r="S160" s="142">
        <f t="shared" si="20"/>
        <v>0.22648811456435425</v>
      </c>
      <c r="T160" s="163"/>
      <c r="V160" s="17"/>
    </row>
    <row r="161" spans="1:22" x14ac:dyDescent="0.25">
      <c r="A161" s="57">
        <f>'A) Base RI'!A162</f>
        <v>5654</v>
      </c>
      <c r="B161" s="64" t="str">
        <f>'A) Base RI'!B162</f>
        <v>Vullierens</v>
      </c>
      <c r="C161" s="172">
        <v>330656.55214299087</v>
      </c>
      <c r="D161" s="173">
        <v>192944.42936179772</v>
      </c>
      <c r="E161" s="174">
        <v>0</v>
      </c>
      <c r="F161" s="173">
        <v>0</v>
      </c>
      <c r="G161" s="173">
        <v>0</v>
      </c>
      <c r="H161" s="175">
        <f t="shared" si="23"/>
        <v>523600.98150478862</v>
      </c>
      <c r="I161" s="233">
        <v>16948.890394736845</v>
      </c>
      <c r="J161" s="109">
        <f>'B) D RI'!U162</f>
        <v>17141.735000000001</v>
      </c>
      <c r="K161" s="76">
        <f t="shared" si="21"/>
        <v>30.892935720876626</v>
      </c>
      <c r="L161" s="41">
        <f>'B) D RI'!S162</f>
        <v>76</v>
      </c>
      <c r="M161" s="41">
        <f t="shared" si="16"/>
        <v>45.107064279123378</v>
      </c>
      <c r="N161" s="142">
        <f>'J) Plafonnement effort'!G160+'J) Plafonnement effort'!H160-'K) Plafonnement aide'!I160</f>
        <v>23.136962469570449</v>
      </c>
      <c r="O161" s="142">
        <f t="shared" si="17"/>
        <v>68.244026748693827</v>
      </c>
      <c r="P161" s="55">
        <f t="shared" si="18"/>
        <v>0</v>
      </c>
      <c r="Q161" s="66">
        <f t="shared" si="22"/>
        <v>0</v>
      </c>
      <c r="R161" s="164">
        <f t="shared" si="19"/>
        <v>68.244026748693827</v>
      </c>
      <c r="S161" s="142">
        <f t="shared" si="20"/>
        <v>-7.7559732513061732</v>
      </c>
      <c r="T161" s="163"/>
      <c r="V161" s="17"/>
    </row>
    <row r="162" spans="1:22" x14ac:dyDescent="0.25">
      <c r="A162" s="57">
        <f>'A) Base RI'!A163</f>
        <v>5655</v>
      </c>
      <c r="B162" s="64" t="str">
        <f>'A) Base RI'!B163</f>
        <v>Yens</v>
      </c>
      <c r="C162" s="172">
        <v>1473609.4142498518</v>
      </c>
      <c r="D162" s="173">
        <v>1026654.0394029152</v>
      </c>
      <c r="E162" s="174">
        <v>0</v>
      </c>
      <c r="F162" s="173">
        <v>0</v>
      </c>
      <c r="G162" s="173">
        <v>0</v>
      </c>
      <c r="H162" s="175">
        <f t="shared" si="23"/>
        <v>2500263.453652767</v>
      </c>
      <c r="I162" s="233">
        <v>68107.282191780832</v>
      </c>
      <c r="J162" s="109">
        <f>'B) D RI'!U163</f>
        <v>83580.564109589031</v>
      </c>
      <c r="K162" s="76">
        <f t="shared" si="21"/>
        <v>36.710662548717856</v>
      </c>
      <c r="L162" s="41">
        <f>'B) D RI'!S163</f>
        <v>73</v>
      </c>
      <c r="M162" s="41">
        <f t="shared" si="16"/>
        <v>36.289337451282144</v>
      </c>
      <c r="N162" s="142">
        <f>'J) Plafonnement effort'!G161+'J) Plafonnement effort'!H161-'K) Plafonnement aide'!I161</f>
        <v>34.016421851275048</v>
      </c>
      <c r="O162" s="142">
        <f t="shared" si="17"/>
        <v>70.305759302557192</v>
      </c>
      <c r="P162" s="55">
        <f t="shared" si="18"/>
        <v>0</v>
      </c>
      <c r="Q162" s="66">
        <f t="shared" si="22"/>
        <v>0</v>
      </c>
      <c r="R162" s="164">
        <f t="shared" si="19"/>
        <v>70.305759302557192</v>
      </c>
      <c r="S162" s="142">
        <f t="shared" si="20"/>
        <v>-2.6942406974428081</v>
      </c>
      <c r="T162" s="163"/>
      <c r="V162" s="17"/>
    </row>
    <row r="163" spans="1:22" x14ac:dyDescent="0.25">
      <c r="A163" s="57">
        <f>'A) Base RI'!A164</f>
        <v>5661</v>
      </c>
      <c r="B163" s="64" t="str">
        <f>'A) Base RI'!B164</f>
        <v>Boulens</v>
      </c>
      <c r="C163" s="172">
        <v>131886.27233684238</v>
      </c>
      <c r="D163" s="173">
        <v>-71921.454233646509</v>
      </c>
      <c r="E163" s="174">
        <v>0</v>
      </c>
      <c r="F163" s="173">
        <v>0</v>
      </c>
      <c r="G163" s="173">
        <v>0</v>
      </c>
      <c r="H163" s="175">
        <f t="shared" si="23"/>
        <v>59964.818103195867</v>
      </c>
      <c r="I163" s="233">
        <v>7277.4751898734185</v>
      </c>
      <c r="J163" s="109">
        <f>'B) D RI'!U164</f>
        <v>9592.9711392405043</v>
      </c>
      <c r="K163" s="76">
        <f t="shared" si="21"/>
        <v>8.2397832405717715</v>
      </c>
      <c r="L163" s="41">
        <f>'B) D RI'!S164</f>
        <v>79</v>
      </c>
      <c r="M163" s="41">
        <f t="shared" si="16"/>
        <v>70.760216759428232</v>
      </c>
      <c r="N163" s="142">
        <f>'J) Plafonnement effort'!G162+'J) Plafonnement effort'!H162-'K) Plafonnement aide'!I162</f>
        <v>9.7505654847419763</v>
      </c>
      <c r="O163" s="142">
        <f t="shared" si="17"/>
        <v>80.510782244170201</v>
      </c>
      <c r="P163" s="55">
        <f t="shared" si="18"/>
        <v>0</v>
      </c>
      <c r="Q163" s="66">
        <f t="shared" si="22"/>
        <v>0</v>
      </c>
      <c r="R163" s="164">
        <f t="shared" si="19"/>
        <v>80.510782244170201</v>
      </c>
      <c r="S163" s="142">
        <f t="shared" si="20"/>
        <v>1.5107822441702012</v>
      </c>
      <c r="T163" s="163"/>
      <c r="V163" s="17"/>
    </row>
    <row r="164" spans="1:22" x14ac:dyDescent="0.25">
      <c r="A164" s="57">
        <f>'A) Base RI'!A165</f>
        <v>5663</v>
      </c>
      <c r="B164" s="64" t="str">
        <f>'A) Base RI'!B165</f>
        <v>Bussy-sur-Moudon</v>
      </c>
      <c r="C164" s="172">
        <v>108372.06402374632</v>
      </c>
      <c r="D164" s="173">
        <v>-21632.723364913574</v>
      </c>
      <c r="E164" s="174">
        <v>0</v>
      </c>
      <c r="F164" s="173">
        <v>0</v>
      </c>
      <c r="G164" s="173">
        <v>0</v>
      </c>
      <c r="H164" s="175">
        <f t="shared" si="23"/>
        <v>86739.340658832749</v>
      </c>
      <c r="I164" s="233">
        <v>4999.1039999999994</v>
      </c>
      <c r="J164" s="109">
        <f>'B) D RI'!U165</f>
        <v>5468.4132499999996</v>
      </c>
      <c r="K164" s="76">
        <f t="shared" si="21"/>
        <v>17.350977426921457</v>
      </c>
      <c r="L164" s="41">
        <f>'B) D RI'!S165</f>
        <v>80</v>
      </c>
      <c r="M164" s="41">
        <f t="shared" si="16"/>
        <v>62.64902257307854</v>
      </c>
      <c r="N164" s="142">
        <f>'J) Plafonnement effort'!G163+'J) Plafonnement effort'!H163-'K) Plafonnement aide'!I163</f>
        <v>3.84133487777091</v>
      </c>
      <c r="O164" s="142">
        <f t="shared" si="17"/>
        <v>66.490357450849444</v>
      </c>
      <c r="P164" s="55">
        <f t="shared" si="18"/>
        <v>0</v>
      </c>
      <c r="Q164" s="66">
        <f t="shared" si="22"/>
        <v>0</v>
      </c>
      <c r="R164" s="164">
        <f t="shared" si="19"/>
        <v>66.490357450849444</v>
      </c>
      <c r="S164" s="142">
        <f t="shared" si="20"/>
        <v>-13.509642549150556</v>
      </c>
      <c r="T164" s="163"/>
      <c r="V164" s="17"/>
    </row>
    <row r="165" spans="1:22" x14ac:dyDescent="0.25">
      <c r="A165" s="57">
        <f>'A) Base RI'!A166</f>
        <v>5665</v>
      </c>
      <c r="B165" s="64" t="str">
        <f>'A) Base RI'!B166</f>
        <v>Chavannes-sur-Moudon</v>
      </c>
      <c r="C165" s="172">
        <v>75053.270825670013</v>
      </c>
      <c r="D165" s="173">
        <v>-36249.124164854322</v>
      </c>
      <c r="E165" s="174">
        <v>0</v>
      </c>
      <c r="F165" s="173">
        <v>0</v>
      </c>
      <c r="G165" s="173">
        <v>0</v>
      </c>
      <c r="H165" s="175">
        <f t="shared" si="23"/>
        <v>38804.146660815692</v>
      </c>
      <c r="I165" s="233">
        <v>4834.5158333333329</v>
      </c>
      <c r="J165" s="109">
        <f>'B) D RI'!U166</f>
        <v>4982.8790410958891</v>
      </c>
      <c r="K165" s="76">
        <f t="shared" si="21"/>
        <v>8.0264804167702479</v>
      </c>
      <c r="L165" s="41">
        <f>'B) D RI'!S166</f>
        <v>73</v>
      </c>
      <c r="M165" s="41">
        <f t="shared" si="16"/>
        <v>64.973519583229745</v>
      </c>
      <c r="N165" s="142">
        <f>'J) Plafonnement effort'!G164+'J) Plafonnement effort'!H164-'K) Plafonnement aide'!I164</f>
        <v>5.8409659613304719</v>
      </c>
      <c r="O165" s="142">
        <f t="shared" si="17"/>
        <v>70.814485544560213</v>
      </c>
      <c r="P165" s="55">
        <f t="shared" si="18"/>
        <v>0</v>
      </c>
      <c r="Q165" s="66">
        <f t="shared" si="22"/>
        <v>0</v>
      </c>
      <c r="R165" s="164">
        <f t="shared" si="19"/>
        <v>70.814485544560213</v>
      </c>
      <c r="S165" s="142">
        <f t="shared" si="20"/>
        <v>-2.1855144554397867</v>
      </c>
      <c r="T165" s="163"/>
      <c r="V165" s="17"/>
    </row>
    <row r="166" spans="1:22" x14ac:dyDescent="0.25">
      <c r="A166" s="57">
        <f>'A) Base RI'!A167</f>
        <v>5669</v>
      </c>
      <c r="B166" s="64" t="str">
        <f>'A) Base RI'!B167</f>
        <v>Curtilles</v>
      </c>
      <c r="C166" s="172">
        <v>178231.45733208026</v>
      </c>
      <c r="D166" s="173">
        <v>27903.1193304935</v>
      </c>
      <c r="E166" s="174">
        <v>0</v>
      </c>
      <c r="F166" s="173">
        <v>0</v>
      </c>
      <c r="G166" s="173">
        <v>0</v>
      </c>
      <c r="H166" s="175">
        <f t="shared" si="23"/>
        <v>206134.57666257376</v>
      </c>
      <c r="I166" s="233">
        <v>8707.7998611111107</v>
      </c>
      <c r="J166" s="109">
        <f>'B) D RI'!U167</f>
        <v>8279.174027777779</v>
      </c>
      <c r="K166" s="76">
        <f t="shared" si="21"/>
        <v>23.672406342636254</v>
      </c>
      <c r="L166" s="41">
        <f>'B) D RI'!S167</f>
        <v>72</v>
      </c>
      <c r="M166" s="41">
        <f t="shared" si="16"/>
        <v>48.327593657363749</v>
      </c>
      <c r="N166" s="142">
        <f>'J) Plafonnement effort'!G165+'J) Plafonnement effort'!H165-'K) Plafonnement aide'!I165</f>
        <v>11.593984234875929</v>
      </c>
      <c r="O166" s="142">
        <f t="shared" si="17"/>
        <v>59.921577892239682</v>
      </c>
      <c r="P166" s="55">
        <f t="shared" si="18"/>
        <v>0</v>
      </c>
      <c r="Q166" s="66">
        <f t="shared" si="22"/>
        <v>0</v>
      </c>
      <c r="R166" s="164">
        <f t="shared" si="19"/>
        <v>59.921577892239682</v>
      </c>
      <c r="S166" s="142">
        <f t="shared" si="20"/>
        <v>-12.078422107760318</v>
      </c>
      <c r="T166" s="163"/>
      <c r="V166" s="17"/>
    </row>
    <row r="167" spans="1:22" x14ac:dyDescent="0.25">
      <c r="A167" s="57">
        <f>'A) Base RI'!A168</f>
        <v>5671</v>
      </c>
      <c r="B167" s="64" t="str">
        <f>'A) Base RI'!B168</f>
        <v>Dompierre</v>
      </c>
      <c r="C167" s="172">
        <v>127520.2533972263</v>
      </c>
      <c r="D167" s="173">
        <v>-27407.328290847756</v>
      </c>
      <c r="E167" s="174">
        <v>0</v>
      </c>
      <c r="F167" s="173">
        <v>0</v>
      </c>
      <c r="G167" s="173">
        <v>0</v>
      </c>
      <c r="H167" s="175">
        <f t="shared" si="23"/>
        <v>100112.92510637855</v>
      </c>
      <c r="I167" s="233">
        <v>6226.6947500000006</v>
      </c>
      <c r="J167" s="109">
        <f>'B) D RI'!U168</f>
        <v>6672.7971250000001</v>
      </c>
      <c r="K167" s="76">
        <f t="shared" si="21"/>
        <v>16.078020382543812</v>
      </c>
      <c r="L167" s="41">
        <f>'B) D RI'!S168</f>
        <v>80</v>
      </c>
      <c r="M167" s="41">
        <f t="shared" ref="M167:M218" si="24">L167-K167</f>
        <v>63.921979617456188</v>
      </c>
      <c r="N167" s="142">
        <f>'J) Plafonnement effort'!G166+'J) Plafonnement effort'!H166-'K) Plafonnement aide'!I166</f>
        <v>7.3783978423343148</v>
      </c>
      <c r="O167" s="142">
        <f t="shared" ref="O167:O218" si="25">M167+N167</f>
        <v>71.300377459790496</v>
      </c>
      <c r="P167" s="55">
        <f t="shared" ref="P167:P218" si="26">IF(O167&gt;$P$5,$P$5-O167,0)</f>
        <v>0</v>
      </c>
      <c r="Q167" s="66">
        <f t="shared" si="22"/>
        <v>0</v>
      </c>
      <c r="R167" s="164">
        <f t="shared" ref="R167:R218" si="27">O167+P167</f>
        <v>71.300377459790496</v>
      </c>
      <c r="S167" s="142">
        <f t="shared" ref="S167:S218" si="28">R167-L167</f>
        <v>-8.6996225402095035</v>
      </c>
      <c r="T167" s="163"/>
      <c r="V167" s="17"/>
    </row>
    <row r="168" spans="1:22" x14ac:dyDescent="0.25">
      <c r="A168" s="57">
        <f>'A) Base RI'!A169</f>
        <v>5673</v>
      </c>
      <c r="B168" s="64" t="str">
        <f>'A) Base RI'!B169</f>
        <v>Hermenches</v>
      </c>
      <c r="C168" s="172">
        <v>168129.3580227705</v>
      </c>
      <c r="D168" s="173">
        <v>-51925.009707210585</v>
      </c>
      <c r="E168" s="174">
        <v>0</v>
      </c>
      <c r="F168" s="173">
        <v>0</v>
      </c>
      <c r="G168" s="173">
        <v>0</v>
      </c>
      <c r="H168" s="175">
        <f t="shared" si="23"/>
        <v>116204.34831555991</v>
      </c>
      <c r="I168" s="233">
        <v>8854.2944888888887</v>
      </c>
      <c r="J168" s="109">
        <f>'B) D RI'!U169</f>
        <v>7873.3323555555571</v>
      </c>
      <c r="K168" s="76">
        <f t="shared" ref="K168:K220" si="29">H168/I168</f>
        <v>13.124066345588897</v>
      </c>
      <c r="L168" s="41">
        <f>'B) D RI'!S169</f>
        <v>75</v>
      </c>
      <c r="M168" s="41">
        <f t="shared" si="24"/>
        <v>61.875933654411099</v>
      </c>
      <c r="N168" s="142">
        <f>'J) Plafonnement effort'!G167+'J) Plafonnement effort'!H167-'K) Plafonnement aide'!I167</f>
        <v>-2.638740222468364</v>
      </c>
      <c r="O168" s="142">
        <f t="shared" si="25"/>
        <v>59.237193431942735</v>
      </c>
      <c r="P168" s="55">
        <f t="shared" si="26"/>
        <v>0</v>
      </c>
      <c r="Q168" s="66">
        <f t="shared" ref="Q168:Q221" si="30">P168*J168</f>
        <v>0</v>
      </c>
      <c r="R168" s="164">
        <f t="shared" si="27"/>
        <v>59.237193431942735</v>
      </c>
      <c r="S168" s="142">
        <f t="shared" si="28"/>
        <v>-15.762806568057265</v>
      </c>
      <c r="T168" s="163"/>
      <c r="V168" s="17"/>
    </row>
    <row r="169" spans="1:22" x14ac:dyDescent="0.25">
      <c r="A169" s="57">
        <f>'A) Base RI'!A170</f>
        <v>5674</v>
      </c>
      <c r="B169" s="64" t="str">
        <f>'A) Base RI'!B170</f>
        <v>Lovatens</v>
      </c>
      <c r="C169" s="172">
        <v>53065.586077177053</v>
      </c>
      <c r="D169" s="173">
        <v>-26773.689766023053</v>
      </c>
      <c r="E169" s="174">
        <v>0</v>
      </c>
      <c r="F169" s="173">
        <v>0</v>
      </c>
      <c r="G169" s="173">
        <v>0</v>
      </c>
      <c r="H169" s="175">
        <f t="shared" si="23"/>
        <v>26291.896311154</v>
      </c>
      <c r="I169" s="233">
        <v>3347.4317333333333</v>
      </c>
      <c r="J169" s="109">
        <f>'B) D RI'!U170</f>
        <v>3776.8391809523814</v>
      </c>
      <c r="K169" s="76">
        <f t="shared" si="29"/>
        <v>7.8543487681443578</v>
      </c>
      <c r="L169" s="41">
        <f>'B) D RI'!S170</f>
        <v>75</v>
      </c>
      <c r="M169" s="41">
        <f t="shared" si="24"/>
        <v>67.145651231855638</v>
      </c>
      <c r="N169" s="142">
        <f>'J) Plafonnement effort'!G168+'J) Plafonnement effort'!H168-'K) Plafonnement aide'!I168</f>
        <v>21.218659348932849</v>
      </c>
      <c r="O169" s="142">
        <f t="shared" si="25"/>
        <v>88.364310580788484</v>
      </c>
      <c r="P169" s="55">
        <f t="shared" si="26"/>
        <v>0</v>
      </c>
      <c r="Q169" s="66">
        <f t="shared" si="30"/>
        <v>0</v>
      </c>
      <c r="R169" s="164">
        <f t="shared" si="27"/>
        <v>88.364310580788484</v>
      </c>
      <c r="S169" s="142">
        <f t="shared" si="28"/>
        <v>13.364310580788484</v>
      </c>
      <c r="T169" s="163"/>
      <c r="V169" s="17"/>
    </row>
    <row r="170" spans="1:22" x14ac:dyDescent="0.25">
      <c r="A170" s="57">
        <f>'A) Base RI'!A171</f>
        <v>5675</v>
      </c>
      <c r="B170" s="64" t="str">
        <f>'A) Base RI'!B171</f>
        <v>Lucens</v>
      </c>
      <c r="C170" s="172">
        <v>1882995.1921287351</v>
      </c>
      <c r="D170" s="173">
        <v>-986887.97307993821</v>
      </c>
      <c r="E170" s="174">
        <v>0</v>
      </c>
      <c r="F170" s="173">
        <v>0</v>
      </c>
      <c r="G170" s="173">
        <v>0</v>
      </c>
      <c r="H170" s="175">
        <f t="shared" si="23"/>
        <v>896107.21904879692</v>
      </c>
      <c r="I170" s="233">
        <v>91702.321238938035</v>
      </c>
      <c r="J170" s="109">
        <f>'B) D RI'!U171</f>
        <v>92926.657086941384</v>
      </c>
      <c r="K170" s="76">
        <f t="shared" ref="K170" si="31">H170/I170</f>
        <v>9.7719142431947272</v>
      </c>
      <c r="L170" s="41">
        <f>'B) D RI'!S171</f>
        <v>67.819999999999993</v>
      </c>
      <c r="M170" s="41">
        <f t="shared" ref="M170" si="32">L170-K170</f>
        <v>58.048085756805264</v>
      </c>
      <c r="N170" s="142">
        <f>'J) Plafonnement effort'!G169+'J) Plafonnement effort'!H169-'K) Plafonnement aide'!I169</f>
        <v>1.067671172304788</v>
      </c>
      <c r="O170" s="142">
        <f t="shared" ref="O170" si="33">M170+N170</f>
        <v>59.115756929110049</v>
      </c>
      <c r="P170" s="55">
        <f t="shared" ref="P170" si="34">IF(O170&gt;$P$5,$P$5-O170,0)</f>
        <v>0</v>
      </c>
      <c r="Q170" s="66">
        <f t="shared" ref="Q170" si="35">P170*J170</f>
        <v>0</v>
      </c>
      <c r="R170" s="164">
        <f t="shared" ref="R170" si="36">O170+P170</f>
        <v>59.115756929110049</v>
      </c>
      <c r="S170" s="142">
        <f t="shared" ref="S170" si="37">R170-L170</f>
        <v>-8.7042430708899445</v>
      </c>
      <c r="T170" s="163"/>
      <c r="V170" s="17"/>
    </row>
    <row r="171" spans="1:22" x14ac:dyDescent="0.25">
      <c r="A171" s="57">
        <f>'A) Base RI'!A172</f>
        <v>5678</v>
      </c>
      <c r="B171" s="64" t="str">
        <f>'A) Base RI'!B172</f>
        <v>Moudon</v>
      </c>
      <c r="C171" s="172">
        <v>2288258.0124914693</v>
      </c>
      <c r="D171" s="173">
        <v>-2930767.4198587248</v>
      </c>
      <c r="E171" s="174">
        <v>0</v>
      </c>
      <c r="F171" s="173">
        <v>0</v>
      </c>
      <c r="G171" s="173">
        <v>0</v>
      </c>
      <c r="H171" s="175">
        <f t="shared" si="23"/>
        <v>-642509.40736725554</v>
      </c>
      <c r="I171" s="233">
        <v>122060.45639999998</v>
      </c>
      <c r="J171" s="109">
        <f>'B) D RI'!U172</f>
        <v>123116.47720000001</v>
      </c>
      <c r="K171" s="76">
        <f t="shared" si="29"/>
        <v>-5.2638620755415726</v>
      </c>
      <c r="L171" s="41">
        <f>'B) D RI'!S172</f>
        <v>75</v>
      </c>
      <c r="M171" s="41">
        <f t="shared" si="24"/>
        <v>80.263862075541567</v>
      </c>
      <c r="N171" s="142">
        <f>'J) Plafonnement effort'!G170+'J) Plafonnement effort'!H170-'K) Plafonnement aide'!I170</f>
        <v>-164.62953906228057</v>
      </c>
      <c r="O171" s="142">
        <f t="shared" si="25"/>
        <v>-84.365676986739004</v>
      </c>
      <c r="P171" s="55">
        <f t="shared" si="26"/>
        <v>0</v>
      </c>
      <c r="Q171" s="66">
        <f t="shared" si="30"/>
        <v>0</v>
      </c>
      <c r="R171" s="164">
        <f t="shared" si="27"/>
        <v>-84.365676986739004</v>
      </c>
      <c r="S171" s="142">
        <f t="shared" si="28"/>
        <v>-159.365676986739</v>
      </c>
      <c r="T171" s="163"/>
      <c r="V171" s="17"/>
    </row>
    <row r="172" spans="1:22" x14ac:dyDescent="0.25">
      <c r="A172" s="57">
        <f>'A) Base RI'!A173</f>
        <v>5680</v>
      </c>
      <c r="B172" s="64" t="str">
        <f>'A) Base RI'!B173</f>
        <v>Ogens</v>
      </c>
      <c r="C172" s="172">
        <v>133382.73353730145</v>
      </c>
      <c r="D172" s="173">
        <v>19340.344982508279</v>
      </c>
      <c r="E172" s="174">
        <v>0</v>
      </c>
      <c r="F172" s="173">
        <v>0</v>
      </c>
      <c r="G172" s="173">
        <v>0</v>
      </c>
      <c r="H172" s="175">
        <f t="shared" si="23"/>
        <v>152723.07851980973</v>
      </c>
      <c r="I172" s="233">
        <v>8163.3689316239324</v>
      </c>
      <c r="J172" s="109">
        <f>'B) D RI'!U173</f>
        <v>8504.3488034188031</v>
      </c>
      <c r="K172" s="76">
        <f t="shared" si="29"/>
        <v>18.708339632694837</v>
      </c>
      <c r="L172" s="41">
        <f>'B) D RI'!S173</f>
        <v>78</v>
      </c>
      <c r="M172" s="41">
        <f t="shared" si="24"/>
        <v>59.291660367305163</v>
      </c>
      <c r="N172" s="142">
        <f>'J) Plafonnement effort'!G171+'J) Plafonnement effort'!H171-'K) Plafonnement aide'!I171</f>
        <v>13.89672845082889</v>
      </c>
      <c r="O172" s="142">
        <f t="shared" si="25"/>
        <v>73.188388818134058</v>
      </c>
      <c r="P172" s="55">
        <f t="shared" si="26"/>
        <v>0</v>
      </c>
      <c r="Q172" s="66">
        <f t="shared" si="30"/>
        <v>0</v>
      </c>
      <c r="R172" s="164">
        <f t="shared" si="27"/>
        <v>73.188388818134058</v>
      </c>
      <c r="S172" s="142">
        <f t="shared" si="28"/>
        <v>-4.8116111818659419</v>
      </c>
      <c r="T172" s="163"/>
      <c r="V172" s="17"/>
    </row>
    <row r="173" spans="1:22" x14ac:dyDescent="0.25">
      <c r="A173" s="57">
        <f>'A) Base RI'!A174</f>
        <v>5683</v>
      </c>
      <c r="B173" s="64" t="str">
        <f>'A) Base RI'!B174</f>
        <v>Prévonloup</v>
      </c>
      <c r="C173" s="172">
        <v>63833.855209024521</v>
      </c>
      <c r="D173" s="173">
        <v>-36112.246458680078</v>
      </c>
      <c r="E173" s="174">
        <v>0</v>
      </c>
      <c r="F173" s="173">
        <v>0</v>
      </c>
      <c r="G173" s="173">
        <v>0</v>
      </c>
      <c r="H173" s="175">
        <f t="shared" si="23"/>
        <v>27721.608750344443</v>
      </c>
      <c r="I173" s="233">
        <v>3618.5018918918922</v>
      </c>
      <c r="J173" s="109">
        <f>'B) D RI'!U174</f>
        <v>4128.5685135135127</v>
      </c>
      <c r="K173" s="76">
        <f t="shared" si="29"/>
        <v>7.6610734438086805</v>
      </c>
      <c r="L173" s="41">
        <f>'B) D RI'!S174</f>
        <v>74</v>
      </c>
      <c r="M173" s="41">
        <f t="shared" si="24"/>
        <v>66.338926556191325</v>
      </c>
      <c r="N173" s="142">
        <f>'J) Plafonnement effort'!G172+'J) Plafonnement effort'!H172-'K) Plafonnement aide'!I172</f>
        <v>2.8693923125065837</v>
      </c>
      <c r="O173" s="142">
        <f t="shared" si="25"/>
        <v>69.208318868697916</v>
      </c>
      <c r="P173" s="55">
        <f t="shared" si="26"/>
        <v>0</v>
      </c>
      <c r="Q173" s="66">
        <f t="shared" si="30"/>
        <v>0</v>
      </c>
      <c r="R173" s="164">
        <f t="shared" si="27"/>
        <v>69.208318868697916</v>
      </c>
      <c r="S173" s="142">
        <f t="shared" si="28"/>
        <v>-4.7916811313020844</v>
      </c>
      <c r="T173" s="163"/>
      <c r="V173" s="17"/>
    </row>
    <row r="174" spans="1:22" x14ac:dyDescent="0.25">
      <c r="A174" s="57">
        <f>'A) Base RI'!A175</f>
        <v>5684</v>
      </c>
      <c r="B174" s="64" t="str">
        <f>'A) Base RI'!B175</f>
        <v>Rossenges</v>
      </c>
      <c r="C174" s="172">
        <v>40545.860492781874</v>
      </c>
      <c r="D174" s="173">
        <v>38472.628131791906</v>
      </c>
      <c r="E174" s="174">
        <v>0</v>
      </c>
      <c r="F174" s="173">
        <v>0</v>
      </c>
      <c r="G174" s="173">
        <v>0</v>
      </c>
      <c r="H174" s="175">
        <f t="shared" si="23"/>
        <v>79018.488624573773</v>
      </c>
      <c r="I174" s="233">
        <v>2611.7396666666664</v>
      </c>
      <c r="J174" s="109">
        <f>'B) D RI'!U175</f>
        <v>2119.9519999999998</v>
      </c>
      <c r="K174" s="76">
        <f t="shared" si="29"/>
        <v>30.255116784064537</v>
      </c>
      <c r="L174" s="41">
        <f>'B) D RI'!S175</f>
        <v>60</v>
      </c>
      <c r="M174" s="41">
        <f t="shared" si="24"/>
        <v>29.744883215935463</v>
      </c>
      <c r="N174" s="142">
        <f>'J) Plafonnement effort'!G173+'J) Plafonnement effort'!H173-'K) Plafonnement aide'!I173</f>
        <v>27.079331390497121</v>
      </c>
      <c r="O174" s="142">
        <f t="shared" si="25"/>
        <v>56.824214606432584</v>
      </c>
      <c r="P174" s="55">
        <f t="shared" si="26"/>
        <v>0</v>
      </c>
      <c r="Q174" s="66">
        <f t="shared" si="30"/>
        <v>0</v>
      </c>
      <c r="R174" s="164">
        <f t="shared" si="27"/>
        <v>56.824214606432584</v>
      </c>
      <c r="S174" s="142">
        <f t="shared" si="28"/>
        <v>-3.1757853935674163</v>
      </c>
      <c r="T174" s="163"/>
      <c r="V174" s="17"/>
    </row>
    <row r="175" spans="1:22" x14ac:dyDescent="0.25">
      <c r="A175" s="57">
        <f>'A) Base RI'!A176</f>
        <v>5688</v>
      </c>
      <c r="B175" s="64" t="str">
        <f>'A) Base RI'!B176</f>
        <v>Syens</v>
      </c>
      <c r="C175" s="172">
        <v>97745.753439949738</v>
      </c>
      <c r="D175" s="173">
        <v>69457.928580329084</v>
      </c>
      <c r="E175" s="174">
        <v>0</v>
      </c>
      <c r="F175" s="173">
        <v>0</v>
      </c>
      <c r="G175" s="173">
        <v>0</v>
      </c>
      <c r="H175" s="175">
        <f t="shared" si="23"/>
        <v>167203.68202027882</v>
      </c>
      <c r="I175" s="233">
        <v>5385.636772486775</v>
      </c>
      <c r="J175" s="109">
        <f>'B) D RI'!U176</f>
        <v>4845.4007936507942</v>
      </c>
      <c r="K175" s="76">
        <f t="shared" si="29"/>
        <v>31.046223331372911</v>
      </c>
      <c r="L175" s="41">
        <f>'B) D RI'!S176</f>
        <v>75.599999999999994</v>
      </c>
      <c r="M175" s="41">
        <f t="shared" si="24"/>
        <v>44.55377666862708</v>
      </c>
      <c r="N175" s="142">
        <f>'J) Plafonnement effort'!G174+'J) Plafonnement effort'!H174-'K) Plafonnement aide'!I174</f>
        <v>21.641760244500354</v>
      </c>
      <c r="O175" s="142">
        <f t="shared" si="25"/>
        <v>66.195536913127427</v>
      </c>
      <c r="P175" s="55">
        <f t="shared" si="26"/>
        <v>0</v>
      </c>
      <c r="Q175" s="66">
        <f t="shared" si="30"/>
        <v>0</v>
      </c>
      <c r="R175" s="164">
        <f t="shared" si="27"/>
        <v>66.195536913127427</v>
      </c>
      <c r="S175" s="142">
        <f t="shared" si="28"/>
        <v>-9.4044630868725676</v>
      </c>
      <c r="T175" s="163"/>
      <c r="V175" s="17"/>
    </row>
    <row r="176" spans="1:22" x14ac:dyDescent="0.25">
      <c r="A176" s="57">
        <f>'A) Base RI'!A177</f>
        <v>5690</v>
      </c>
      <c r="B176" s="64" t="str">
        <f>'A) Base RI'!B177</f>
        <v>Villars-le-Comte</v>
      </c>
      <c r="C176" s="172">
        <v>59116.766180211183</v>
      </c>
      <c r="D176" s="173">
        <v>-26477.154941794099</v>
      </c>
      <c r="E176" s="174">
        <v>0</v>
      </c>
      <c r="F176" s="173">
        <v>0</v>
      </c>
      <c r="G176" s="173">
        <v>0</v>
      </c>
      <c r="H176" s="175">
        <f t="shared" si="23"/>
        <v>32639.611238417085</v>
      </c>
      <c r="I176" s="233">
        <v>3375.6488157894737</v>
      </c>
      <c r="J176" s="109">
        <f>'B) D RI'!U177</f>
        <v>3252.2851315789467</v>
      </c>
      <c r="K176" s="76">
        <f t="shared" si="29"/>
        <v>9.6691371109893005</v>
      </c>
      <c r="L176" s="41">
        <f>'B) D RI'!S177</f>
        <v>76</v>
      </c>
      <c r="M176" s="41">
        <f t="shared" si="24"/>
        <v>66.330862889010703</v>
      </c>
      <c r="N176" s="142">
        <f>'J) Plafonnement effort'!G175+'J) Plafonnement effort'!H175-'K) Plafonnement aide'!I175</f>
        <v>7.1217198850861649</v>
      </c>
      <c r="O176" s="142">
        <f t="shared" si="25"/>
        <v>73.452582774096868</v>
      </c>
      <c r="P176" s="55">
        <f t="shared" si="26"/>
        <v>0</v>
      </c>
      <c r="Q176" s="66">
        <f t="shared" si="30"/>
        <v>0</v>
      </c>
      <c r="R176" s="164">
        <f t="shared" si="27"/>
        <v>73.452582774096868</v>
      </c>
      <c r="S176" s="142">
        <f t="shared" si="28"/>
        <v>-2.547417225903132</v>
      </c>
      <c r="T176" s="163"/>
      <c r="V176" s="17"/>
    </row>
    <row r="177" spans="1:22" x14ac:dyDescent="0.25">
      <c r="A177" s="57">
        <f>'A) Base RI'!A178</f>
        <v>5692</v>
      </c>
      <c r="B177" s="64" t="str">
        <f>'A) Base RI'!B178</f>
        <v>Vucherens</v>
      </c>
      <c r="C177" s="172">
        <v>275397.70615827077</v>
      </c>
      <c r="D177" s="173">
        <v>8614.7207236841787</v>
      </c>
      <c r="E177" s="174">
        <v>0</v>
      </c>
      <c r="F177" s="173">
        <v>0</v>
      </c>
      <c r="G177" s="173">
        <v>0</v>
      </c>
      <c r="H177" s="175">
        <f t="shared" si="23"/>
        <v>284012.42688195495</v>
      </c>
      <c r="I177" s="233">
        <v>15125.888354430383</v>
      </c>
      <c r="J177" s="109">
        <f>'B) D RI'!U178</f>
        <v>16993.232405063292</v>
      </c>
      <c r="K177" s="76">
        <f t="shared" si="29"/>
        <v>18.77657828928557</v>
      </c>
      <c r="L177" s="41">
        <f>'B) D RI'!S178</f>
        <v>79</v>
      </c>
      <c r="M177" s="41">
        <f t="shared" si="24"/>
        <v>60.223421710714433</v>
      </c>
      <c r="N177" s="142">
        <f>'J) Plafonnement effort'!G176+'J) Plafonnement effort'!H176-'K) Plafonnement aide'!I176</f>
        <v>22.034913392492875</v>
      </c>
      <c r="O177" s="142">
        <f t="shared" si="25"/>
        <v>82.258335103207315</v>
      </c>
      <c r="P177" s="55">
        <f t="shared" si="26"/>
        <v>0</v>
      </c>
      <c r="Q177" s="66">
        <f t="shared" si="30"/>
        <v>0</v>
      </c>
      <c r="R177" s="164">
        <f t="shared" si="27"/>
        <v>82.258335103207315</v>
      </c>
      <c r="S177" s="142">
        <f t="shared" si="28"/>
        <v>3.2583351032073153</v>
      </c>
      <c r="T177" s="163"/>
      <c r="V177" s="17"/>
    </row>
    <row r="178" spans="1:22" x14ac:dyDescent="0.25">
      <c r="A178" s="57">
        <f>'A) Base RI'!A179</f>
        <v>5693</v>
      </c>
      <c r="B178" s="64" t="str">
        <f>'A) Base RI'!B179</f>
        <v>Montanaire</v>
      </c>
      <c r="C178" s="172">
        <v>1169963.6992288388</v>
      </c>
      <c r="D178" s="173">
        <v>-322578.73734485032</v>
      </c>
      <c r="E178" s="174">
        <v>0</v>
      </c>
      <c r="F178" s="173">
        <v>0</v>
      </c>
      <c r="G178" s="173">
        <v>0</v>
      </c>
      <c r="H178" s="175">
        <f t="shared" si="23"/>
        <v>847384.96188398846</v>
      </c>
      <c r="I178" s="233">
        <v>62987.795555555575</v>
      </c>
      <c r="J178" s="109">
        <f>'B) D RI'!U179</f>
        <v>63585.08152777778</v>
      </c>
      <c r="K178" s="76">
        <f>H178/I178</f>
        <v>13.453161114943137</v>
      </c>
      <c r="L178" s="41">
        <f>'B) D RI'!S179</f>
        <v>72</v>
      </c>
      <c r="M178" s="41">
        <f>L178-K178</f>
        <v>58.546838885056864</v>
      </c>
      <c r="N178" s="142">
        <f>'J) Plafonnement effort'!G177+'J) Plafonnement effort'!H177-'K) Plafonnement aide'!I177</f>
        <v>-17.479404693906897</v>
      </c>
      <c r="O178" s="142">
        <f>M178+N178</f>
        <v>41.067434191149971</v>
      </c>
      <c r="P178" s="55">
        <f t="shared" si="26"/>
        <v>0</v>
      </c>
      <c r="Q178" s="66">
        <f>P178*J178</f>
        <v>0</v>
      </c>
      <c r="R178" s="164">
        <f>O178+P178</f>
        <v>41.067434191149971</v>
      </c>
      <c r="S178" s="142">
        <f>R178-L178</f>
        <v>-30.932565808850029</v>
      </c>
      <c r="T178" s="163"/>
      <c r="V178" s="17"/>
    </row>
    <row r="179" spans="1:22" x14ac:dyDescent="0.25">
      <c r="A179" s="57">
        <f>'A) Base RI'!A180</f>
        <v>5701</v>
      </c>
      <c r="B179" s="64" t="str">
        <f>'A) Base RI'!B180</f>
        <v>Arnex-sur-Nyon</v>
      </c>
      <c r="C179" s="172">
        <v>308480.33673344267</v>
      </c>
      <c r="D179" s="173">
        <v>233325.7843892448</v>
      </c>
      <c r="E179" s="174">
        <v>0</v>
      </c>
      <c r="F179" s="173">
        <v>0</v>
      </c>
      <c r="G179" s="173">
        <v>0</v>
      </c>
      <c r="H179" s="175">
        <f t="shared" si="23"/>
        <v>541806.12112268747</v>
      </c>
      <c r="I179" s="233">
        <v>14386.456307692306</v>
      </c>
      <c r="J179" s="109">
        <f>'B) D RI'!U180</f>
        <v>15270.610714285714</v>
      </c>
      <c r="K179" s="76">
        <f>H179/I179</f>
        <v>37.660846391545967</v>
      </c>
      <c r="L179" s="41">
        <f>'B) D RI'!S180</f>
        <v>70</v>
      </c>
      <c r="M179" s="41">
        <f>L179-K179</f>
        <v>32.339153608454033</v>
      </c>
      <c r="N179" s="142">
        <f>'J) Plafonnement effort'!G178+'J) Plafonnement effort'!H178-'K) Plafonnement aide'!I178</f>
        <v>40.509165935590573</v>
      </c>
      <c r="O179" s="142">
        <f>M179+N179</f>
        <v>72.848319544044614</v>
      </c>
      <c r="P179" s="55">
        <f t="shared" si="26"/>
        <v>0</v>
      </c>
      <c r="Q179" s="66">
        <f>P179*J179</f>
        <v>0</v>
      </c>
      <c r="R179" s="164">
        <f>O179+P179</f>
        <v>72.848319544044614</v>
      </c>
      <c r="S179" s="142">
        <f>R179-L179</f>
        <v>2.8483195440446138</v>
      </c>
      <c r="T179" s="163"/>
      <c r="V179" s="17"/>
    </row>
    <row r="180" spans="1:22" x14ac:dyDescent="0.25">
      <c r="A180" s="57">
        <f>'A) Base RI'!A181</f>
        <v>5702</v>
      </c>
      <c r="B180" s="64" t="str">
        <f>'A) Base RI'!B181</f>
        <v>Arzier-Le Muids</v>
      </c>
      <c r="C180" s="172">
        <v>2585227.2037628544</v>
      </c>
      <c r="D180" s="173">
        <v>1928993.2202876618</v>
      </c>
      <c r="E180" s="174">
        <v>0</v>
      </c>
      <c r="F180" s="173">
        <v>0</v>
      </c>
      <c r="G180" s="173">
        <v>0</v>
      </c>
      <c r="H180" s="175">
        <f t="shared" si="23"/>
        <v>4514220.4240505164</v>
      </c>
      <c r="I180" s="233">
        <v>137336.67807291666</v>
      </c>
      <c r="J180" s="109">
        <f>'B) D RI'!U181</f>
        <v>153872.87421874999</v>
      </c>
      <c r="K180" s="76">
        <f t="shared" si="29"/>
        <v>32.869736529186795</v>
      </c>
      <c r="L180" s="41">
        <f>'B) D RI'!S181</f>
        <v>64</v>
      </c>
      <c r="M180" s="41">
        <f t="shared" si="24"/>
        <v>31.130263470813205</v>
      </c>
      <c r="N180" s="142">
        <f>'J) Plafonnement effort'!G179+'J) Plafonnement effort'!H179-'K) Plafonnement aide'!I179</f>
        <v>29.608358477302112</v>
      </c>
      <c r="O180" s="142">
        <f t="shared" si="25"/>
        <v>60.738621948115316</v>
      </c>
      <c r="P180" s="55">
        <f t="shared" si="26"/>
        <v>0</v>
      </c>
      <c r="Q180" s="66">
        <f t="shared" si="30"/>
        <v>0</v>
      </c>
      <c r="R180" s="164">
        <f t="shared" si="27"/>
        <v>60.738621948115316</v>
      </c>
      <c r="S180" s="142">
        <f t="shared" si="28"/>
        <v>-3.2613780518846838</v>
      </c>
      <c r="T180" s="163"/>
      <c r="V180" s="17"/>
    </row>
    <row r="181" spans="1:22" x14ac:dyDescent="0.25">
      <c r="A181" s="57">
        <f>'A) Base RI'!A182</f>
        <v>5703</v>
      </c>
      <c r="B181" s="64" t="str">
        <f>'A) Base RI'!B182</f>
        <v>Bassins</v>
      </c>
      <c r="C181" s="172">
        <v>917472.79492292786</v>
      </c>
      <c r="D181" s="173">
        <v>617621.70827873948</v>
      </c>
      <c r="E181" s="174">
        <v>0</v>
      </c>
      <c r="F181" s="173">
        <v>0</v>
      </c>
      <c r="G181" s="173">
        <v>0</v>
      </c>
      <c r="H181" s="175">
        <f t="shared" si="23"/>
        <v>1535094.5032016672</v>
      </c>
      <c r="I181" s="233">
        <v>51617.647746478862</v>
      </c>
      <c r="J181" s="109">
        <f>'B) D RI'!U182</f>
        <v>52372.205915492945</v>
      </c>
      <c r="K181" s="76">
        <f t="shared" si="29"/>
        <v>29.739722172953627</v>
      </c>
      <c r="L181" s="41">
        <f>'B) D RI'!S182</f>
        <v>71</v>
      </c>
      <c r="M181" s="41">
        <f t="shared" si="24"/>
        <v>41.260277827046373</v>
      </c>
      <c r="N181" s="142">
        <f>'J) Plafonnement effort'!G180+'J) Plafonnement effort'!H180-'K) Plafonnement aide'!I180</f>
        <v>27.602974928272676</v>
      </c>
      <c r="O181" s="142">
        <f t="shared" si="25"/>
        <v>68.863252755319053</v>
      </c>
      <c r="P181" s="55">
        <f t="shared" si="26"/>
        <v>0</v>
      </c>
      <c r="Q181" s="66">
        <f t="shared" si="30"/>
        <v>0</v>
      </c>
      <c r="R181" s="164">
        <f t="shared" si="27"/>
        <v>68.863252755319053</v>
      </c>
      <c r="S181" s="142">
        <f t="shared" si="28"/>
        <v>-2.1367472446809472</v>
      </c>
      <c r="T181" s="163"/>
      <c r="V181" s="17"/>
    </row>
    <row r="182" spans="1:22" x14ac:dyDescent="0.25">
      <c r="A182" s="57">
        <f>'A) Base RI'!A183</f>
        <v>5704</v>
      </c>
      <c r="B182" s="64" t="str">
        <f>'A) Base RI'!B183</f>
        <v>Begnins</v>
      </c>
      <c r="C182" s="172">
        <v>2516560.5978717194</v>
      </c>
      <c r="D182" s="173">
        <v>1605223.6467982391</v>
      </c>
      <c r="E182" s="174">
        <v>0</v>
      </c>
      <c r="F182" s="173">
        <v>0</v>
      </c>
      <c r="G182" s="173">
        <v>0</v>
      </c>
      <c r="H182" s="175">
        <f t="shared" si="23"/>
        <v>4121784.2446699585</v>
      </c>
      <c r="I182" s="233">
        <v>109192.54039800997</v>
      </c>
      <c r="J182" s="109">
        <f>'B) D RI'!U183</f>
        <v>118306.82039800995</v>
      </c>
      <c r="K182" s="76">
        <f t="shared" si="29"/>
        <v>37.747855573704356</v>
      </c>
      <c r="L182" s="41">
        <f>'B) D RI'!S183</f>
        <v>67</v>
      </c>
      <c r="M182" s="41">
        <f t="shared" si="24"/>
        <v>29.252144426295644</v>
      </c>
      <c r="N182" s="142">
        <f>'J) Plafonnement effort'!G181+'J) Plafonnement effort'!H181-'K) Plafonnement aide'!I181</f>
        <v>35.926228274884792</v>
      </c>
      <c r="O182" s="142">
        <f t="shared" si="25"/>
        <v>65.178372701180436</v>
      </c>
      <c r="P182" s="55">
        <f t="shared" si="26"/>
        <v>0</v>
      </c>
      <c r="Q182" s="66">
        <f t="shared" si="30"/>
        <v>0</v>
      </c>
      <c r="R182" s="164">
        <f t="shared" si="27"/>
        <v>65.178372701180436</v>
      </c>
      <c r="S182" s="142">
        <f t="shared" si="28"/>
        <v>-1.8216272988195641</v>
      </c>
      <c r="T182" s="163"/>
      <c r="V182" s="17"/>
    </row>
    <row r="183" spans="1:22" x14ac:dyDescent="0.25">
      <c r="A183" s="57">
        <f>'A) Base RI'!A184</f>
        <v>5705</v>
      </c>
      <c r="B183" s="64" t="str">
        <f>'A) Base RI'!B184</f>
        <v>Bogis-Bossey</v>
      </c>
      <c r="C183" s="172">
        <v>1027861.2754993901</v>
      </c>
      <c r="D183" s="173">
        <v>817969.33763735439</v>
      </c>
      <c r="E183" s="174">
        <v>0</v>
      </c>
      <c r="F183" s="173">
        <v>0</v>
      </c>
      <c r="G183" s="173">
        <v>0</v>
      </c>
      <c r="H183" s="175">
        <f t="shared" si="23"/>
        <v>1845830.6131367446</v>
      </c>
      <c r="I183" s="233">
        <v>49393.857499999991</v>
      </c>
      <c r="J183" s="109">
        <f>'B) D RI'!U184</f>
        <v>49610.676285714275</v>
      </c>
      <c r="K183" s="76">
        <f t="shared" si="29"/>
        <v>37.369638788319882</v>
      </c>
      <c r="L183" s="41">
        <f>'B) D RI'!S184</f>
        <v>70</v>
      </c>
      <c r="M183" s="41">
        <f t="shared" si="24"/>
        <v>32.630361211680118</v>
      </c>
      <c r="N183" s="142">
        <f>'J) Plafonnement effort'!G182+'J) Plafonnement effort'!H182-'K) Plafonnement aide'!I182</f>
        <v>35.133426957633745</v>
      </c>
      <c r="O183" s="142">
        <f t="shared" si="25"/>
        <v>67.76378816931387</v>
      </c>
      <c r="P183" s="55">
        <f t="shared" si="26"/>
        <v>0</v>
      </c>
      <c r="Q183" s="66">
        <f t="shared" si="30"/>
        <v>0</v>
      </c>
      <c r="R183" s="164">
        <f t="shared" si="27"/>
        <v>67.76378816931387</v>
      </c>
      <c r="S183" s="142">
        <f t="shared" si="28"/>
        <v>-2.2362118306861305</v>
      </c>
      <c r="T183" s="163"/>
      <c r="V183" s="17"/>
    </row>
    <row r="184" spans="1:22" x14ac:dyDescent="0.25">
      <c r="A184" s="57">
        <f>'A) Base RI'!A185</f>
        <v>5706</v>
      </c>
      <c r="B184" s="64" t="str">
        <f>'A) Base RI'!B185</f>
        <v>Borex</v>
      </c>
      <c r="C184" s="172">
        <v>1389373.4294529746</v>
      </c>
      <c r="D184" s="173">
        <v>1002278.9809589727</v>
      </c>
      <c r="E184" s="174">
        <v>0</v>
      </c>
      <c r="F184" s="173">
        <v>0</v>
      </c>
      <c r="G184" s="173">
        <v>0</v>
      </c>
      <c r="H184" s="175">
        <f t="shared" si="23"/>
        <v>2391652.4104119474</v>
      </c>
      <c r="I184" s="233">
        <v>61064.931696969696</v>
      </c>
      <c r="J184" s="109">
        <f>'B) D RI'!U185</f>
        <v>68211.153151515144</v>
      </c>
      <c r="K184" s="76">
        <f t="shared" si="29"/>
        <v>39.165726448043031</v>
      </c>
      <c r="L184" s="41">
        <f>'B) D RI'!S185</f>
        <v>55</v>
      </c>
      <c r="M184" s="41">
        <f t="shared" si="24"/>
        <v>15.834273551956969</v>
      </c>
      <c r="N184" s="142">
        <f>'J) Plafonnement effort'!G183+'J) Plafonnement effort'!H183-'K) Plafonnement aide'!I183</f>
        <v>36.452013346837461</v>
      </c>
      <c r="O184" s="142">
        <f t="shared" si="25"/>
        <v>52.28628689879443</v>
      </c>
      <c r="P184" s="55">
        <f t="shared" si="26"/>
        <v>0</v>
      </c>
      <c r="Q184" s="66">
        <f t="shared" si="30"/>
        <v>0</v>
      </c>
      <c r="R184" s="164">
        <f t="shared" si="27"/>
        <v>52.28628689879443</v>
      </c>
      <c r="S184" s="142">
        <f t="shared" si="28"/>
        <v>-2.7137131012055704</v>
      </c>
      <c r="T184" s="163"/>
      <c r="V184" s="17"/>
    </row>
    <row r="185" spans="1:22" x14ac:dyDescent="0.25">
      <c r="A185" s="57">
        <f>'A) Base RI'!A186</f>
        <v>5707</v>
      </c>
      <c r="B185" s="64" t="str">
        <f>'A) Base RI'!B186</f>
        <v>Chavannes-de-Bogis</v>
      </c>
      <c r="C185" s="172">
        <v>2119290.3274714504</v>
      </c>
      <c r="D185" s="173">
        <v>1390345.5403197794</v>
      </c>
      <c r="E185" s="174">
        <v>0</v>
      </c>
      <c r="F185" s="173">
        <v>0</v>
      </c>
      <c r="G185" s="173">
        <v>0</v>
      </c>
      <c r="H185" s="175">
        <f t="shared" si="23"/>
        <v>3509635.8677912299</v>
      </c>
      <c r="I185" s="233">
        <v>90099.169661016946</v>
      </c>
      <c r="J185" s="109">
        <f>'B) D RI'!U186</f>
        <v>101262.00960451979</v>
      </c>
      <c r="K185" s="76">
        <f t="shared" si="29"/>
        <v>38.953032319783276</v>
      </c>
      <c r="L185" s="41">
        <f>'B) D RI'!S186</f>
        <v>59</v>
      </c>
      <c r="M185" s="41">
        <f t="shared" si="24"/>
        <v>20.046967680216724</v>
      </c>
      <c r="N185" s="142">
        <f>'J) Plafonnement effort'!G184+'J) Plafonnement effort'!H184-'K) Plafonnement aide'!I184</f>
        <v>42.534335243715354</v>
      </c>
      <c r="O185" s="142">
        <f t="shared" si="25"/>
        <v>62.581302923932078</v>
      </c>
      <c r="P185" s="55">
        <f t="shared" si="26"/>
        <v>0</v>
      </c>
      <c r="Q185" s="66">
        <f t="shared" si="30"/>
        <v>0</v>
      </c>
      <c r="R185" s="164">
        <f t="shared" si="27"/>
        <v>62.581302923932078</v>
      </c>
      <c r="S185" s="142">
        <f t="shared" si="28"/>
        <v>3.5813029239320784</v>
      </c>
      <c r="T185" s="163"/>
      <c r="V185" s="17"/>
    </row>
    <row r="186" spans="1:22" x14ac:dyDescent="0.25">
      <c r="A186" s="57">
        <f>'A) Base RI'!A187</f>
        <v>5708</v>
      </c>
      <c r="B186" s="64" t="str">
        <f>'A) Base RI'!B187</f>
        <v>Chavannes-des-Bois</v>
      </c>
      <c r="C186" s="172">
        <v>1543678.2811299604</v>
      </c>
      <c r="D186" s="173">
        <v>985260.67320620629</v>
      </c>
      <c r="E186" s="174">
        <v>0</v>
      </c>
      <c r="F186" s="173">
        <v>0</v>
      </c>
      <c r="G186" s="173">
        <v>0</v>
      </c>
      <c r="H186" s="175">
        <f t="shared" si="23"/>
        <v>2528938.9543361668</v>
      </c>
      <c r="I186" s="233">
        <v>61956.418196721308</v>
      </c>
      <c r="J186" s="109">
        <f>'B) D RI'!U187</f>
        <v>66077.93781420766</v>
      </c>
      <c r="K186" s="76">
        <f t="shared" si="29"/>
        <v>40.818030285520869</v>
      </c>
      <c r="L186" s="41">
        <f>'B) D RI'!S187</f>
        <v>61</v>
      </c>
      <c r="M186" s="41">
        <f t="shared" si="24"/>
        <v>20.181969714479131</v>
      </c>
      <c r="N186" s="142">
        <f>'J) Plafonnement effort'!G185+'J) Plafonnement effort'!H185-'K) Plafonnement aide'!I185</f>
        <v>39.720123453255127</v>
      </c>
      <c r="O186" s="142">
        <f t="shared" si="25"/>
        <v>59.902093167734257</v>
      </c>
      <c r="P186" s="55">
        <f t="shared" si="26"/>
        <v>0</v>
      </c>
      <c r="Q186" s="66">
        <f t="shared" si="30"/>
        <v>0</v>
      </c>
      <c r="R186" s="164">
        <f t="shared" si="27"/>
        <v>59.902093167734257</v>
      </c>
      <c r="S186" s="142">
        <f t="shared" si="28"/>
        <v>-1.0979068322657426</v>
      </c>
      <c r="T186" s="163"/>
      <c r="V186" s="17"/>
    </row>
    <row r="187" spans="1:22" x14ac:dyDescent="0.25">
      <c r="A187" s="57">
        <f>'A) Base RI'!A188</f>
        <v>5709</v>
      </c>
      <c r="B187" s="64" t="str">
        <f>'A) Base RI'!B188</f>
        <v>Chéserex</v>
      </c>
      <c r="C187" s="172">
        <v>2831565.4808029882</v>
      </c>
      <c r="D187" s="173">
        <v>1711292.0265104866</v>
      </c>
      <c r="E187" s="174">
        <v>0</v>
      </c>
      <c r="F187" s="173">
        <v>0</v>
      </c>
      <c r="G187" s="173">
        <v>0</v>
      </c>
      <c r="H187" s="175">
        <f t="shared" si="23"/>
        <v>4542857.507313475</v>
      </c>
      <c r="I187" s="233">
        <v>115595.36230769231</v>
      </c>
      <c r="J187" s="109">
        <f>'B) D RI'!U188</f>
        <v>141681.04461538463</v>
      </c>
      <c r="K187" s="76">
        <f t="shared" si="29"/>
        <v>39.299651963729083</v>
      </c>
      <c r="L187" s="41">
        <f>'B) D RI'!S188</f>
        <v>52</v>
      </c>
      <c r="M187" s="41">
        <f t="shared" si="24"/>
        <v>12.700348036270917</v>
      </c>
      <c r="N187" s="142">
        <f>'J) Plafonnement effort'!G186+'J) Plafonnement effort'!H186-'K) Plafonnement aide'!I186</f>
        <v>45</v>
      </c>
      <c r="O187" s="142">
        <f t="shared" si="25"/>
        <v>57.700348036270917</v>
      </c>
      <c r="P187" s="55">
        <f t="shared" si="26"/>
        <v>0</v>
      </c>
      <c r="Q187" s="66">
        <f t="shared" si="30"/>
        <v>0</v>
      </c>
      <c r="R187" s="164">
        <f t="shared" si="27"/>
        <v>57.700348036270917</v>
      </c>
      <c r="S187" s="142">
        <f t="shared" si="28"/>
        <v>5.7003480362709169</v>
      </c>
      <c r="T187" s="163"/>
      <c r="V187" s="17"/>
    </row>
    <row r="188" spans="1:22" x14ac:dyDescent="0.25">
      <c r="A188" s="57">
        <f>'A) Base RI'!A189</f>
        <v>5710</v>
      </c>
      <c r="B188" s="64" t="str">
        <f>'A) Base RI'!B189</f>
        <v>Coinsins</v>
      </c>
      <c r="C188" s="172">
        <v>3522028.2619136153</v>
      </c>
      <c r="D188" s="173">
        <v>1411907.7456016261</v>
      </c>
      <c r="E188" s="174">
        <v>0</v>
      </c>
      <c r="F188" s="173">
        <v>0</v>
      </c>
      <c r="G188" s="173">
        <v>0</v>
      </c>
      <c r="H188" s="175">
        <f t="shared" si="23"/>
        <v>4933936.0075152414</v>
      </c>
      <c r="I188" s="233">
        <v>112738.70512195122</v>
      </c>
      <c r="J188" s="109">
        <f>'B) D RI'!U189</f>
        <v>77522.491219512216</v>
      </c>
      <c r="K188" s="76">
        <f t="shared" si="29"/>
        <v>43.76434874055122</v>
      </c>
      <c r="L188" s="41">
        <f>'B) D RI'!S189</f>
        <v>41</v>
      </c>
      <c r="M188" s="41">
        <f t="shared" si="24"/>
        <v>-2.7643487405512204</v>
      </c>
      <c r="N188" s="142">
        <f>'J) Plafonnement effort'!G187+'J) Plafonnement effort'!H187-'K) Plafonnement aide'!I187</f>
        <v>42.208202875310356</v>
      </c>
      <c r="O188" s="142">
        <f t="shared" si="25"/>
        <v>39.443854134759135</v>
      </c>
      <c r="P188" s="55">
        <f t="shared" si="26"/>
        <v>0</v>
      </c>
      <c r="Q188" s="66">
        <f t="shared" si="30"/>
        <v>0</v>
      </c>
      <c r="R188" s="164">
        <f t="shared" si="27"/>
        <v>39.443854134759135</v>
      </c>
      <c r="S188" s="142">
        <f t="shared" si="28"/>
        <v>-1.5561458652408646</v>
      </c>
      <c r="T188" s="163"/>
      <c r="V188" s="17"/>
    </row>
    <row r="189" spans="1:22" x14ac:dyDescent="0.25">
      <c r="A189" s="57">
        <f>'A) Base RI'!A190</f>
        <v>5711</v>
      </c>
      <c r="B189" s="64" t="str">
        <f>'A) Base RI'!B190</f>
        <v>Commugny</v>
      </c>
      <c r="C189" s="172">
        <v>6106143.9792224057</v>
      </c>
      <c r="D189" s="173">
        <v>3262879.3546492737</v>
      </c>
      <c r="E189" s="174">
        <v>0</v>
      </c>
      <c r="F189" s="173">
        <v>0</v>
      </c>
      <c r="G189" s="173">
        <v>0</v>
      </c>
      <c r="H189" s="175">
        <f t="shared" si="23"/>
        <v>9369023.3338716794</v>
      </c>
      <c r="I189" s="233">
        <v>236913.245596817</v>
      </c>
      <c r="J189" s="109">
        <f>'B) D RI'!U190</f>
        <v>249621.80260458836</v>
      </c>
      <c r="K189" s="76">
        <f t="shared" si="29"/>
        <v>39.546220010915064</v>
      </c>
      <c r="L189" s="41">
        <f>'B) D RI'!S190</f>
        <v>57</v>
      </c>
      <c r="M189" s="41">
        <f t="shared" si="24"/>
        <v>17.453779989084936</v>
      </c>
      <c r="N189" s="142">
        <f>'J) Plafonnement effort'!G188+'J) Plafonnement effort'!H188-'K) Plafonnement aide'!I188</f>
        <v>41.264135845471486</v>
      </c>
      <c r="O189" s="142">
        <f t="shared" si="25"/>
        <v>58.717915834556422</v>
      </c>
      <c r="P189" s="55">
        <f t="shared" si="26"/>
        <v>0</v>
      </c>
      <c r="Q189" s="66">
        <f t="shared" si="30"/>
        <v>0</v>
      </c>
      <c r="R189" s="164">
        <f t="shared" si="27"/>
        <v>58.717915834556422</v>
      </c>
      <c r="S189" s="142">
        <f t="shared" si="28"/>
        <v>1.7179158345564218</v>
      </c>
      <c r="T189" s="163"/>
      <c r="V189" s="17"/>
    </row>
    <row r="190" spans="1:22" x14ac:dyDescent="0.25">
      <c r="A190" s="57">
        <f>'A) Base RI'!A191</f>
        <v>5712</v>
      </c>
      <c r="B190" s="64" t="str">
        <f>'A) Base RI'!B191</f>
        <v>Coppet</v>
      </c>
      <c r="C190" s="172">
        <v>8970537.3294366933</v>
      </c>
      <c r="D190" s="173">
        <v>4151254.8649925534</v>
      </c>
      <c r="E190" s="174">
        <v>0</v>
      </c>
      <c r="F190" s="173">
        <v>0</v>
      </c>
      <c r="G190" s="173">
        <v>0</v>
      </c>
      <c r="H190" s="175">
        <f t="shared" si="23"/>
        <v>13121792.194429247</v>
      </c>
      <c r="I190" s="233">
        <v>309642.37182389939</v>
      </c>
      <c r="J190" s="109">
        <f>'B) D RI'!U191</f>
        <v>316866.86955974839</v>
      </c>
      <c r="K190" s="76">
        <f t="shared" si="29"/>
        <v>42.3772499775706</v>
      </c>
      <c r="L190" s="41">
        <f>'B) D RI'!S191</f>
        <v>53</v>
      </c>
      <c r="M190" s="41">
        <f t="shared" si="24"/>
        <v>10.6227500224294</v>
      </c>
      <c r="N190" s="142">
        <f>'J) Plafonnement effort'!G189+'J) Plafonnement effort'!H189-'K) Plafonnement aide'!I189</f>
        <v>43.486111717613994</v>
      </c>
      <c r="O190" s="142">
        <f t="shared" si="25"/>
        <v>54.108861740043395</v>
      </c>
      <c r="P190" s="55">
        <f t="shared" si="26"/>
        <v>0</v>
      </c>
      <c r="Q190" s="66">
        <f t="shared" si="30"/>
        <v>0</v>
      </c>
      <c r="R190" s="164">
        <f t="shared" si="27"/>
        <v>54.108861740043395</v>
      </c>
      <c r="S190" s="142">
        <f t="shared" si="28"/>
        <v>1.1088617400433947</v>
      </c>
      <c r="T190" s="163"/>
      <c r="V190" s="17"/>
    </row>
    <row r="191" spans="1:22" x14ac:dyDescent="0.25">
      <c r="A191" s="57">
        <f>'A) Base RI'!A192</f>
        <v>5713</v>
      </c>
      <c r="B191" s="64" t="str">
        <f>'A) Base RI'!B192</f>
        <v>Crans-près-Céligny</v>
      </c>
      <c r="C191" s="172">
        <v>7788570.0674624015</v>
      </c>
      <c r="D191" s="173">
        <v>3482596.2300439449</v>
      </c>
      <c r="E191" s="174">
        <v>0</v>
      </c>
      <c r="F191" s="173">
        <v>0</v>
      </c>
      <c r="G191" s="173">
        <v>0</v>
      </c>
      <c r="H191" s="175">
        <f t="shared" si="23"/>
        <v>11271166.297506347</v>
      </c>
      <c r="I191" s="233">
        <v>259331.62150943396</v>
      </c>
      <c r="J191" s="109">
        <f>'B) D RI'!U192</f>
        <v>229285.72754716981</v>
      </c>
      <c r="K191" s="76">
        <f t="shared" si="29"/>
        <v>43.462367727864319</v>
      </c>
      <c r="L191" s="41">
        <f>'B) D RI'!S192</f>
        <v>53</v>
      </c>
      <c r="M191" s="41">
        <f t="shared" si="24"/>
        <v>9.5376322721356814</v>
      </c>
      <c r="N191" s="142">
        <f>'J) Plafonnement effort'!G190+'J) Plafonnement effort'!H190-'K) Plafonnement aide'!I190</f>
        <v>43.384377076622407</v>
      </c>
      <c r="O191" s="142">
        <f t="shared" si="25"/>
        <v>52.922009348758088</v>
      </c>
      <c r="P191" s="55">
        <f t="shared" si="26"/>
        <v>0</v>
      </c>
      <c r="Q191" s="66">
        <f t="shared" si="30"/>
        <v>0</v>
      </c>
      <c r="R191" s="164">
        <f t="shared" si="27"/>
        <v>52.922009348758088</v>
      </c>
      <c r="S191" s="142">
        <f t="shared" si="28"/>
        <v>-7.7990651241911735E-2</v>
      </c>
      <c r="T191" s="163"/>
      <c r="V191" s="17"/>
    </row>
    <row r="192" spans="1:22" x14ac:dyDescent="0.25">
      <c r="A192" s="57">
        <f>'A) Base RI'!A193</f>
        <v>5714</v>
      </c>
      <c r="B192" s="64" t="str">
        <f>'A) Base RI'!B193</f>
        <v>Crassier</v>
      </c>
      <c r="C192" s="172">
        <v>1585726.6035518255</v>
      </c>
      <c r="D192" s="173">
        <v>1190500.0256235811</v>
      </c>
      <c r="E192" s="174">
        <v>0</v>
      </c>
      <c r="F192" s="173">
        <v>0</v>
      </c>
      <c r="G192" s="173">
        <v>0</v>
      </c>
      <c r="H192" s="175">
        <f t="shared" si="23"/>
        <v>2776226.6291754069</v>
      </c>
      <c r="I192" s="233">
        <v>74990.560937499991</v>
      </c>
      <c r="J192" s="109">
        <f>'B) D RI'!U193</f>
        <v>82427.7421875</v>
      </c>
      <c r="K192" s="76">
        <f t="shared" si="29"/>
        <v>37.021014304576553</v>
      </c>
      <c r="L192" s="41">
        <f>'B) D RI'!S193</f>
        <v>64</v>
      </c>
      <c r="M192" s="41">
        <f t="shared" si="24"/>
        <v>26.978985695423447</v>
      </c>
      <c r="N192" s="142">
        <f>'J) Plafonnement effort'!G191+'J) Plafonnement effort'!H191-'K) Plafonnement aide'!I191</f>
        <v>37.531528523241136</v>
      </c>
      <c r="O192" s="142">
        <f t="shared" si="25"/>
        <v>64.510514218664582</v>
      </c>
      <c r="P192" s="55">
        <f t="shared" si="26"/>
        <v>0</v>
      </c>
      <c r="Q192" s="66">
        <f t="shared" si="30"/>
        <v>0</v>
      </c>
      <c r="R192" s="164">
        <f t="shared" si="27"/>
        <v>64.510514218664582</v>
      </c>
      <c r="S192" s="142">
        <f t="shared" si="28"/>
        <v>0.51051421866458213</v>
      </c>
      <c r="T192" s="163"/>
      <c r="V192" s="17"/>
    </row>
    <row r="193" spans="1:22" x14ac:dyDescent="0.25">
      <c r="A193" s="57">
        <f>'A) Base RI'!A194</f>
        <v>5715</v>
      </c>
      <c r="B193" s="64" t="str">
        <f>'A) Base RI'!B194</f>
        <v>Duillier</v>
      </c>
      <c r="C193" s="172">
        <v>1291061.4083959269</v>
      </c>
      <c r="D193" s="173">
        <v>968179.8954123772</v>
      </c>
      <c r="E193" s="174">
        <v>0</v>
      </c>
      <c r="F193" s="173">
        <v>0</v>
      </c>
      <c r="G193" s="173">
        <v>0</v>
      </c>
      <c r="H193" s="175">
        <f t="shared" si="23"/>
        <v>2259241.303808304</v>
      </c>
      <c r="I193" s="233">
        <v>58313.27166666666</v>
      </c>
      <c r="J193" s="109">
        <f>'B) D RI'!U194</f>
        <v>64112.353030303027</v>
      </c>
      <c r="K193" s="76">
        <f t="shared" si="29"/>
        <v>38.743175253871811</v>
      </c>
      <c r="L193" s="41">
        <f>'B) D RI'!S194</f>
        <v>66</v>
      </c>
      <c r="M193" s="41">
        <f t="shared" si="24"/>
        <v>27.256824746128189</v>
      </c>
      <c r="N193" s="142">
        <f>'J) Plafonnement effort'!G192+'J) Plafonnement effort'!H192-'K) Plafonnement aide'!I192</f>
        <v>36.911362855145747</v>
      </c>
      <c r="O193" s="142">
        <f t="shared" si="25"/>
        <v>64.168187601273928</v>
      </c>
      <c r="P193" s="55">
        <f t="shared" si="26"/>
        <v>0</v>
      </c>
      <c r="Q193" s="66">
        <f t="shared" si="30"/>
        <v>0</v>
      </c>
      <c r="R193" s="164">
        <f t="shared" si="27"/>
        <v>64.168187601273928</v>
      </c>
      <c r="S193" s="142">
        <f t="shared" si="28"/>
        <v>-1.8318123987260719</v>
      </c>
      <c r="T193" s="163"/>
      <c r="V193" s="17"/>
    </row>
    <row r="194" spans="1:22" x14ac:dyDescent="0.25">
      <c r="A194" s="57">
        <f>'A) Base RI'!A195</f>
        <v>5716</v>
      </c>
      <c r="B194" s="64" t="str">
        <f>'A) Base RI'!B195</f>
        <v>Eysins</v>
      </c>
      <c r="C194" s="172">
        <v>3243364.386945216</v>
      </c>
      <c r="D194" s="173">
        <v>1828308.6328692448</v>
      </c>
      <c r="E194" s="174">
        <v>0</v>
      </c>
      <c r="F194" s="173">
        <v>0</v>
      </c>
      <c r="G194" s="173">
        <v>0</v>
      </c>
      <c r="H194" s="175">
        <f t="shared" ref="H194:H254" si="38">SUM(C194:G194)</f>
        <v>5071673.0198144605</v>
      </c>
      <c r="I194" s="233">
        <v>124360.51655737706</v>
      </c>
      <c r="J194" s="109">
        <f>'B) D RI'!U195</f>
        <v>93259.046229508182</v>
      </c>
      <c r="K194" s="76">
        <f t="shared" si="29"/>
        <v>40.782019568682863</v>
      </c>
      <c r="L194" s="41">
        <f>'B) D RI'!S195</f>
        <v>61</v>
      </c>
      <c r="M194" s="41">
        <f t="shared" si="24"/>
        <v>20.217980431317137</v>
      </c>
      <c r="N194" s="142">
        <f>'J) Plafonnement effort'!G193+'J) Plafonnement effort'!H193-'K) Plafonnement aide'!I193</f>
        <v>40.937614474857178</v>
      </c>
      <c r="O194" s="142">
        <f t="shared" si="25"/>
        <v>61.155594906174315</v>
      </c>
      <c r="P194" s="55">
        <f t="shared" si="26"/>
        <v>0</v>
      </c>
      <c r="Q194" s="66">
        <f t="shared" si="30"/>
        <v>0</v>
      </c>
      <c r="R194" s="164">
        <f t="shared" si="27"/>
        <v>61.155594906174315</v>
      </c>
      <c r="S194" s="142">
        <f t="shared" si="28"/>
        <v>0.15559490617431493</v>
      </c>
      <c r="T194" s="163"/>
      <c r="V194" s="17"/>
    </row>
    <row r="195" spans="1:22" x14ac:dyDescent="0.25">
      <c r="A195" s="57">
        <f>'A) Base RI'!A196</f>
        <v>5717</v>
      </c>
      <c r="B195" s="64" t="str">
        <f>'A) Base RI'!B196</f>
        <v>Founex</v>
      </c>
      <c r="C195" s="172">
        <v>10015363.673390914</v>
      </c>
      <c r="D195" s="173">
        <v>4557169.4724322809</v>
      </c>
      <c r="E195" s="174">
        <v>0</v>
      </c>
      <c r="F195" s="173">
        <v>0</v>
      </c>
      <c r="G195" s="173">
        <v>0</v>
      </c>
      <c r="H195" s="175">
        <f t="shared" si="38"/>
        <v>14572533.145823196</v>
      </c>
      <c r="I195" s="233">
        <v>345595.68736842106</v>
      </c>
      <c r="J195" s="109">
        <f>'B) D RI'!U196</f>
        <v>359686.500877193</v>
      </c>
      <c r="K195" s="76">
        <f t="shared" si="29"/>
        <v>42.166420700407059</v>
      </c>
      <c r="L195" s="41">
        <f>'B) D RI'!S196</f>
        <v>57</v>
      </c>
      <c r="M195" s="41">
        <f t="shared" si="24"/>
        <v>14.833579299592941</v>
      </c>
      <c r="N195" s="142">
        <f>'J) Plafonnement effort'!G194+'J) Plafonnement effort'!H194-'K) Plafonnement aide'!I194</f>
        <v>42.006813303770336</v>
      </c>
      <c r="O195" s="142">
        <f t="shared" si="25"/>
        <v>56.840392603363277</v>
      </c>
      <c r="P195" s="55">
        <f t="shared" si="26"/>
        <v>0</v>
      </c>
      <c r="Q195" s="66">
        <f t="shared" si="30"/>
        <v>0</v>
      </c>
      <c r="R195" s="164">
        <f t="shared" si="27"/>
        <v>56.840392603363277</v>
      </c>
      <c r="S195" s="142">
        <f t="shared" si="28"/>
        <v>-0.15960739663672285</v>
      </c>
      <c r="T195" s="163"/>
      <c r="V195" s="17"/>
    </row>
    <row r="196" spans="1:22" x14ac:dyDescent="0.25">
      <c r="A196" s="57">
        <f>'A) Base RI'!A197</f>
        <v>5718</v>
      </c>
      <c r="B196" s="64" t="str">
        <f>'A) Base RI'!B197</f>
        <v>Genolier</v>
      </c>
      <c r="C196" s="172">
        <v>3664523.9038247727</v>
      </c>
      <c r="D196" s="173">
        <v>2119299.1013739696</v>
      </c>
      <c r="E196" s="174">
        <v>0</v>
      </c>
      <c r="F196" s="173">
        <v>0</v>
      </c>
      <c r="G196" s="173">
        <v>0</v>
      </c>
      <c r="H196" s="175">
        <f t="shared" si="38"/>
        <v>5783823.0051987423</v>
      </c>
      <c r="I196" s="233">
        <v>147563.83054545455</v>
      </c>
      <c r="J196" s="109">
        <f>'B) D RI'!U197</f>
        <v>194551.61054545455</v>
      </c>
      <c r="K196" s="76">
        <f t="shared" si="29"/>
        <v>39.195397570118871</v>
      </c>
      <c r="L196" s="41">
        <f>'B) D RI'!S197</f>
        <v>55</v>
      </c>
      <c r="M196" s="41">
        <f t="shared" si="24"/>
        <v>15.804602429881129</v>
      </c>
      <c r="N196" s="142">
        <f>'J) Plafonnement effort'!G195+'J) Plafonnement effort'!H195-'K) Plafonnement aide'!I195</f>
        <v>42.921835236078699</v>
      </c>
      <c r="O196" s="142">
        <f t="shared" si="25"/>
        <v>58.726437665959828</v>
      </c>
      <c r="P196" s="55">
        <f t="shared" si="26"/>
        <v>0</v>
      </c>
      <c r="Q196" s="66">
        <f t="shared" si="30"/>
        <v>0</v>
      </c>
      <c r="R196" s="164">
        <f t="shared" si="27"/>
        <v>58.726437665959828</v>
      </c>
      <c r="S196" s="142">
        <f t="shared" si="28"/>
        <v>3.7264376659598284</v>
      </c>
      <c r="T196" s="163"/>
      <c r="V196" s="17"/>
    </row>
    <row r="197" spans="1:22" x14ac:dyDescent="0.25">
      <c r="A197" s="57">
        <f>'A) Base RI'!A198</f>
        <v>5719</v>
      </c>
      <c r="B197" s="64" t="str">
        <f>'A) Base RI'!B198</f>
        <v>Gingins</v>
      </c>
      <c r="C197" s="172">
        <v>2427738.1463237233</v>
      </c>
      <c r="D197" s="173">
        <v>1472619.8304760184</v>
      </c>
      <c r="E197" s="174">
        <v>0</v>
      </c>
      <c r="F197" s="173">
        <v>0</v>
      </c>
      <c r="G197" s="173">
        <v>0</v>
      </c>
      <c r="H197" s="175">
        <f t="shared" si="38"/>
        <v>3900357.9767997414</v>
      </c>
      <c r="I197" s="233">
        <v>96514.726140350875</v>
      </c>
      <c r="J197" s="109">
        <f>'B) D RI'!U198</f>
        <v>90011.711578947361</v>
      </c>
      <c r="K197" s="76">
        <f t="shared" si="29"/>
        <v>40.412050396619009</v>
      </c>
      <c r="L197" s="41">
        <f>'B) D RI'!S198</f>
        <v>57</v>
      </c>
      <c r="M197" s="41">
        <f t="shared" si="24"/>
        <v>16.587949603380991</v>
      </c>
      <c r="N197" s="142">
        <f>'J) Plafonnement effort'!G196+'J) Plafonnement effort'!H196-'K) Plafonnement aide'!I196</f>
        <v>41.856951612506151</v>
      </c>
      <c r="O197" s="142">
        <f t="shared" si="25"/>
        <v>58.444901215887143</v>
      </c>
      <c r="P197" s="55">
        <f t="shared" si="26"/>
        <v>0</v>
      </c>
      <c r="Q197" s="66">
        <f t="shared" si="30"/>
        <v>0</v>
      </c>
      <c r="R197" s="164">
        <f t="shared" si="27"/>
        <v>58.444901215887143</v>
      </c>
      <c r="S197" s="142">
        <f t="shared" si="28"/>
        <v>1.4449012158871426</v>
      </c>
      <c r="T197" s="163"/>
      <c r="V197" s="17"/>
    </row>
    <row r="198" spans="1:22" x14ac:dyDescent="0.25">
      <c r="A198" s="57">
        <f>'A) Base RI'!A199</f>
        <v>5720</v>
      </c>
      <c r="B198" s="64" t="str">
        <f>'A) Base RI'!B199</f>
        <v>Givrins</v>
      </c>
      <c r="C198" s="172">
        <v>2256585.4687344367</v>
      </c>
      <c r="D198" s="173">
        <v>1270059.8252029417</v>
      </c>
      <c r="E198" s="174">
        <v>0</v>
      </c>
      <c r="F198" s="173">
        <v>0</v>
      </c>
      <c r="G198" s="173">
        <v>0</v>
      </c>
      <c r="H198" s="175">
        <f t="shared" si="38"/>
        <v>3526645.2939373786</v>
      </c>
      <c r="I198" s="233">
        <v>81037.865428051009</v>
      </c>
      <c r="J198" s="109">
        <f>'B) D RI'!U199</f>
        <v>73631.281876138426</v>
      </c>
      <c r="K198" s="76">
        <f t="shared" si="29"/>
        <v>43.518487009859484</v>
      </c>
      <c r="L198" s="41">
        <f>'B) D RI'!S199</f>
        <v>61</v>
      </c>
      <c r="M198" s="41">
        <f t="shared" si="24"/>
        <v>17.481512990140516</v>
      </c>
      <c r="N198" s="142">
        <f>'J) Plafonnement effort'!G197+'J) Plafonnement effort'!H197-'K) Plafonnement aide'!I197</f>
        <v>38.514424289000715</v>
      </c>
      <c r="O198" s="142">
        <f t="shared" si="25"/>
        <v>55.995937279141231</v>
      </c>
      <c r="P198" s="55">
        <f t="shared" si="26"/>
        <v>0</v>
      </c>
      <c r="Q198" s="66">
        <f t="shared" si="30"/>
        <v>0</v>
      </c>
      <c r="R198" s="164">
        <f t="shared" si="27"/>
        <v>55.995937279141231</v>
      </c>
      <c r="S198" s="142">
        <f t="shared" si="28"/>
        <v>-5.0040627208587694</v>
      </c>
      <c r="T198" s="163"/>
      <c r="V198" s="17"/>
    </row>
    <row r="199" spans="1:22" x14ac:dyDescent="0.25">
      <c r="A199" s="57">
        <f>'A) Base RI'!A200</f>
        <v>5721</v>
      </c>
      <c r="B199" s="64" t="str">
        <f>'A) Base RI'!B200</f>
        <v>Gland</v>
      </c>
      <c r="C199" s="172">
        <v>11052446.063227879</v>
      </c>
      <c r="D199" s="173">
        <v>2979765.8441017084</v>
      </c>
      <c r="E199" s="174">
        <v>0</v>
      </c>
      <c r="F199" s="173">
        <v>0</v>
      </c>
      <c r="G199" s="173">
        <v>0</v>
      </c>
      <c r="H199" s="175">
        <f t="shared" si="38"/>
        <v>14032211.907329587</v>
      </c>
      <c r="I199" s="233">
        <v>556574.85335272714</v>
      </c>
      <c r="J199" s="109">
        <f>'B) D RI'!U200</f>
        <v>541149.08192000003</v>
      </c>
      <c r="K199" s="76">
        <f t="shared" si="29"/>
        <v>25.211724573615847</v>
      </c>
      <c r="L199" s="41">
        <f>'B) D RI'!S200</f>
        <v>62.5</v>
      </c>
      <c r="M199" s="41">
        <f t="shared" si="24"/>
        <v>37.288275426384153</v>
      </c>
      <c r="N199" s="142">
        <f>'J) Plafonnement effort'!G198+'J) Plafonnement effort'!H198-'K) Plafonnement aide'!I198</f>
        <v>22.324240347350678</v>
      </c>
      <c r="O199" s="142">
        <f t="shared" si="25"/>
        <v>59.612515773734827</v>
      </c>
      <c r="P199" s="55">
        <f t="shared" si="26"/>
        <v>0</v>
      </c>
      <c r="Q199" s="66">
        <f t="shared" si="30"/>
        <v>0</v>
      </c>
      <c r="R199" s="164">
        <f t="shared" si="27"/>
        <v>59.612515773734827</v>
      </c>
      <c r="S199" s="142">
        <f t="shared" si="28"/>
        <v>-2.8874842262651725</v>
      </c>
      <c r="T199" s="163"/>
      <c r="V199" s="17"/>
    </row>
    <row r="200" spans="1:22" x14ac:dyDescent="0.25">
      <c r="A200" s="57">
        <f>'A) Base RI'!A201</f>
        <v>5722</v>
      </c>
      <c r="B200" s="64" t="str">
        <f>'A) Base RI'!B201</f>
        <v>Grens</v>
      </c>
      <c r="C200" s="172">
        <v>412627.17655559327</v>
      </c>
      <c r="D200" s="173">
        <v>378396.58566453634</v>
      </c>
      <c r="E200" s="174">
        <v>0</v>
      </c>
      <c r="F200" s="173">
        <v>0</v>
      </c>
      <c r="G200" s="173">
        <v>0</v>
      </c>
      <c r="H200" s="175">
        <f t="shared" si="38"/>
        <v>791023.7622201296</v>
      </c>
      <c r="I200" s="233">
        <v>22888.286666666663</v>
      </c>
      <c r="J200" s="109">
        <f>'B) D RI'!U201</f>
        <v>20499.342258064513</v>
      </c>
      <c r="K200" s="76">
        <f t="shared" si="29"/>
        <v>34.560199884779337</v>
      </c>
      <c r="L200" s="41">
        <f>'B) D RI'!S201</f>
        <v>62</v>
      </c>
      <c r="M200" s="41">
        <f t="shared" si="24"/>
        <v>27.439800115220663</v>
      </c>
      <c r="N200" s="142">
        <f>'J) Plafonnement effort'!G199+'J) Plafonnement effort'!H199-'K) Plafonnement aide'!I199</f>
        <v>41.288124374068438</v>
      </c>
      <c r="O200" s="142">
        <f t="shared" si="25"/>
        <v>68.727924489289109</v>
      </c>
      <c r="P200" s="55">
        <f t="shared" si="26"/>
        <v>0</v>
      </c>
      <c r="Q200" s="66">
        <f t="shared" si="30"/>
        <v>0</v>
      </c>
      <c r="R200" s="164">
        <f t="shared" si="27"/>
        <v>68.727924489289109</v>
      </c>
      <c r="S200" s="142">
        <f t="shared" si="28"/>
        <v>6.7279244892891086</v>
      </c>
      <c r="T200" s="163"/>
      <c r="V200" s="17"/>
    </row>
    <row r="201" spans="1:22" x14ac:dyDescent="0.25">
      <c r="A201" s="57">
        <f>'A) Base RI'!A202</f>
        <v>5723</v>
      </c>
      <c r="B201" s="64" t="str">
        <f>'A) Base RI'!B202</f>
        <v>Mies</v>
      </c>
      <c r="C201" s="172">
        <v>8095204.627054086</v>
      </c>
      <c r="D201" s="173">
        <v>3509132.3032205678</v>
      </c>
      <c r="E201" s="174">
        <v>0</v>
      </c>
      <c r="F201" s="173">
        <v>0</v>
      </c>
      <c r="G201" s="173">
        <v>0</v>
      </c>
      <c r="H201" s="175">
        <f t="shared" si="38"/>
        <v>11604336.930274654</v>
      </c>
      <c r="I201" s="233">
        <v>265838.70510204078</v>
      </c>
      <c r="J201" s="109">
        <f>'B) D RI'!U202</f>
        <v>621558.82755102031</v>
      </c>
      <c r="K201" s="76">
        <f t="shared" si="29"/>
        <v>43.651796023533862</v>
      </c>
      <c r="L201" s="41">
        <f>'B) D RI'!S202</f>
        <v>49</v>
      </c>
      <c r="M201" s="41">
        <f t="shared" si="24"/>
        <v>5.348203976466138</v>
      </c>
      <c r="N201" s="142">
        <f>'J) Plafonnement effort'!G200+'J) Plafonnement effort'!H200-'K) Plafonnement aide'!I200</f>
        <v>45</v>
      </c>
      <c r="O201" s="142">
        <f t="shared" si="25"/>
        <v>50.348203976466138</v>
      </c>
      <c r="P201" s="55">
        <f t="shared" si="26"/>
        <v>0</v>
      </c>
      <c r="Q201" s="66">
        <f t="shared" si="30"/>
        <v>0</v>
      </c>
      <c r="R201" s="164">
        <f t="shared" si="27"/>
        <v>50.348203976466138</v>
      </c>
      <c r="S201" s="142">
        <f t="shared" si="28"/>
        <v>1.348203976466138</v>
      </c>
      <c r="T201" s="163"/>
      <c r="V201" s="17"/>
    </row>
    <row r="202" spans="1:22" x14ac:dyDescent="0.25">
      <c r="A202" s="57">
        <f>'A) Base RI'!A203</f>
        <v>5724</v>
      </c>
      <c r="B202" s="64" t="str">
        <f>'A) Base RI'!B203</f>
        <v>Nyon</v>
      </c>
      <c r="C202" s="172">
        <v>30949377.893902253</v>
      </c>
      <c r="D202" s="173">
        <v>9537473.2318147812</v>
      </c>
      <c r="E202" s="174">
        <v>0</v>
      </c>
      <c r="F202" s="173">
        <v>0</v>
      </c>
      <c r="G202" s="173">
        <v>0</v>
      </c>
      <c r="H202" s="175">
        <f t="shared" si="38"/>
        <v>40486851.125717036</v>
      </c>
      <c r="I202" s="233">
        <v>1373447.3453593946</v>
      </c>
      <c r="J202" s="109">
        <f>'B) D RI'!U203</f>
        <v>1418675.3806683479</v>
      </c>
      <c r="K202" s="76">
        <f t="shared" si="29"/>
        <v>29.478269598404378</v>
      </c>
      <c r="L202" s="41">
        <f>'B) D RI'!S203</f>
        <v>61</v>
      </c>
      <c r="M202" s="41">
        <f t="shared" si="24"/>
        <v>31.521730401595622</v>
      </c>
      <c r="N202" s="142">
        <f>'J) Plafonnement effort'!G201+'J) Plafonnement effort'!H201-'K) Plafonnement aide'!I201</f>
        <v>30.729779111075437</v>
      </c>
      <c r="O202" s="142">
        <f t="shared" si="25"/>
        <v>62.251509512671063</v>
      </c>
      <c r="P202" s="55">
        <f t="shared" si="26"/>
        <v>0</v>
      </c>
      <c r="Q202" s="66">
        <f t="shared" si="30"/>
        <v>0</v>
      </c>
      <c r="R202" s="164">
        <f t="shared" si="27"/>
        <v>62.251509512671063</v>
      </c>
      <c r="S202" s="142">
        <f t="shared" si="28"/>
        <v>1.2515095126710634</v>
      </c>
      <c r="T202" s="163"/>
      <c r="V202" s="17"/>
    </row>
    <row r="203" spans="1:22" x14ac:dyDescent="0.25">
      <c r="A203" s="57">
        <f>'A) Base RI'!A204</f>
        <v>5725</v>
      </c>
      <c r="B203" s="64" t="str">
        <f>'A) Base RI'!B204</f>
        <v>Prangins</v>
      </c>
      <c r="C203" s="172">
        <v>6585361.2292803526</v>
      </c>
      <c r="D203" s="173">
        <v>3631683.7312863888</v>
      </c>
      <c r="E203" s="174">
        <v>0</v>
      </c>
      <c r="F203" s="173">
        <v>0</v>
      </c>
      <c r="G203" s="173">
        <v>0</v>
      </c>
      <c r="H203" s="175">
        <f t="shared" si="38"/>
        <v>10217044.96056674</v>
      </c>
      <c r="I203" s="233">
        <v>279071.20818877552</v>
      </c>
      <c r="J203" s="109">
        <f>'B) D RI'!U204</f>
        <v>319840.55765306117</v>
      </c>
      <c r="K203" s="76">
        <f t="shared" si="29"/>
        <v>36.610888765191071</v>
      </c>
      <c r="L203" s="41">
        <f>'B) D RI'!S204</f>
        <v>56</v>
      </c>
      <c r="M203" s="41">
        <f t="shared" si="24"/>
        <v>19.389111234808929</v>
      </c>
      <c r="N203" s="142">
        <f>'J) Plafonnement effort'!G202+'J) Plafonnement effort'!H202-'K) Plafonnement aide'!I202</f>
        <v>37.185247847231174</v>
      </c>
      <c r="O203" s="142">
        <f t="shared" si="25"/>
        <v>56.574359082040104</v>
      </c>
      <c r="P203" s="55">
        <f t="shared" si="26"/>
        <v>0</v>
      </c>
      <c r="Q203" s="66">
        <f t="shared" si="30"/>
        <v>0</v>
      </c>
      <c r="R203" s="164">
        <f t="shared" si="27"/>
        <v>56.574359082040104</v>
      </c>
      <c r="S203" s="142">
        <f t="shared" si="28"/>
        <v>0.57435908204010389</v>
      </c>
      <c r="T203" s="163"/>
      <c r="V203" s="17"/>
    </row>
    <row r="204" spans="1:22" x14ac:dyDescent="0.25">
      <c r="A204" s="57">
        <f>'A) Base RI'!A205</f>
        <v>5726</v>
      </c>
      <c r="B204" s="64" t="str">
        <f>'A) Base RI'!B205</f>
        <v>La Rippe</v>
      </c>
      <c r="C204" s="172">
        <v>1142309.8257116869</v>
      </c>
      <c r="D204" s="173">
        <v>987227.47224747529</v>
      </c>
      <c r="E204" s="174">
        <v>0</v>
      </c>
      <c r="F204" s="173">
        <v>0</v>
      </c>
      <c r="G204" s="173">
        <v>0</v>
      </c>
      <c r="H204" s="175">
        <f t="shared" si="38"/>
        <v>2129537.2979591619</v>
      </c>
      <c r="I204" s="233">
        <v>60430.074769230778</v>
      </c>
      <c r="J204" s="109">
        <f>'B) D RI'!U205</f>
        <v>62420.845692307696</v>
      </c>
      <c r="K204" s="76">
        <f t="shared" si="29"/>
        <v>35.239693250279743</v>
      </c>
      <c r="L204" s="41">
        <f>'B) D RI'!S205</f>
        <v>65</v>
      </c>
      <c r="M204" s="41">
        <f t="shared" si="24"/>
        <v>29.760306749720257</v>
      </c>
      <c r="N204" s="142">
        <f>'J) Plafonnement effort'!G203+'J) Plafonnement effort'!H203-'K) Plafonnement aide'!I203</f>
        <v>33.182733474325325</v>
      </c>
      <c r="O204" s="142">
        <f t="shared" si="25"/>
        <v>62.943040224045582</v>
      </c>
      <c r="P204" s="55">
        <f t="shared" si="26"/>
        <v>0</v>
      </c>
      <c r="Q204" s="66">
        <f t="shared" si="30"/>
        <v>0</v>
      </c>
      <c r="R204" s="164">
        <f t="shared" si="27"/>
        <v>62.943040224045582</v>
      </c>
      <c r="S204" s="142">
        <f t="shared" si="28"/>
        <v>-2.056959775954418</v>
      </c>
      <c r="T204" s="163"/>
      <c r="V204" s="17"/>
    </row>
    <row r="205" spans="1:22" x14ac:dyDescent="0.25">
      <c r="A205" s="57">
        <f>'A) Base RI'!A206</f>
        <v>5727</v>
      </c>
      <c r="B205" s="64" t="str">
        <f>'A) Base RI'!B206</f>
        <v>Saint-Cergue</v>
      </c>
      <c r="C205" s="172">
        <v>1787141.8483030512</v>
      </c>
      <c r="D205" s="173">
        <v>893773.68110286165</v>
      </c>
      <c r="E205" s="174">
        <v>0</v>
      </c>
      <c r="F205" s="173">
        <v>0</v>
      </c>
      <c r="G205" s="173">
        <v>0</v>
      </c>
      <c r="H205" s="175">
        <f t="shared" si="38"/>
        <v>2680915.5294059129</v>
      </c>
      <c r="I205" s="233">
        <v>92384.571565656559</v>
      </c>
      <c r="J205" s="109">
        <f>'B) D RI'!U206</f>
        <v>94126.01979797981</v>
      </c>
      <c r="K205" s="76">
        <f t="shared" si="29"/>
        <v>29.019082775099733</v>
      </c>
      <c r="L205" s="41">
        <f>'B) D RI'!S206</f>
        <v>66</v>
      </c>
      <c r="M205" s="41">
        <f t="shared" si="24"/>
        <v>36.980917224900267</v>
      </c>
      <c r="N205" s="142">
        <f>'J) Plafonnement effort'!G204+'J) Plafonnement effort'!H204-'K) Plafonnement aide'!I204</f>
        <v>20.787272904663055</v>
      </c>
      <c r="O205" s="142">
        <f t="shared" si="25"/>
        <v>57.768190129563322</v>
      </c>
      <c r="P205" s="55">
        <f t="shared" si="26"/>
        <v>0</v>
      </c>
      <c r="Q205" s="66">
        <f t="shared" si="30"/>
        <v>0</v>
      </c>
      <c r="R205" s="164">
        <f t="shared" si="27"/>
        <v>57.768190129563322</v>
      </c>
      <c r="S205" s="142">
        <f t="shared" si="28"/>
        <v>-8.2318098704366776</v>
      </c>
      <c r="T205" s="163"/>
      <c r="V205" s="17"/>
    </row>
    <row r="206" spans="1:22" x14ac:dyDescent="0.25">
      <c r="A206" s="57">
        <f>'A) Base RI'!A207</f>
        <v>5728</v>
      </c>
      <c r="B206" s="64" t="str">
        <f>'A) Base RI'!B207</f>
        <v>Signy-Avenex</v>
      </c>
      <c r="C206" s="172">
        <v>801728.54781464487</v>
      </c>
      <c r="D206" s="173">
        <v>544309.0482057092</v>
      </c>
      <c r="E206" s="174">
        <v>0</v>
      </c>
      <c r="F206" s="173">
        <v>0</v>
      </c>
      <c r="G206" s="173">
        <v>0</v>
      </c>
      <c r="H206" s="175">
        <f t="shared" si="38"/>
        <v>1346037.596020354</v>
      </c>
      <c r="I206" s="233">
        <v>33632.696071428574</v>
      </c>
      <c r="J206" s="109">
        <f>'B) D RI'!U207</f>
        <v>33547.613749999997</v>
      </c>
      <c r="K206" s="76">
        <f t="shared" si="29"/>
        <v>40.021697730139181</v>
      </c>
      <c r="L206" s="41">
        <f>'B) D RI'!S207</f>
        <v>56</v>
      </c>
      <c r="M206" s="41">
        <f t="shared" si="24"/>
        <v>15.978302269860819</v>
      </c>
      <c r="N206" s="142">
        <f>'J) Plafonnement effort'!G205+'J) Plafonnement effort'!H205-'K) Plafonnement aide'!I205</f>
        <v>41.144740286746881</v>
      </c>
      <c r="O206" s="142">
        <f t="shared" si="25"/>
        <v>57.1230425566077</v>
      </c>
      <c r="P206" s="55">
        <f t="shared" si="26"/>
        <v>0</v>
      </c>
      <c r="Q206" s="66">
        <f t="shared" si="30"/>
        <v>0</v>
      </c>
      <c r="R206" s="164">
        <f t="shared" si="27"/>
        <v>57.1230425566077</v>
      </c>
      <c r="S206" s="142">
        <f t="shared" si="28"/>
        <v>1.1230425566077002</v>
      </c>
      <c r="T206" s="163"/>
      <c r="V206" s="17"/>
    </row>
    <row r="207" spans="1:22" x14ac:dyDescent="0.25">
      <c r="A207" s="57">
        <f>'A) Base RI'!A208</f>
        <v>5729</v>
      </c>
      <c r="B207" s="64" t="str">
        <f>'A) Base RI'!B208</f>
        <v>Tannay</v>
      </c>
      <c r="C207" s="172">
        <v>3758973.5658648908</v>
      </c>
      <c r="D207" s="173">
        <v>2004033.471929128</v>
      </c>
      <c r="E207" s="174">
        <v>0</v>
      </c>
      <c r="F207" s="173">
        <v>0</v>
      </c>
      <c r="G207" s="173">
        <v>0</v>
      </c>
      <c r="H207" s="175">
        <f t="shared" si="38"/>
        <v>5763007.0377940191</v>
      </c>
      <c r="I207" s="233">
        <v>138438.0717486339</v>
      </c>
      <c r="J207" s="109">
        <f>'B) D RI'!U208</f>
        <v>141635.67650273221</v>
      </c>
      <c r="K207" s="76">
        <f t="shared" si="29"/>
        <v>41.628772815169526</v>
      </c>
      <c r="L207" s="41">
        <f>'B) D RI'!S208</f>
        <v>61</v>
      </c>
      <c r="M207" s="41">
        <f t="shared" si="24"/>
        <v>19.371227184830474</v>
      </c>
      <c r="N207" s="142">
        <f>'J) Plafonnement effort'!G206+'J) Plafonnement effort'!H206-'K) Plafonnement aide'!I206</f>
        <v>42.142261919447634</v>
      </c>
      <c r="O207" s="142">
        <f t="shared" si="25"/>
        <v>61.513489104278108</v>
      </c>
      <c r="P207" s="55">
        <f t="shared" si="26"/>
        <v>0</v>
      </c>
      <c r="Q207" s="66">
        <f t="shared" si="30"/>
        <v>0</v>
      </c>
      <c r="R207" s="164">
        <f t="shared" si="27"/>
        <v>61.513489104278108</v>
      </c>
      <c r="S207" s="142">
        <f t="shared" si="28"/>
        <v>0.51348910427810779</v>
      </c>
      <c r="T207" s="163"/>
      <c r="V207" s="17"/>
    </row>
    <row r="208" spans="1:22" x14ac:dyDescent="0.25">
      <c r="A208" s="57">
        <f>'A) Base RI'!A209</f>
        <v>5730</v>
      </c>
      <c r="B208" s="64" t="str">
        <f>'A) Base RI'!B209</f>
        <v>Trélex</v>
      </c>
      <c r="C208" s="172">
        <v>3938365.0373841785</v>
      </c>
      <c r="D208" s="173">
        <v>2124684.6970745269</v>
      </c>
      <c r="E208" s="174">
        <v>0</v>
      </c>
      <c r="F208" s="173">
        <v>0</v>
      </c>
      <c r="G208" s="173">
        <v>0</v>
      </c>
      <c r="H208" s="175">
        <f t="shared" si="38"/>
        <v>6063049.7344587054</v>
      </c>
      <c r="I208" s="233">
        <v>149022.17830188677</v>
      </c>
      <c r="J208" s="109">
        <f>'B) D RI'!U209</f>
        <v>125167.38524366473</v>
      </c>
      <c r="K208" s="76">
        <f t="shared" si="29"/>
        <v>40.685553006588556</v>
      </c>
      <c r="L208" s="41">
        <f>'B) D RI'!S209</f>
        <v>57</v>
      </c>
      <c r="M208" s="41">
        <f t="shared" si="24"/>
        <v>16.314446993411444</v>
      </c>
      <c r="N208" s="142">
        <f>'J) Plafonnement effort'!G207+'J) Plafonnement effort'!H207-'K) Plafonnement aide'!I207</f>
        <v>39.503215842675466</v>
      </c>
      <c r="O208" s="142">
        <f t="shared" si="25"/>
        <v>55.81766283608691</v>
      </c>
      <c r="P208" s="55">
        <f t="shared" si="26"/>
        <v>0</v>
      </c>
      <c r="Q208" s="66">
        <f t="shared" si="30"/>
        <v>0</v>
      </c>
      <c r="R208" s="164">
        <f t="shared" si="27"/>
        <v>55.81766283608691</v>
      </c>
      <c r="S208" s="142">
        <f t="shared" si="28"/>
        <v>-1.1823371639130897</v>
      </c>
      <c r="T208" s="163"/>
      <c r="V208" s="17"/>
    </row>
    <row r="209" spans="1:22" x14ac:dyDescent="0.25">
      <c r="A209" s="57">
        <f>'A) Base RI'!A210</f>
        <v>5731</v>
      </c>
      <c r="B209" s="64" t="str">
        <f>'A) Base RI'!B210</f>
        <v>Le Vaud</v>
      </c>
      <c r="C209" s="172">
        <v>872324.31997431803</v>
      </c>
      <c r="D209" s="173">
        <v>493302.57121051277</v>
      </c>
      <c r="E209" s="174">
        <v>0</v>
      </c>
      <c r="F209" s="173">
        <v>0</v>
      </c>
      <c r="G209" s="173">
        <v>0</v>
      </c>
      <c r="H209" s="175">
        <f t="shared" si="38"/>
        <v>1365626.8911848308</v>
      </c>
      <c r="I209" s="233">
        <v>46449.882799999999</v>
      </c>
      <c r="J209" s="109">
        <f>'B) D RI'!U210</f>
        <v>47266.974133333322</v>
      </c>
      <c r="K209" s="76">
        <f t="shared" si="29"/>
        <v>29.400007252221329</v>
      </c>
      <c r="L209" s="41">
        <f>'B) D RI'!S210</f>
        <v>75</v>
      </c>
      <c r="M209" s="41">
        <f t="shared" si="24"/>
        <v>45.599992747778671</v>
      </c>
      <c r="N209" s="142">
        <f>'J) Plafonnement effort'!G208+'J) Plafonnement effort'!H208-'K) Plafonnement aide'!I208</f>
        <v>26.837644404540328</v>
      </c>
      <c r="O209" s="142">
        <f t="shared" si="25"/>
        <v>72.437637152318999</v>
      </c>
      <c r="P209" s="55">
        <f t="shared" si="26"/>
        <v>0</v>
      </c>
      <c r="Q209" s="66">
        <f t="shared" si="30"/>
        <v>0</v>
      </c>
      <c r="R209" s="164">
        <f t="shared" si="27"/>
        <v>72.437637152318999</v>
      </c>
      <c r="S209" s="142">
        <f t="shared" si="28"/>
        <v>-2.5623628476810012</v>
      </c>
      <c r="T209" s="163"/>
      <c r="V209" s="17"/>
    </row>
    <row r="210" spans="1:22" x14ac:dyDescent="0.25">
      <c r="A210" s="57">
        <f>'A) Base RI'!A211</f>
        <v>5732</v>
      </c>
      <c r="B210" s="64" t="str">
        <f>'A) Base RI'!B211</f>
        <v>Vich</v>
      </c>
      <c r="C210" s="172">
        <v>1446886.7119681616</v>
      </c>
      <c r="D210" s="173">
        <v>937623.45458474394</v>
      </c>
      <c r="E210" s="174">
        <v>0</v>
      </c>
      <c r="F210" s="173">
        <v>0</v>
      </c>
      <c r="G210" s="173">
        <v>0</v>
      </c>
      <c r="H210" s="175">
        <f t="shared" si="38"/>
        <v>2384510.1665529055</v>
      </c>
      <c r="I210" s="233">
        <v>57292.894852941186</v>
      </c>
      <c r="J210" s="109">
        <f>'B) D RI'!U211</f>
        <v>76343.818235294122</v>
      </c>
      <c r="K210" s="76">
        <f t="shared" si="29"/>
        <v>41.619648870482834</v>
      </c>
      <c r="L210" s="41">
        <f>'B) D RI'!S211</f>
        <v>68</v>
      </c>
      <c r="M210" s="41">
        <f t="shared" si="24"/>
        <v>26.380351129517166</v>
      </c>
      <c r="N210" s="142">
        <f>'J) Plafonnement effort'!G209+'J) Plafonnement effort'!H209-'K) Plafonnement aide'!I209</f>
        <v>41.089194649523293</v>
      </c>
      <c r="O210" s="142">
        <f t="shared" si="25"/>
        <v>67.469545779040459</v>
      </c>
      <c r="P210" s="55">
        <f t="shared" si="26"/>
        <v>0</v>
      </c>
      <c r="Q210" s="66">
        <f t="shared" si="30"/>
        <v>0</v>
      </c>
      <c r="R210" s="164">
        <f t="shared" si="27"/>
        <v>67.469545779040459</v>
      </c>
      <c r="S210" s="142">
        <f t="shared" si="28"/>
        <v>-0.53045422095954109</v>
      </c>
      <c r="T210" s="163"/>
      <c r="V210" s="17"/>
    </row>
    <row r="211" spans="1:22" x14ac:dyDescent="0.25">
      <c r="A211" s="57">
        <f>'A) Base RI'!A212</f>
        <v>5741</v>
      </c>
      <c r="B211" s="64" t="str">
        <f>'A) Base RI'!B212</f>
        <v>L'Abergement</v>
      </c>
      <c r="C211" s="172">
        <v>124764.22785456685</v>
      </c>
      <c r="D211" s="173">
        <v>179.73141529774875</v>
      </c>
      <c r="E211" s="174">
        <v>0</v>
      </c>
      <c r="F211" s="173">
        <v>0</v>
      </c>
      <c r="G211" s="173">
        <v>0</v>
      </c>
      <c r="H211" s="175">
        <f t="shared" si="38"/>
        <v>124943.9592698646</v>
      </c>
      <c r="I211" s="233">
        <v>6994.8889917695487</v>
      </c>
      <c r="J211" s="109">
        <f>'B) D RI'!U212</f>
        <v>6474.3855761316872</v>
      </c>
      <c r="K211" s="76">
        <f t="shared" si="29"/>
        <v>17.862179001965348</v>
      </c>
      <c r="L211" s="41">
        <f>'B) D RI'!S212</f>
        <v>81</v>
      </c>
      <c r="M211" s="41">
        <f t="shared" si="24"/>
        <v>63.137820998034655</v>
      </c>
      <c r="N211" s="142">
        <f>'J) Plafonnement effort'!G210+'J) Plafonnement effort'!H210-'K) Plafonnement aide'!I210</f>
        <v>7.863841629393022</v>
      </c>
      <c r="O211" s="142">
        <f t="shared" si="25"/>
        <v>71.001662627427677</v>
      </c>
      <c r="P211" s="55">
        <f t="shared" si="26"/>
        <v>0</v>
      </c>
      <c r="Q211" s="66">
        <f t="shared" si="30"/>
        <v>0</v>
      </c>
      <c r="R211" s="164">
        <f t="shared" si="27"/>
        <v>71.001662627427677</v>
      </c>
      <c r="S211" s="142">
        <f t="shared" si="28"/>
        <v>-9.9983373725723226</v>
      </c>
      <c r="T211" s="163"/>
      <c r="V211" s="17"/>
    </row>
    <row r="212" spans="1:22" x14ac:dyDescent="0.25">
      <c r="A212" s="57">
        <f>'A) Base RI'!A213</f>
        <v>5742</v>
      </c>
      <c r="B212" s="64" t="str">
        <f>'A) Base RI'!B213</f>
        <v>Agiez</v>
      </c>
      <c r="C212" s="172">
        <v>147868.00441222131</v>
      </c>
      <c r="D212" s="173">
        <v>42987.347446657019</v>
      </c>
      <c r="E212" s="174">
        <v>0</v>
      </c>
      <c r="F212" s="173">
        <v>0</v>
      </c>
      <c r="G212" s="173">
        <v>0</v>
      </c>
      <c r="H212" s="175">
        <f t="shared" si="38"/>
        <v>190855.35185887833</v>
      </c>
      <c r="I212" s="233">
        <v>9274.0430263157905</v>
      </c>
      <c r="J212" s="109">
        <f>'B) D RI'!U213</f>
        <v>8406.0221052631568</v>
      </c>
      <c r="K212" s="76">
        <f t="shared" si="29"/>
        <v>20.579519775497268</v>
      </c>
      <c r="L212" s="41">
        <f>'B) D RI'!S213</f>
        <v>76</v>
      </c>
      <c r="M212" s="41">
        <f t="shared" si="24"/>
        <v>55.420480224502732</v>
      </c>
      <c r="N212" s="142">
        <f>'J) Plafonnement effort'!G211+'J) Plafonnement effort'!H211-'K) Plafonnement aide'!I211</f>
        <v>21.400653605818068</v>
      </c>
      <c r="O212" s="142">
        <f t="shared" si="25"/>
        <v>76.821133830320804</v>
      </c>
      <c r="P212" s="55">
        <f t="shared" si="26"/>
        <v>0</v>
      </c>
      <c r="Q212" s="66">
        <f t="shared" si="30"/>
        <v>0</v>
      </c>
      <c r="R212" s="164">
        <f t="shared" si="27"/>
        <v>76.821133830320804</v>
      </c>
      <c r="S212" s="142">
        <f t="shared" si="28"/>
        <v>0.82113383032080378</v>
      </c>
      <c r="T212" s="163"/>
      <c r="V212" s="17"/>
    </row>
    <row r="213" spans="1:22" x14ac:dyDescent="0.25">
      <c r="A213" s="57">
        <f>'A) Base RI'!A214</f>
        <v>5743</v>
      </c>
      <c r="B213" s="64" t="str">
        <f>'A) Base RI'!B214</f>
        <v>Arnex-sur-Orbe</v>
      </c>
      <c r="C213" s="172">
        <v>311392.30298334977</v>
      </c>
      <c r="D213" s="173">
        <v>44278.968268037541</v>
      </c>
      <c r="E213" s="174">
        <v>0</v>
      </c>
      <c r="F213" s="173">
        <v>0</v>
      </c>
      <c r="G213" s="173">
        <v>0</v>
      </c>
      <c r="H213" s="175">
        <f t="shared" si="38"/>
        <v>355671.27125138731</v>
      </c>
      <c r="I213" s="233">
        <v>17348.834349315071</v>
      </c>
      <c r="J213" s="109">
        <f>'B) D RI'!U214</f>
        <v>16157.310890410963</v>
      </c>
      <c r="K213" s="76">
        <f t="shared" si="29"/>
        <v>20.501162446422757</v>
      </c>
      <c r="L213" s="41">
        <f>'B) D RI'!S214</f>
        <v>73</v>
      </c>
      <c r="M213" s="41">
        <f t="shared" si="24"/>
        <v>52.498837553577246</v>
      </c>
      <c r="N213" s="142">
        <f>'J) Plafonnement effort'!G212+'J) Plafonnement effort'!H212-'K) Plafonnement aide'!I212</f>
        <v>13.501356142141072</v>
      </c>
      <c r="O213" s="142">
        <f t="shared" si="25"/>
        <v>66.000193695718323</v>
      </c>
      <c r="P213" s="55">
        <f t="shared" si="26"/>
        <v>0</v>
      </c>
      <c r="Q213" s="66">
        <f t="shared" si="30"/>
        <v>0</v>
      </c>
      <c r="R213" s="164">
        <f t="shared" si="27"/>
        <v>66.000193695718323</v>
      </c>
      <c r="S213" s="142">
        <f t="shared" si="28"/>
        <v>-6.9998063042816767</v>
      </c>
      <c r="T213" s="163"/>
      <c r="V213" s="17"/>
    </row>
    <row r="214" spans="1:22" x14ac:dyDescent="0.25">
      <c r="A214" s="57">
        <f>'A) Base RI'!A215</f>
        <v>5744</v>
      </c>
      <c r="B214" s="64" t="str">
        <f>'A) Base RI'!B215</f>
        <v>Ballaigues</v>
      </c>
      <c r="C214" s="172">
        <v>1098975.0407234184</v>
      </c>
      <c r="D214" s="173">
        <v>866207.3140271774</v>
      </c>
      <c r="E214" s="174">
        <v>0</v>
      </c>
      <c r="F214" s="173">
        <v>0</v>
      </c>
      <c r="G214" s="173">
        <v>0</v>
      </c>
      <c r="H214" s="175">
        <f t="shared" si="38"/>
        <v>1965182.3547505958</v>
      </c>
      <c r="I214" s="233">
        <v>53212.458333333336</v>
      </c>
      <c r="J214" s="109">
        <f>'B) D RI'!U215</f>
        <v>67876.800151515155</v>
      </c>
      <c r="K214" s="76">
        <f t="shared" si="29"/>
        <v>36.930869505037819</v>
      </c>
      <c r="L214" s="41">
        <f>'B) D RI'!S215</f>
        <v>66</v>
      </c>
      <c r="M214" s="41">
        <f t="shared" si="24"/>
        <v>29.069130494962181</v>
      </c>
      <c r="N214" s="142">
        <f>'J) Plafonnement effort'!G213+'J) Plafonnement effort'!H213-'K) Plafonnement aide'!I213</f>
        <v>29.681903600110793</v>
      </c>
      <c r="O214" s="142">
        <f t="shared" si="25"/>
        <v>58.751034095072974</v>
      </c>
      <c r="P214" s="55">
        <f t="shared" si="26"/>
        <v>0</v>
      </c>
      <c r="Q214" s="66">
        <f t="shared" si="30"/>
        <v>0</v>
      </c>
      <c r="R214" s="164">
        <f t="shared" si="27"/>
        <v>58.751034095072974</v>
      </c>
      <c r="S214" s="142">
        <f t="shared" si="28"/>
        <v>-7.2489659049270259</v>
      </c>
      <c r="T214" s="163"/>
      <c r="V214" s="17"/>
    </row>
    <row r="215" spans="1:22" x14ac:dyDescent="0.25">
      <c r="A215" s="57">
        <f>'A) Base RI'!A216</f>
        <v>5745</v>
      </c>
      <c r="B215" s="64" t="str">
        <f>'A) Base RI'!B216</f>
        <v>Baulmes</v>
      </c>
      <c r="C215" s="172">
        <v>519988.36446226499</v>
      </c>
      <c r="D215" s="173">
        <v>-36335.936577207292</v>
      </c>
      <c r="E215" s="174">
        <v>0</v>
      </c>
      <c r="F215" s="173">
        <v>0</v>
      </c>
      <c r="G215" s="173">
        <v>0</v>
      </c>
      <c r="H215" s="175">
        <f t="shared" si="38"/>
        <v>483652.4278850577</v>
      </c>
      <c r="I215" s="233">
        <v>27522.151666666668</v>
      </c>
      <c r="J215" s="109">
        <f>'B) D RI'!U216</f>
        <v>26708.244230769233</v>
      </c>
      <c r="K215" s="76">
        <f t="shared" si="29"/>
        <v>17.57320553068644</v>
      </c>
      <c r="L215" s="41">
        <f>'B) D RI'!S216</f>
        <v>78</v>
      </c>
      <c r="M215" s="41">
        <f t="shared" si="24"/>
        <v>60.426794469313563</v>
      </c>
      <c r="N215" s="142">
        <f>'J) Plafonnement effort'!G214+'J) Plafonnement effort'!H214-'K) Plafonnement aide'!I214</f>
        <v>0.45334276160065023</v>
      </c>
      <c r="O215" s="142">
        <f t="shared" si="25"/>
        <v>60.880137230914215</v>
      </c>
      <c r="P215" s="55">
        <f t="shared" si="26"/>
        <v>0</v>
      </c>
      <c r="Q215" s="66">
        <f t="shared" si="30"/>
        <v>0</v>
      </c>
      <c r="R215" s="164">
        <f t="shared" si="27"/>
        <v>60.880137230914215</v>
      </c>
      <c r="S215" s="142">
        <f t="shared" si="28"/>
        <v>-17.119862769085785</v>
      </c>
      <c r="T215" s="163"/>
      <c r="V215" s="17"/>
    </row>
    <row r="216" spans="1:22" x14ac:dyDescent="0.25">
      <c r="A216" s="57">
        <f>'A) Base RI'!A217</f>
        <v>5746</v>
      </c>
      <c r="B216" s="64" t="str">
        <f>'A) Base RI'!B217</f>
        <v>Bavois</v>
      </c>
      <c r="C216" s="172">
        <v>439401.07500116469</v>
      </c>
      <c r="D216" s="173">
        <v>-18394.732021554315</v>
      </c>
      <c r="E216" s="174">
        <v>0</v>
      </c>
      <c r="F216" s="173">
        <v>0</v>
      </c>
      <c r="G216" s="173">
        <v>0</v>
      </c>
      <c r="H216" s="175">
        <f t="shared" si="38"/>
        <v>421006.34297961037</v>
      </c>
      <c r="I216" s="233">
        <v>23930.083584474884</v>
      </c>
      <c r="J216" s="109">
        <f>'B) D RI'!U217</f>
        <v>26575.73502283105</v>
      </c>
      <c r="K216" s="76">
        <f t="shared" si="29"/>
        <v>17.593183136758729</v>
      </c>
      <c r="L216" s="41">
        <f>'B) D RI'!S217</f>
        <v>73</v>
      </c>
      <c r="M216" s="41">
        <f t="shared" si="24"/>
        <v>55.406816863241275</v>
      </c>
      <c r="N216" s="142">
        <f>'J) Plafonnement effort'!G215+'J) Plafonnement effort'!H215-'K) Plafonnement aide'!I215</f>
        <v>-21.415600305012116</v>
      </c>
      <c r="O216" s="142">
        <f t="shared" si="25"/>
        <v>33.991216558229155</v>
      </c>
      <c r="P216" s="55">
        <f t="shared" si="26"/>
        <v>0</v>
      </c>
      <c r="Q216" s="66">
        <f t="shared" si="30"/>
        <v>0</v>
      </c>
      <c r="R216" s="164">
        <f t="shared" si="27"/>
        <v>33.991216558229155</v>
      </c>
      <c r="S216" s="142">
        <f t="shared" si="28"/>
        <v>-39.008783441770845</v>
      </c>
      <c r="T216" s="163"/>
      <c r="V216" s="17"/>
    </row>
    <row r="217" spans="1:22" x14ac:dyDescent="0.25">
      <c r="A217" s="57">
        <f>'A) Base RI'!A218</f>
        <v>5747</v>
      </c>
      <c r="B217" s="64" t="str">
        <f>'A) Base RI'!B218</f>
        <v>Bofflens</v>
      </c>
      <c r="C217" s="172">
        <v>87334.711014053464</v>
      </c>
      <c r="D217" s="173">
        <v>19872.13568706809</v>
      </c>
      <c r="E217" s="174">
        <v>0</v>
      </c>
      <c r="F217" s="173">
        <v>0</v>
      </c>
      <c r="G217" s="173">
        <v>0</v>
      </c>
      <c r="H217" s="175">
        <f t="shared" si="38"/>
        <v>107206.84670112155</v>
      </c>
      <c r="I217" s="233">
        <v>5183.441884057971</v>
      </c>
      <c r="J217" s="109">
        <f>'B) D RI'!U218</f>
        <v>5307.8250724637683</v>
      </c>
      <c r="K217" s="76">
        <f t="shared" si="29"/>
        <v>20.682559793106492</v>
      </c>
      <c r="L217" s="41">
        <f>'B) D RI'!S218</f>
        <v>69</v>
      </c>
      <c r="M217" s="41">
        <f t="shared" si="24"/>
        <v>48.317440206893508</v>
      </c>
      <c r="N217" s="142">
        <f>'J) Plafonnement effort'!G216+'J) Plafonnement effort'!H216-'K) Plafonnement aide'!I216</f>
        <v>19.263544836162339</v>
      </c>
      <c r="O217" s="142">
        <f t="shared" si="25"/>
        <v>67.580985043055847</v>
      </c>
      <c r="P217" s="55">
        <f t="shared" si="26"/>
        <v>0</v>
      </c>
      <c r="Q217" s="66">
        <f t="shared" si="30"/>
        <v>0</v>
      </c>
      <c r="R217" s="164">
        <f t="shared" si="27"/>
        <v>67.580985043055847</v>
      </c>
      <c r="S217" s="142">
        <f t="shared" si="28"/>
        <v>-1.419014956944153</v>
      </c>
      <c r="T217" s="163"/>
      <c r="V217" s="17"/>
    </row>
    <row r="218" spans="1:22" x14ac:dyDescent="0.25">
      <c r="A218" s="57">
        <f>'A) Base RI'!A219</f>
        <v>5748</v>
      </c>
      <c r="B218" s="64" t="str">
        <f>'A) Base RI'!B219</f>
        <v>Bretonnières</v>
      </c>
      <c r="C218" s="172">
        <v>121384.86712763886</v>
      </c>
      <c r="D218" s="173">
        <v>-13259.55812648109</v>
      </c>
      <c r="E218" s="174">
        <v>0</v>
      </c>
      <c r="F218" s="173">
        <v>0</v>
      </c>
      <c r="G218" s="173">
        <v>0</v>
      </c>
      <c r="H218" s="175">
        <f t="shared" si="38"/>
        <v>108125.30900115777</v>
      </c>
      <c r="I218" s="233">
        <v>6140.8540277777784</v>
      </c>
      <c r="J218" s="109">
        <f>'B) D RI'!U219</f>
        <v>7260.9913888888877</v>
      </c>
      <c r="K218" s="76">
        <f t="shared" si="29"/>
        <v>17.607536103620038</v>
      </c>
      <c r="L218" s="41">
        <f>'B) D RI'!S219</f>
        <v>72</v>
      </c>
      <c r="M218" s="41">
        <f t="shared" si="24"/>
        <v>54.392463896379965</v>
      </c>
      <c r="N218" s="142">
        <f>'J) Plafonnement effort'!G217+'J) Plafonnement effort'!H217-'K) Plafonnement aide'!I217</f>
        <v>21.036765244969029</v>
      </c>
      <c r="O218" s="142">
        <f t="shared" si="25"/>
        <v>75.429229141348998</v>
      </c>
      <c r="P218" s="55">
        <f t="shared" si="26"/>
        <v>0</v>
      </c>
      <c r="Q218" s="66">
        <f t="shared" si="30"/>
        <v>0</v>
      </c>
      <c r="R218" s="164">
        <f t="shared" si="27"/>
        <v>75.429229141348998</v>
      </c>
      <c r="S218" s="142">
        <f t="shared" si="28"/>
        <v>3.4292291413489977</v>
      </c>
      <c r="T218" s="163"/>
      <c r="V218" s="17"/>
    </row>
    <row r="219" spans="1:22" x14ac:dyDescent="0.25">
      <c r="A219" s="57">
        <f>'A) Base RI'!A220</f>
        <v>5749</v>
      </c>
      <c r="B219" s="64" t="str">
        <f>'A) Base RI'!B220</f>
        <v>Chavornay</v>
      </c>
      <c r="C219" s="172">
        <v>2262350.7448085584</v>
      </c>
      <c r="D219" s="173">
        <v>-1011043.220508304</v>
      </c>
      <c r="E219" s="174">
        <v>0</v>
      </c>
      <c r="F219" s="173">
        <v>0</v>
      </c>
      <c r="G219" s="173">
        <v>0</v>
      </c>
      <c r="H219" s="175">
        <v>2137891</v>
      </c>
      <c r="I219" s="233">
        <v>124346.92667771333</v>
      </c>
      <c r="J219" s="109">
        <f>'B) D RI'!U220</f>
        <v>132615.92523493644</v>
      </c>
      <c r="K219" s="76">
        <f t="shared" ref="K219" si="39">H219/I219</f>
        <v>17.192954077112496</v>
      </c>
      <c r="L219" s="41">
        <f>'B) D RI'!S220</f>
        <v>72.36</v>
      </c>
      <c r="M219" s="41">
        <f t="shared" ref="M219" si="40">L219-K219</f>
        <v>55.167045922887503</v>
      </c>
      <c r="N219" s="142">
        <f>'J) Plafonnement effort'!G218+'J) Plafonnement effort'!H218-'K) Plafonnement aide'!I218</f>
        <v>-113.07197170743504</v>
      </c>
      <c r="O219" s="142">
        <f t="shared" ref="O219" si="41">M219+N219</f>
        <v>-57.904925784547537</v>
      </c>
      <c r="P219" s="55">
        <f t="shared" ref="P219" si="42">IF(O219&gt;$P$5,$P$5-O219,0)</f>
        <v>0</v>
      </c>
      <c r="Q219" s="66">
        <f t="shared" ref="Q219" si="43">P219*J219</f>
        <v>0</v>
      </c>
      <c r="R219" s="164">
        <f t="shared" ref="R219" si="44">O219+P219</f>
        <v>-57.904925784547537</v>
      </c>
      <c r="S219" s="142">
        <f t="shared" ref="S219" si="45">R219-L219</f>
        <v>-130.26492578454753</v>
      </c>
      <c r="T219" s="163"/>
      <c r="V219" s="17"/>
    </row>
    <row r="220" spans="1:22" x14ac:dyDescent="0.25">
      <c r="A220" s="57">
        <f>'A) Base RI'!A221</f>
        <v>5750</v>
      </c>
      <c r="B220" s="64" t="str">
        <f>'A) Base RI'!B221</f>
        <v>Les Clées</v>
      </c>
      <c r="C220" s="172">
        <v>73584.683406702039</v>
      </c>
      <c r="D220" s="173">
        <v>-34854.564002883009</v>
      </c>
      <c r="E220" s="174">
        <v>0</v>
      </c>
      <c r="F220" s="173">
        <v>0</v>
      </c>
      <c r="G220" s="173">
        <v>0</v>
      </c>
      <c r="H220" s="175">
        <f t="shared" si="38"/>
        <v>38730.11940381903</v>
      </c>
      <c r="I220" s="233">
        <v>4366.1146666666664</v>
      </c>
      <c r="J220" s="109">
        <f>'B) D RI'!U221</f>
        <v>4790.0727916666665</v>
      </c>
      <c r="K220" s="76">
        <f t="shared" si="29"/>
        <v>8.870614347237872</v>
      </c>
      <c r="L220" s="41">
        <f>'B) D RI'!S221</f>
        <v>80</v>
      </c>
      <c r="M220" s="41">
        <f t="shared" ref="M220:M261" si="46">L220-K220</f>
        <v>71.129385652762124</v>
      </c>
      <c r="N220" s="142">
        <f>'J) Plafonnement effort'!G219+'J) Plafonnement effort'!H219-'K) Plafonnement aide'!I219</f>
        <v>10.710604214189694</v>
      </c>
      <c r="O220" s="142">
        <f t="shared" ref="O220:O261" si="47">M220+N220</f>
        <v>81.839989866951811</v>
      </c>
      <c r="P220" s="55">
        <f t="shared" ref="P220:P261" si="48">IF(O220&gt;$P$5,$P$5-O220,0)</f>
        <v>0</v>
      </c>
      <c r="Q220" s="66">
        <f t="shared" si="30"/>
        <v>0</v>
      </c>
      <c r="R220" s="164">
        <f t="shared" ref="R220:R261" si="49">O220+P220</f>
        <v>81.839989866951811</v>
      </c>
      <c r="S220" s="142">
        <f t="shared" ref="S220:S261" si="50">R220-L220</f>
        <v>1.8399898669518109</v>
      </c>
      <c r="T220" s="163"/>
      <c r="V220" s="17"/>
    </row>
    <row r="221" spans="1:22" x14ac:dyDescent="0.25">
      <c r="A221" s="57">
        <f>'A) Base RI'!A222</f>
        <v>5752</v>
      </c>
      <c r="B221" s="64" t="str">
        <f>'A) Base RI'!B222</f>
        <v>Croy</v>
      </c>
      <c r="C221" s="172">
        <v>243221.05909964745</v>
      </c>
      <c r="D221" s="173">
        <v>165331.58525780376</v>
      </c>
      <c r="E221" s="174">
        <v>0</v>
      </c>
      <c r="F221" s="173">
        <v>0</v>
      </c>
      <c r="G221" s="173">
        <v>0</v>
      </c>
      <c r="H221" s="175">
        <f t="shared" si="38"/>
        <v>408552.64435745124</v>
      </c>
      <c r="I221" s="233">
        <v>12886.326312741312</v>
      </c>
      <c r="J221" s="109">
        <f>'B) D RI'!U222</f>
        <v>9213.5061196911174</v>
      </c>
      <c r="K221" s="76">
        <f t="shared" ref="K221:K265" si="51">H221/I221</f>
        <v>31.704353470662635</v>
      </c>
      <c r="L221" s="41">
        <f>'B) D RI'!S222</f>
        <v>74</v>
      </c>
      <c r="M221" s="41">
        <f t="shared" si="46"/>
        <v>42.295646529337361</v>
      </c>
      <c r="N221" s="142">
        <f>'J) Plafonnement effort'!G220+'J) Plafonnement effort'!H220-'K) Plafonnement aide'!I220</f>
        <v>-38.816720751984327</v>
      </c>
      <c r="O221" s="142">
        <f t="shared" si="47"/>
        <v>3.4789257773530338</v>
      </c>
      <c r="P221" s="55">
        <f t="shared" si="48"/>
        <v>0</v>
      </c>
      <c r="Q221" s="66">
        <f t="shared" si="30"/>
        <v>0</v>
      </c>
      <c r="R221" s="164">
        <f t="shared" si="49"/>
        <v>3.4789257773530338</v>
      </c>
      <c r="S221" s="142">
        <f t="shared" si="50"/>
        <v>-70.521074222646973</v>
      </c>
      <c r="T221" s="163"/>
      <c r="V221" s="17"/>
    </row>
    <row r="222" spans="1:22" x14ac:dyDescent="0.25">
      <c r="A222" s="57">
        <f>'A) Base RI'!A223</f>
        <v>5754</v>
      </c>
      <c r="B222" s="64" t="str">
        <f>'A) Base RI'!B223</f>
        <v>Juriens</v>
      </c>
      <c r="C222" s="172">
        <v>119394.06790567972</v>
      </c>
      <c r="D222" s="173">
        <v>-79273.367150787788</v>
      </c>
      <c r="E222" s="174">
        <v>0</v>
      </c>
      <c r="F222" s="173">
        <v>0</v>
      </c>
      <c r="G222" s="173">
        <v>0</v>
      </c>
      <c r="H222" s="175">
        <f t="shared" si="38"/>
        <v>40120.700754891936</v>
      </c>
      <c r="I222" s="233">
        <v>6475.8115189873415</v>
      </c>
      <c r="J222" s="109">
        <f>'B) D RI'!U223</f>
        <v>7202.565316455697</v>
      </c>
      <c r="K222" s="76">
        <f t="shared" si="51"/>
        <v>6.1954707355605416</v>
      </c>
      <c r="L222" s="41">
        <f>'B) D RI'!S223</f>
        <v>79</v>
      </c>
      <c r="M222" s="41">
        <f t="shared" si="46"/>
        <v>72.804529264439452</v>
      </c>
      <c r="N222" s="142">
        <f>'J) Plafonnement effort'!G221+'J) Plafonnement effort'!H221-'K) Plafonnement aide'!I221</f>
        <v>5.0675846104228954</v>
      </c>
      <c r="O222" s="142">
        <f t="shared" si="47"/>
        <v>77.87211387486235</v>
      </c>
      <c r="P222" s="55">
        <f t="shared" si="48"/>
        <v>0</v>
      </c>
      <c r="Q222" s="66">
        <f t="shared" ref="Q222:Q266" si="52">P222*J222</f>
        <v>0</v>
      </c>
      <c r="R222" s="164">
        <f t="shared" si="49"/>
        <v>77.87211387486235</v>
      </c>
      <c r="S222" s="142">
        <f t="shared" si="50"/>
        <v>-1.1278861251376497</v>
      </c>
      <c r="T222" s="163"/>
      <c r="V222" s="17"/>
    </row>
    <row r="223" spans="1:22" x14ac:dyDescent="0.25">
      <c r="A223" s="57">
        <f>'A) Base RI'!A224</f>
        <v>5755</v>
      </c>
      <c r="B223" s="64" t="str">
        <f>'A) Base RI'!B224</f>
        <v>Lignerolle</v>
      </c>
      <c r="C223" s="172">
        <v>179489.16426014414</v>
      </c>
      <c r="D223" s="173">
        <v>-95883.173371916928</v>
      </c>
      <c r="E223" s="174">
        <v>0</v>
      </c>
      <c r="F223" s="173">
        <v>0</v>
      </c>
      <c r="G223" s="173">
        <v>0</v>
      </c>
      <c r="H223" s="175">
        <f t="shared" si="38"/>
        <v>83605.990888227214</v>
      </c>
      <c r="I223" s="233">
        <v>8871.4906525573169</v>
      </c>
      <c r="J223" s="109">
        <f>'B) D RI'!U224</f>
        <v>9116.1979107142852</v>
      </c>
      <c r="K223" s="76">
        <f t="shared" si="51"/>
        <v>9.4241198196074016</v>
      </c>
      <c r="L223" s="41">
        <f>'B) D RI'!S224</f>
        <v>80</v>
      </c>
      <c r="M223" s="41">
        <f t="shared" si="46"/>
        <v>70.575880180392602</v>
      </c>
      <c r="N223" s="142">
        <f>'J) Plafonnement effort'!G222+'J) Plafonnement effort'!H222-'K) Plafonnement aide'!I222</f>
        <v>-4.6756283455021848</v>
      </c>
      <c r="O223" s="142">
        <f t="shared" si="47"/>
        <v>65.900251834890412</v>
      </c>
      <c r="P223" s="55">
        <f t="shared" si="48"/>
        <v>0</v>
      </c>
      <c r="Q223" s="66">
        <f t="shared" si="52"/>
        <v>0</v>
      </c>
      <c r="R223" s="164">
        <f t="shared" si="49"/>
        <v>65.900251834890412</v>
      </c>
      <c r="S223" s="142">
        <f t="shared" si="50"/>
        <v>-14.099748165109588</v>
      </c>
      <c r="T223" s="163"/>
      <c r="V223" s="17"/>
    </row>
    <row r="224" spans="1:22" x14ac:dyDescent="0.25">
      <c r="A224" s="57">
        <f>'A) Base RI'!A225</f>
        <v>5756</v>
      </c>
      <c r="B224" s="64" t="str">
        <f>'A) Base RI'!B225</f>
        <v>Montcherand</v>
      </c>
      <c r="C224" s="172">
        <v>263544.77071191696</v>
      </c>
      <c r="D224" s="173">
        <v>113009.34966355184</v>
      </c>
      <c r="E224" s="174">
        <v>0</v>
      </c>
      <c r="F224" s="173">
        <v>0</v>
      </c>
      <c r="G224" s="173">
        <v>0</v>
      </c>
      <c r="H224" s="175">
        <f t="shared" si="38"/>
        <v>376554.1203754688</v>
      </c>
      <c r="I224" s="233">
        <v>14808.245169082125</v>
      </c>
      <c r="J224" s="109">
        <f>'B) D RI'!U225</f>
        <v>14643.939999999999</v>
      </c>
      <c r="K224" s="76">
        <f t="shared" si="51"/>
        <v>25.428679500908693</v>
      </c>
      <c r="L224" s="41">
        <f>'B) D RI'!S225</f>
        <v>72</v>
      </c>
      <c r="M224" s="41">
        <f t="shared" si="46"/>
        <v>46.571320499091307</v>
      </c>
      <c r="N224" s="142">
        <f>'J) Plafonnement effort'!G223+'J) Plafonnement effort'!H223-'K) Plafonnement aide'!I223</f>
        <v>25.543856428629759</v>
      </c>
      <c r="O224" s="142">
        <f t="shared" si="47"/>
        <v>72.115176927721066</v>
      </c>
      <c r="P224" s="55">
        <f t="shared" si="48"/>
        <v>0</v>
      </c>
      <c r="Q224" s="66">
        <f t="shared" si="52"/>
        <v>0</v>
      </c>
      <c r="R224" s="164">
        <f t="shared" si="49"/>
        <v>72.115176927721066</v>
      </c>
      <c r="S224" s="142">
        <f t="shared" si="50"/>
        <v>0.11517692772106614</v>
      </c>
      <c r="T224" s="163"/>
      <c r="V224" s="17"/>
    </row>
    <row r="225" spans="1:22" x14ac:dyDescent="0.25">
      <c r="A225" s="57">
        <f>'A) Base RI'!A226</f>
        <v>5757</v>
      </c>
      <c r="B225" s="64" t="str">
        <f>'A) Base RI'!B226</f>
        <v>Orbe</v>
      </c>
      <c r="C225" s="172">
        <v>4500300.8506862083</v>
      </c>
      <c r="D225" s="173">
        <v>-732770.0452782549</v>
      </c>
      <c r="E225" s="174">
        <v>0</v>
      </c>
      <c r="F225" s="173">
        <v>0</v>
      </c>
      <c r="G225" s="173">
        <v>0</v>
      </c>
      <c r="H225" s="175">
        <f t="shared" si="38"/>
        <v>3767530.8054079534</v>
      </c>
      <c r="I225" s="233">
        <v>210430.38166666671</v>
      </c>
      <c r="J225" s="109">
        <f>'B) D RI'!U226</f>
        <v>219459.11337837842</v>
      </c>
      <c r="K225" s="76">
        <f t="shared" si="51"/>
        <v>17.90392991529108</v>
      </c>
      <c r="L225" s="41">
        <f>'B) D RI'!S226</f>
        <v>74</v>
      </c>
      <c r="M225" s="41">
        <f t="shared" si="46"/>
        <v>56.09607008470892</v>
      </c>
      <c r="N225" s="142">
        <f>'J) Plafonnement effort'!G224+'J) Plafonnement effort'!H224-'K) Plafonnement aide'!I224</f>
        <v>-360.5716696612588</v>
      </c>
      <c r="O225" s="142">
        <f t="shared" si="47"/>
        <v>-304.47559957654988</v>
      </c>
      <c r="P225" s="55">
        <f t="shared" si="48"/>
        <v>0</v>
      </c>
      <c r="Q225" s="66">
        <f t="shared" si="52"/>
        <v>0</v>
      </c>
      <c r="R225" s="164">
        <f t="shared" si="49"/>
        <v>-304.47559957654988</v>
      </c>
      <c r="S225" s="142">
        <f t="shared" si="50"/>
        <v>-378.47559957654988</v>
      </c>
      <c r="T225" s="163"/>
      <c r="V225" s="17"/>
    </row>
    <row r="226" spans="1:22" x14ac:dyDescent="0.25">
      <c r="A226" s="57">
        <f>'A) Base RI'!A227</f>
        <v>5758</v>
      </c>
      <c r="B226" s="64" t="str">
        <f>'A) Base RI'!B227</f>
        <v>La Praz</v>
      </c>
      <c r="C226" s="172">
        <v>66315.441727133613</v>
      </c>
      <c r="D226" s="173">
        <v>-31412.239480143398</v>
      </c>
      <c r="E226" s="174">
        <v>0</v>
      </c>
      <c r="F226" s="173">
        <v>0</v>
      </c>
      <c r="G226" s="173">
        <v>0</v>
      </c>
      <c r="H226" s="175">
        <f t="shared" si="38"/>
        <v>34903.202246990215</v>
      </c>
      <c r="I226" s="233">
        <v>3864.2083668005353</v>
      </c>
      <c r="J226" s="109">
        <f>'B) D RI'!U227</f>
        <v>3792.6817536813919</v>
      </c>
      <c r="K226" s="76">
        <f t="shared" si="51"/>
        <v>9.0324327608371604</v>
      </c>
      <c r="L226" s="41">
        <f>'B) D RI'!S227</f>
        <v>83</v>
      </c>
      <c r="M226" s="41">
        <f t="shared" si="46"/>
        <v>73.967567239162832</v>
      </c>
      <c r="N226" s="142">
        <f>'J) Plafonnement effort'!G225+'J) Plafonnement effort'!H225-'K) Plafonnement aide'!I225</f>
        <v>2.1987600391261886</v>
      </c>
      <c r="O226" s="142">
        <f t="shared" si="47"/>
        <v>76.166327278289017</v>
      </c>
      <c r="P226" s="55">
        <f t="shared" si="48"/>
        <v>0</v>
      </c>
      <c r="Q226" s="66">
        <f t="shared" si="52"/>
        <v>0</v>
      </c>
      <c r="R226" s="164">
        <f t="shared" si="49"/>
        <v>76.166327278289017</v>
      </c>
      <c r="S226" s="142">
        <f t="shared" si="50"/>
        <v>-6.8336727217109825</v>
      </c>
      <c r="T226" s="163"/>
      <c r="V226" s="17"/>
    </row>
    <row r="227" spans="1:22" x14ac:dyDescent="0.25">
      <c r="A227" s="57">
        <f>'A) Base RI'!A228</f>
        <v>5759</v>
      </c>
      <c r="B227" s="64" t="str">
        <f>'A) Base RI'!B228</f>
        <v>Premier</v>
      </c>
      <c r="C227" s="172">
        <v>81212.521702802289</v>
      </c>
      <c r="D227" s="173">
        <v>-27455.075632659922</v>
      </c>
      <c r="E227" s="174">
        <v>0</v>
      </c>
      <c r="F227" s="173">
        <v>0</v>
      </c>
      <c r="G227" s="173">
        <v>0</v>
      </c>
      <c r="H227" s="175">
        <f t="shared" si="38"/>
        <v>53757.446070142367</v>
      </c>
      <c r="I227" s="233">
        <v>4558.7250617283944</v>
      </c>
      <c r="J227" s="109">
        <f>'B) D RI'!U228</f>
        <v>4689.5245679012341</v>
      </c>
      <c r="K227" s="76">
        <f t="shared" si="51"/>
        <v>11.792210616395623</v>
      </c>
      <c r="L227" s="41">
        <f>'B) D RI'!S228</f>
        <v>81</v>
      </c>
      <c r="M227" s="41">
        <f t="shared" si="46"/>
        <v>69.207789383604378</v>
      </c>
      <c r="N227" s="142">
        <f>'J) Plafonnement effort'!G226+'J) Plafonnement effort'!H226-'K) Plafonnement aide'!I226</f>
        <v>1.1653636888358303</v>
      </c>
      <c r="O227" s="142">
        <f t="shared" si="47"/>
        <v>70.373153072440203</v>
      </c>
      <c r="P227" s="55">
        <f t="shared" si="48"/>
        <v>0</v>
      </c>
      <c r="Q227" s="66">
        <f t="shared" si="52"/>
        <v>0</v>
      </c>
      <c r="R227" s="164">
        <f t="shared" si="49"/>
        <v>70.373153072440203</v>
      </c>
      <c r="S227" s="142">
        <f t="shared" si="50"/>
        <v>-10.626846927559797</v>
      </c>
      <c r="T227" s="163"/>
      <c r="V227" s="17"/>
    </row>
    <row r="228" spans="1:22" x14ac:dyDescent="0.25">
      <c r="A228" s="57">
        <f>'A) Base RI'!A229</f>
        <v>5760</v>
      </c>
      <c r="B228" s="64" t="str">
        <f>'A) Base RI'!B229</f>
        <v>Rances</v>
      </c>
      <c r="C228" s="172">
        <v>203291.77336548912</v>
      </c>
      <c r="D228" s="173">
        <v>-45517.711535146635</v>
      </c>
      <c r="E228" s="174">
        <v>0</v>
      </c>
      <c r="F228" s="173">
        <v>0</v>
      </c>
      <c r="G228" s="173">
        <v>0</v>
      </c>
      <c r="H228" s="175">
        <f t="shared" si="38"/>
        <v>157774.06183034249</v>
      </c>
      <c r="I228" s="233">
        <v>11470.274871794873</v>
      </c>
      <c r="J228" s="109">
        <f>'B) D RI'!U229</f>
        <v>13227.609572649571</v>
      </c>
      <c r="K228" s="76">
        <f t="shared" si="51"/>
        <v>13.755037572665767</v>
      </c>
      <c r="L228" s="41">
        <f>'B) D RI'!S229</f>
        <v>78</v>
      </c>
      <c r="M228" s="41">
        <f t="shared" si="46"/>
        <v>64.244962427334229</v>
      </c>
      <c r="N228" s="142">
        <f>'J) Plafonnement effort'!G227+'J) Plafonnement effort'!H227-'K) Plafonnement aide'!I227</f>
        <v>14.118077086173278</v>
      </c>
      <c r="O228" s="142">
        <f t="shared" si="47"/>
        <v>78.363039513507502</v>
      </c>
      <c r="P228" s="55">
        <f t="shared" si="48"/>
        <v>0</v>
      </c>
      <c r="Q228" s="66">
        <f t="shared" si="52"/>
        <v>0</v>
      </c>
      <c r="R228" s="164">
        <f t="shared" si="49"/>
        <v>78.363039513507502</v>
      </c>
      <c r="S228" s="142">
        <f t="shared" si="50"/>
        <v>0.36303951350750197</v>
      </c>
      <c r="T228" s="163"/>
      <c r="V228" s="17"/>
    </row>
    <row r="229" spans="1:22" x14ac:dyDescent="0.25">
      <c r="A229" s="57">
        <f>'A) Base RI'!A230</f>
        <v>5761</v>
      </c>
      <c r="B229" s="64" t="str">
        <f>'A) Base RI'!B230</f>
        <v>Romainmôtier-Envy</v>
      </c>
      <c r="C229" s="172">
        <v>218894.16937877104</v>
      </c>
      <c r="D229" s="173">
        <v>-112093.96198846743</v>
      </c>
      <c r="E229" s="174">
        <v>0</v>
      </c>
      <c r="F229" s="173">
        <v>0</v>
      </c>
      <c r="G229" s="173">
        <v>0</v>
      </c>
      <c r="H229" s="175">
        <f t="shared" si="38"/>
        <v>106800.20739030361</v>
      </c>
      <c r="I229" s="233">
        <v>11347.35572368421</v>
      </c>
      <c r="J229" s="109">
        <f>'B) D RI'!U230</f>
        <v>12165.915592105261</v>
      </c>
      <c r="K229" s="76">
        <f t="shared" si="51"/>
        <v>9.4119026485959303</v>
      </c>
      <c r="L229" s="41">
        <f>'B) D RI'!S230</f>
        <v>76</v>
      </c>
      <c r="M229" s="41">
        <f t="shared" si="46"/>
        <v>66.588097351404073</v>
      </c>
      <c r="N229" s="142">
        <f>'J) Plafonnement effort'!G228+'J) Plafonnement effort'!H228-'K) Plafonnement aide'!I228</f>
        <v>-1.8895845109182332</v>
      </c>
      <c r="O229" s="142">
        <f t="shared" si="47"/>
        <v>64.698512840485847</v>
      </c>
      <c r="P229" s="55">
        <f t="shared" si="48"/>
        <v>0</v>
      </c>
      <c r="Q229" s="66">
        <f t="shared" si="52"/>
        <v>0</v>
      </c>
      <c r="R229" s="164">
        <f t="shared" si="49"/>
        <v>64.698512840485847</v>
      </c>
      <c r="S229" s="142">
        <f t="shared" si="50"/>
        <v>-11.301487159514153</v>
      </c>
      <c r="T229" s="163"/>
      <c r="V229" s="17"/>
    </row>
    <row r="230" spans="1:22" x14ac:dyDescent="0.25">
      <c r="A230" s="57">
        <f>'A) Base RI'!A231</f>
        <v>5762</v>
      </c>
      <c r="B230" s="64" t="str">
        <f>'A) Base RI'!B231</f>
        <v>Sergey</v>
      </c>
      <c r="C230" s="172">
        <v>49445.562021432983</v>
      </c>
      <c r="D230" s="173">
        <v>-41189.574960117061</v>
      </c>
      <c r="E230" s="174">
        <v>0</v>
      </c>
      <c r="F230" s="173">
        <v>0</v>
      </c>
      <c r="G230" s="173">
        <v>0</v>
      </c>
      <c r="H230" s="175">
        <f t="shared" si="38"/>
        <v>8255.9870613159219</v>
      </c>
      <c r="I230" s="233">
        <v>3104.8092592592593</v>
      </c>
      <c r="J230" s="109">
        <f>'B) D RI'!U231</f>
        <v>3586.5485897435897</v>
      </c>
      <c r="K230" s="76">
        <f t="shared" si="51"/>
        <v>2.659096379816138</v>
      </c>
      <c r="L230" s="41">
        <f>'B) D RI'!S231</f>
        <v>78</v>
      </c>
      <c r="M230" s="41">
        <f t="shared" si="46"/>
        <v>75.340903620183866</v>
      </c>
      <c r="N230" s="142">
        <f>'J) Plafonnement effort'!G229+'J) Plafonnement effort'!H229-'K) Plafonnement aide'!I229</f>
        <v>10.86675247514586</v>
      </c>
      <c r="O230" s="142">
        <f t="shared" si="47"/>
        <v>86.207656095329725</v>
      </c>
      <c r="P230" s="55">
        <f t="shared" si="48"/>
        <v>0</v>
      </c>
      <c r="Q230" s="66">
        <f t="shared" si="52"/>
        <v>0</v>
      </c>
      <c r="R230" s="164">
        <f t="shared" si="49"/>
        <v>86.207656095329725</v>
      </c>
      <c r="S230" s="142">
        <f t="shared" si="50"/>
        <v>8.2076560953297246</v>
      </c>
      <c r="T230" s="163"/>
      <c r="V230" s="17"/>
    </row>
    <row r="231" spans="1:22" x14ac:dyDescent="0.25">
      <c r="A231" s="57">
        <f>'A) Base RI'!A232</f>
        <v>5763</v>
      </c>
      <c r="B231" s="64" t="str">
        <f>'A) Base RI'!B232</f>
        <v>Valeyres-sous-Rances</v>
      </c>
      <c r="C231" s="172">
        <v>307764.98864502372</v>
      </c>
      <c r="D231" s="173">
        <v>50543.292259987764</v>
      </c>
      <c r="E231" s="174">
        <v>0</v>
      </c>
      <c r="F231" s="173">
        <v>0</v>
      </c>
      <c r="G231" s="173">
        <v>0</v>
      </c>
      <c r="H231" s="175">
        <f t="shared" si="38"/>
        <v>358308.28090501146</v>
      </c>
      <c r="I231" s="233">
        <v>16129.151764705883</v>
      </c>
      <c r="J231" s="109">
        <f>'B) D RI'!U232</f>
        <v>16085.850769230768</v>
      </c>
      <c r="K231" s="76">
        <f t="shared" si="51"/>
        <v>22.214948816407599</v>
      </c>
      <c r="L231" s="41">
        <f>'B) D RI'!S232</f>
        <v>65</v>
      </c>
      <c r="M231" s="41">
        <f t="shared" si="46"/>
        <v>42.785051183592401</v>
      </c>
      <c r="N231" s="142">
        <f>'J) Plafonnement effort'!G230+'J) Plafonnement effort'!H230-'K) Plafonnement aide'!I230</f>
        <v>18.862261355022969</v>
      </c>
      <c r="O231" s="142">
        <f t="shared" si="47"/>
        <v>61.647312538615367</v>
      </c>
      <c r="P231" s="55">
        <f t="shared" si="48"/>
        <v>0</v>
      </c>
      <c r="Q231" s="66">
        <f t="shared" si="52"/>
        <v>0</v>
      </c>
      <c r="R231" s="164">
        <f t="shared" si="49"/>
        <v>61.647312538615367</v>
      </c>
      <c r="S231" s="142">
        <f t="shared" si="50"/>
        <v>-3.3526874613846331</v>
      </c>
      <c r="T231" s="163"/>
      <c r="V231" s="17"/>
    </row>
    <row r="232" spans="1:22" x14ac:dyDescent="0.25">
      <c r="A232" s="57">
        <f>'A) Base RI'!A233</f>
        <v>5764</v>
      </c>
      <c r="B232" s="64" t="str">
        <f>'A) Base RI'!B233</f>
        <v>Vallorbe</v>
      </c>
      <c r="C232" s="172">
        <v>2225024.065690083</v>
      </c>
      <c r="D232" s="173">
        <v>-1211687.2074745591</v>
      </c>
      <c r="E232" s="174">
        <v>0</v>
      </c>
      <c r="F232" s="173">
        <v>0</v>
      </c>
      <c r="G232" s="173">
        <v>0</v>
      </c>
      <c r="H232" s="175">
        <f t="shared" si="38"/>
        <v>1013336.8582155239</v>
      </c>
      <c r="I232" s="233">
        <v>84393.993513513502</v>
      </c>
      <c r="J232" s="109">
        <f>'B) D RI'!U233</f>
        <v>84513.608378378369</v>
      </c>
      <c r="K232" s="76">
        <f t="shared" si="51"/>
        <v>12.007215395646188</v>
      </c>
      <c r="L232" s="41">
        <f>'B) D RI'!S233</f>
        <v>74</v>
      </c>
      <c r="M232" s="41">
        <f t="shared" si="46"/>
        <v>61.992784604353815</v>
      </c>
      <c r="N232" s="142">
        <f>'J) Plafonnement effort'!G231+'J) Plafonnement effort'!H231-'K) Plafonnement aide'!I231</f>
        <v>-161.02932015055688</v>
      </c>
      <c r="O232" s="142">
        <f t="shared" si="47"/>
        <v>-99.036535546203069</v>
      </c>
      <c r="P232" s="55">
        <f t="shared" si="48"/>
        <v>0</v>
      </c>
      <c r="Q232" s="66">
        <f t="shared" si="52"/>
        <v>0</v>
      </c>
      <c r="R232" s="164">
        <f t="shared" si="49"/>
        <v>-99.036535546203069</v>
      </c>
      <c r="S232" s="142">
        <f t="shared" si="50"/>
        <v>-173.03653554620308</v>
      </c>
      <c r="T232" s="163"/>
      <c r="V232" s="17"/>
    </row>
    <row r="233" spans="1:22" x14ac:dyDescent="0.25">
      <c r="A233" s="57">
        <f>'A) Base RI'!A234</f>
        <v>5765</v>
      </c>
      <c r="B233" s="64" t="str">
        <f>'A) Base RI'!B234</f>
        <v>Vaulion</v>
      </c>
      <c r="C233" s="172">
        <v>202026.61431023435</v>
      </c>
      <c r="D233" s="173">
        <v>-197675.93660405211</v>
      </c>
      <c r="E233" s="174">
        <v>0</v>
      </c>
      <c r="F233" s="173">
        <v>0</v>
      </c>
      <c r="G233" s="173">
        <v>0</v>
      </c>
      <c r="H233" s="175">
        <f t="shared" si="38"/>
        <v>4350.6777061822359</v>
      </c>
      <c r="I233" s="233">
        <v>9305.5603703703709</v>
      </c>
      <c r="J233" s="109">
        <f>'B) D RI'!U234</f>
        <v>10199.027160493826</v>
      </c>
      <c r="K233" s="76">
        <f t="shared" si="51"/>
        <v>0.46753527278541251</v>
      </c>
      <c r="L233" s="41">
        <f>'B) D RI'!S234</f>
        <v>81</v>
      </c>
      <c r="M233" s="41">
        <f t="shared" si="46"/>
        <v>80.532464727214588</v>
      </c>
      <c r="N233" s="142">
        <f>'J) Plafonnement effort'!G232+'J) Plafonnement effort'!H232-'K) Plafonnement aide'!I232</f>
        <v>-11.273773668462161</v>
      </c>
      <c r="O233" s="142">
        <f t="shared" si="47"/>
        <v>69.258691058752433</v>
      </c>
      <c r="P233" s="55">
        <f t="shared" si="48"/>
        <v>0</v>
      </c>
      <c r="Q233" s="66">
        <f t="shared" si="52"/>
        <v>0</v>
      </c>
      <c r="R233" s="164">
        <f t="shared" si="49"/>
        <v>69.258691058752433</v>
      </c>
      <c r="S233" s="142">
        <f t="shared" si="50"/>
        <v>-11.741308941247567</v>
      </c>
      <c r="T233" s="163"/>
      <c r="V233" s="17"/>
    </row>
    <row r="234" spans="1:22" x14ac:dyDescent="0.25">
      <c r="A234" s="57">
        <f>'A) Base RI'!A235</f>
        <v>5766</v>
      </c>
      <c r="B234" s="64" t="str">
        <f>'A) Base RI'!B235</f>
        <v>Vuiteboeuf</v>
      </c>
      <c r="C234" s="172">
        <v>220235.52413524041</v>
      </c>
      <c r="D234" s="173">
        <v>-122790.93559132714</v>
      </c>
      <c r="E234" s="174">
        <v>0</v>
      </c>
      <c r="F234" s="173">
        <v>0</v>
      </c>
      <c r="G234" s="173">
        <v>0</v>
      </c>
      <c r="H234" s="175">
        <f t="shared" si="38"/>
        <v>97444.588543913269</v>
      </c>
      <c r="I234" s="233">
        <v>11614.965899814471</v>
      </c>
      <c r="J234" s="109">
        <f>'B) D RI'!U235</f>
        <v>13023.960575139146</v>
      </c>
      <c r="K234" s="76">
        <f t="shared" si="51"/>
        <v>8.3895716426915872</v>
      </c>
      <c r="L234" s="41">
        <f>'B) D RI'!S235</f>
        <v>77</v>
      </c>
      <c r="M234" s="41">
        <f t="shared" si="46"/>
        <v>68.610428357308407</v>
      </c>
      <c r="N234" s="142">
        <f>'J) Plafonnement effort'!G233+'J) Plafonnement effort'!H233-'K) Plafonnement aide'!I233</f>
        <v>1.0973049193329363</v>
      </c>
      <c r="O234" s="142">
        <f t="shared" si="47"/>
        <v>69.707733276641349</v>
      </c>
      <c r="P234" s="55">
        <f t="shared" si="48"/>
        <v>0</v>
      </c>
      <c r="Q234" s="66">
        <f t="shared" si="52"/>
        <v>0</v>
      </c>
      <c r="R234" s="164">
        <f t="shared" si="49"/>
        <v>69.707733276641349</v>
      </c>
      <c r="S234" s="142">
        <f t="shared" si="50"/>
        <v>-7.2922667233586509</v>
      </c>
      <c r="T234" s="163"/>
      <c r="V234" s="17"/>
    </row>
    <row r="235" spans="1:22" x14ac:dyDescent="0.25">
      <c r="A235" s="57">
        <f>'A) Base RI'!A236</f>
        <v>5785</v>
      </c>
      <c r="B235" s="64" t="str">
        <f>'A) Base RI'!B236</f>
        <v>Corcelles-le-Jorat</v>
      </c>
      <c r="C235" s="172">
        <v>211182.65157050273</v>
      </c>
      <c r="D235" s="173">
        <v>31229.978076095314</v>
      </c>
      <c r="E235" s="174">
        <v>0</v>
      </c>
      <c r="F235" s="173">
        <v>0</v>
      </c>
      <c r="G235" s="173">
        <v>0</v>
      </c>
      <c r="H235" s="175">
        <f t="shared" si="38"/>
        <v>242412.62964659804</v>
      </c>
      <c r="I235" s="233">
        <v>12293.058354430379</v>
      </c>
      <c r="J235" s="109">
        <f>'B) D RI'!U236</f>
        <v>12275.22831168831</v>
      </c>
      <c r="K235" s="76">
        <f t="shared" si="51"/>
        <v>19.71947278353505</v>
      </c>
      <c r="L235" s="41">
        <f>'B) D RI'!S236</f>
        <v>77</v>
      </c>
      <c r="M235" s="41">
        <f t="shared" si="46"/>
        <v>57.280527216464947</v>
      </c>
      <c r="N235" s="142">
        <f>'J) Plafonnement effort'!G234+'J) Plafonnement effort'!H234-'K) Plafonnement aide'!I234</f>
        <v>13.123237553352302</v>
      </c>
      <c r="O235" s="142">
        <f t="shared" si="47"/>
        <v>70.403764769817244</v>
      </c>
      <c r="P235" s="55">
        <f t="shared" si="48"/>
        <v>0</v>
      </c>
      <c r="Q235" s="66">
        <f t="shared" si="52"/>
        <v>0</v>
      </c>
      <c r="R235" s="164">
        <f t="shared" si="49"/>
        <v>70.403764769817244</v>
      </c>
      <c r="S235" s="142">
        <f t="shared" si="50"/>
        <v>-6.5962352301827565</v>
      </c>
      <c r="T235" s="163"/>
      <c r="V235" s="17"/>
    </row>
    <row r="236" spans="1:22" x14ac:dyDescent="0.25">
      <c r="A236" s="57">
        <f>'A) Base RI'!A237</f>
        <v>5788</v>
      </c>
      <c r="B236" s="64" t="str">
        <f>'A) Base RI'!B237</f>
        <v>Essertes</v>
      </c>
      <c r="C236" s="172">
        <v>183364.16799234782</v>
      </c>
      <c r="D236" s="173">
        <v>80246.54778886975</v>
      </c>
      <c r="E236" s="174">
        <v>0</v>
      </c>
      <c r="F236" s="173">
        <v>0</v>
      </c>
      <c r="G236" s="173">
        <v>0</v>
      </c>
      <c r="H236" s="175">
        <f t="shared" si="38"/>
        <v>263610.71578121756</v>
      </c>
      <c r="I236" s="233">
        <v>10412.319857142857</v>
      </c>
      <c r="J236" s="109">
        <f>'B) D RI'!U237</f>
        <v>9663.2152777777756</v>
      </c>
      <c r="K236" s="76">
        <f t="shared" si="51"/>
        <v>25.317193420674691</v>
      </c>
      <c r="L236" s="41">
        <f>'B) D RI'!S237</f>
        <v>72</v>
      </c>
      <c r="M236" s="41">
        <f t="shared" si="46"/>
        <v>46.682806579325309</v>
      </c>
      <c r="N236" s="142">
        <f>'J) Plafonnement effort'!G235+'J) Plafonnement effort'!H235-'K) Plafonnement aide'!I235</f>
        <v>19.885645040824539</v>
      </c>
      <c r="O236" s="142">
        <f t="shared" si="47"/>
        <v>66.568451620149844</v>
      </c>
      <c r="P236" s="55">
        <f t="shared" si="48"/>
        <v>0</v>
      </c>
      <c r="Q236" s="66">
        <f t="shared" si="52"/>
        <v>0</v>
      </c>
      <c r="R236" s="164">
        <f t="shared" si="49"/>
        <v>66.568451620149844</v>
      </c>
      <c r="S236" s="142">
        <f t="shared" si="50"/>
        <v>-5.431548379850156</v>
      </c>
      <c r="T236" s="163"/>
      <c r="V236" s="17"/>
    </row>
    <row r="237" spans="1:22" x14ac:dyDescent="0.25">
      <c r="A237" s="57">
        <f>'A) Base RI'!A238</f>
        <v>5790</v>
      </c>
      <c r="B237" s="64" t="str">
        <f>'A) Base RI'!B238</f>
        <v>Maracon</v>
      </c>
      <c r="C237" s="172">
        <v>295622.0782696298</v>
      </c>
      <c r="D237" s="173">
        <v>9551.4063950945565</v>
      </c>
      <c r="E237" s="174">
        <v>0</v>
      </c>
      <c r="F237" s="173">
        <v>0</v>
      </c>
      <c r="G237" s="173">
        <v>0</v>
      </c>
      <c r="H237" s="175">
        <f t="shared" si="38"/>
        <v>305173.48466472432</v>
      </c>
      <c r="I237" s="233">
        <v>12107.709078947366</v>
      </c>
      <c r="J237" s="109">
        <f>'B) D RI'!U238</f>
        <v>12077.747368421051</v>
      </c>
      <c r="K237" s="76">
        <f t="shared" si="51"/>
        <v>25.204890758017441</v>
      </c>
      <c r="L237" s="41">
        <f>'B) D RI'!S238</f>
        <v>76</v>
      </c>
      <c r="M237" s="41">
        <f t="shared" si="46"/>
        <v>50.795109241982559</v>
      </c>
      <c r="N237" s="142">
        <f>'J) Plafonnement effort'!G236+'J) Plafonnement effort'!H236-'K) Plafonnement aide'!I236</f>
        <v>11.724177170731185</v>
      </c>
      <c r="O237" s="142">
        <f t="shared" si="47"/>
        <v>62.51928641271374</v>
      </c>
      <c r="P237" s="55">
        <f t="shared" si="48"/>
        <v>0</v>
      </c>
      <c r="Q237" s="66">
        <f t="shared" si="52"/>
        <v>0</v>
      </c>
      <c r="R237" s="164">
        <f t="shared" si="49"/>
        <v>62.51928641271374</v>
      </c>
      <c r="S237" s="142">
        <f t="shared" si="50"/>
        <v>-13.48071358728626</v>
      </c>
      <c r="T237" s="163"/>
      <c r="V237" s="17"/>
    </row>
    <row r="238" spans="1:22" x14ac:dyDescent="0.25">
      <c r="A238" s="57">
        <f>'A) Base RI'!A239</f>
        <v>5792</v>
      </c>
      <c r="B238" s="64" t="str">
        <f>'A) Base RI'!B239</f>
        <v>Montpreveyres</v>
      </c>
      <c r="C238" s="172">
        <v>325395.3453943698</v>
      </c>
      <c r="D238" s="173">
        <v>89858.421785080805</v>
      </c>
      <c r="E238" s="174">
        <v>0</v>
      </c>
      <c r="F238" s="173">
        <v>0</v>
      </c>
      <c r="G238" s="173">
        <v>0</v>
      </c>
      <c r="H238" s="175">
        <f t="shared" si="38"/>
        <v>415253.7671794506</v>
      </c>
      <c r="I238" s="233">
        <v>19088.494155844161</v>
      </c>
      <c r="J238" s="109">
        <f>'B) D RI'!U239</f>
        <v>15670.869999999999</v>
      </c>
      <c r="K238" s="76">
        <f t="shared" si="51"/>
        <v>21.754139629307318</v>
      </c>
      <c r="L238" s="41">
        <f>'B) D RI'!S239</f>
        <v>77</v>
      </c>
      <c r="M238" s="41">
        <f t="shared" si="46"/>
        <v>55.245860370692682</v>
      </c>
      <c r="N238" s="142">
        <f>'J) Plafonnement effort'!G237+'J) Plafonnement effort'!H237-'K) Plafonnement aide'!I237</f>
        <v>2.015500829583484</v>
      </c>
      <c r="O238" s="142">
        <f t="shared" si="47"/>
        <v>57.26136120027617</v>
      </c>
      <c r="P238" s="55">
        <f t="shared" si="48"/>
        <v>0</v>
      </c>
      <c r="Q238" s="66">
        <f t="shared" si="52"/>
        <v>0</v>
      </c>
      <c r="R238" s="164">
        <f t="shared" si="49"/>
        <v>57.26136120027617</v>
      </c>
      <c r="S238" s="142">
        <f t="shared" si="50"/>
        <v>-19.73863879972383</v>
      </c>
      <c r="T238" s="163"/>
      <c r="V238" s="17"/>
    </row>
    <row r="239" spans="1:22" x14ac:dyDescent="0.25">
      <c r="A239" s="57">
        <f>'A) Base RI'!A240</f>
        <v>5798</v>
      </c>
      <c r="B239" s="64" t="str">
        <f>'A) Base RI'!B240</f>
        <v>Ropraz</v>
      </c>
      <c r="C239" s="172">
        <v>191754.87095531469</v>
      </c>
      <c r="D239" s="173">
        <v>-60633.547865487286</v>
      </c>
      <c r="E239" s="174">
        <v>0</v>
      </c>
      <c r="F239" s="173">
        <v>0</v>
      </c>
      <c r="G239" s="173">
        <v>0</v>
      </c>
      <c r="H239" s="175">
        <f t="shared" si="38"/>
        <v>131121.32308982741</v>
      </c>
      <c r="I239" s="233">
        <v>9558.3067096774193</v>
      </c>
      <c r="J239" s="109">
        <f>'B) D RI'!U240</f>
        <v>10971.989935483871</v>
      </c>
      <c r="K239" s="76">
        <f t="shared" si="51"/>
        <v>13.718049344145035</v>
      </c>
      <c r="L239" s="41">
        <f>'B) D RI'!S240</f>
        <v>77.5</v>
      </c>
      <c r="M239" s="41">
        <f t="shared" si="46"/>
        <v>63.781950655854963</v>
      </c>
      <c r="N239" s="142">
        <f>'J) Plafonnement effort'!G238+'J) Plafonnement effort'!H238-'K) Plafonnement aide'!I238</f>
        <v>11.298234576138967</v>
      </c>
      <c r="O239" s="142">
        <f t="shared" si="47"/>
        <v>75.080185231993937</v>
      </c>
      <c r="P239" s="55">
        <f t="shared" si="48"/>
        <v>0</v>
      </c>
      <c r="Q239" s="66">
        <f t="shared" si="52"/>
        <v>0</v>
      </c>
      <c r="R239" s="164">
        <f t="shared" si="49"/>
        <v>75.080185231993937</v>
      </c>
      <c r="S239" s="142">
        <f t="shared" si="50"/>
        <v>-2.4198147680060629</v>
      </c>
      <c r="T239" s="163"/>
      <c r="V239" s="17"/>
    </row>
    <row r="240" spans="1:22" x14ac:dyDescent="0.25">
      <c r="A240" s="57">
        <f>'A) Base RI'!A241</f>
        <v>5799</v>
      </c>
      <c r="B240" s="64" t="str">
        <f>'A) Base RI'!B241</f>
        <v>Servion</v>
      </c>
      <c r="C240" s="172">
        <v>1041372.6790878657</v>
      </c>
      <c r="D240" s="173">
        <v>-79034.327922815457</v>
      </c>
      <c r="E240" s="174">
        <v>0</v>
      </c>
      <c r="F240" s="173">
        <v>0</v>
      </c>
      <c r="G240" s="173">
        <v>0</v>
      </c>
      <c r="H240" s="175">
        <f t="shared" si="38"/>
        <v>962338.35116505029</v>
      </c>
      <c r="I240" s="233">
        <v>51366.477681159435</v>
      </c>
      <c r="J240" s="109">
        <f>'B) D RI'!U241</f>
        <v>60598.657971014502</v>
      </c>
      <c r="K240" s="76">
        <f t="shared" si="51"/>
        <v>18.734754544363543</v>
      </c>
      <c r="L240" s="41">
        <f>'B) D RI'!S241</f>
        <v>69</v>
      </c>
      <c r="M240" s="41">
        <f t="shared" si="46"/>
        <v>50.26524545563646</v>
      </c>
      <c r="N240" s="142">
        <f>'J) Plafonnement effort'!G239+'J) Plafonnement effort'!H239-'K) Plafonnement aide'!I239</f>
        <v>2.9547883612281005</v>
      </c>
      <c r="O240" s="142">
        <f t="shared" si="47"/>
        <v>53.220033816864557</v>
      </c>
      <c r="P240" s="55">
        <f t="shared" si="48"/>
        <v>0</v>
      </c>
      <c r="Q240" s="66">
        <f t="shared" si="52"/>
        <v>0</v>
      </c>
      <c r="R240" s="164">
        <f t="shared" si="49"/>
        <v>53.220033816864557</v>
      </c>
      <c r="S240" s="142">
        <f t="shared" si="50"/>
        <v>-15.779966183135443</v>
      </c>
      <c r="T240" s="163"/>
      <c r="V240" s="17"/>
    </row>
    <row r="241" spans="1:22" x14ac:dyDescent="0.25">
      <c r="A241" s="57">
        <f>'A) Base RI'!A242</f>
        <v>5803</v>
      </c>
      <c r="B241" s="64" t="str">
        <f>'A) Base RI'!B242</f>
        <v>Vulliens</v>
      </c>
      <c r="C241" s="172">
        <v>281986.55631341483</v>
      </c>
      <c r="D241" s="173">
        <v>-14742.312720940856</v>
      </c>
      <c r="E241" s="174">
        <v>0</v>
      </c>
      <c r="F241" s="173">
        <v>0</v>
      </c>
      <c r="G241" s="173">
        <v>0</v>
      </c>
      <c r="H241" s="175">
        <f t="shared" si="38"/>
        <v>267244.24359247397</v>
      </c>
      <c r="I241" s="233">
        <v>12589.149382716048</v>
      </c>
      <c r="J241" s="109">
        <f>'B) D RI'!U242</f>
        <v>14215.08564102564</v>
      </c>
      <c r="K241" s="76">
        <f t="shared" si="51"/>
        <v>21.228141431015199</v>
      </c>
      <c r="L241" s="41">
        <f>'B) D RI'!S242</f>
        <v>78</v>
      </c>
      <c r="M241" s="41">
        <f t="shared" si="46"/>
        <v>56.771858568984797</v>
      </c>
      <c r="N241" s="142">
        <f>'J) Plafonnement effort'!G240+'J) Plafonnement effort'!H240-'K) Plafonnement aide'!I240</f>
        <v>22.912691140411656</v>
      </c>
      <c r="O241" s="142">
        <f t="shared" si="47"/>
        <v>79.68454970939645</v>
      </c>
      <c r="P241" s="55">
        <f t="shared" si="48"/>
        <v>0</v>
      </c>
      <c r="Q241" s="66">
        <f t="shared" si="52"/>
        <v>0</v>
      </c>
      <c r="R241" s="164">
        <f t="shared" si="49"/>
        <v>79.68454970939645</v>
      </c>
      <c r="S241" s="142">
        <f t="shared" si="50"/>
        <v>1.6845497093964497</v>
      </c>
      <c r="T241" s="163"/>
      <c r="V241" s="17"/>
    </row>
    <row r="242" spans="1:22" x14ac:dyDescent="0.25">
      <c r="A242" s="57">
        <f>'A) Base RI'!A243</f>
        <v>5804</v>
      </c>
      <c r="B242" s="64" t="str">
        <f>'A) Base RI'!B243</f>
        <v>Jorat-Menthue</v>
      </c>
      <c r="C242" s="172">
        <v>755636.67805854103</v>
      </c>
      <c r="D242" s="173">
        <v>-44506.639054530649</v>
      </c>
      <c r="E242" s="174">
        <v>0</v>
      </c>
      <c r="F242" s="173">
        <v>0</v>
      </c>
      <c r="G242" s="173">
        <v>0</v>
      </c>
      <c r="H242" s="175">
        <f t="shared" si="38"/>
        <v>711130.03900401038</v>
      </c>
      <c r="I242" s="233">
        <v>41163.666944444441</v>
      </c>
      <c r="J242" s="109">
        <f>'B) D RI'!U243</f>
        <v>48554.511111111118</v>
      </c>
      <c r="K242" s="76">
        <f>H242/I242</f>
        <v>17.27567274226978</v>
      </c>
      <c r="L242" s="41">
        <f>'B) D RI'!S243</f>
        <v>72</v>
      </c>
      <c r="M242" s="41">
        <f>L242-K242</f>
        <v>54.724327257730224</v>
      </c>
      <c r="N242" s="142">
        <f>'J) Plafonnement effort'!G241+'J) Plafonnement effort'!H241-'K) Plafonnement aide'!I241</f>
        <v>13.534804929270805</v>
      </c>
      <c r="O242" s="142">
        <f>M242+N242</f>
        <v>68.259132187001029</v>
      </c>
      <c r="P242" s="55">
        <f t="shared" si="48"/>
        <v>0</v>
      </c>
      <c r="Q242" s="66">
        <f>P242*J242</f>
        <v>0</v>
      </c>
      <c r="R242" s="164">
        <f>O242+P242</f>
        <v>68.259132187001029</v>
      </c>
      <c r="S242" s="142">
        <f>R242-L242</f>
        <v>-3.740867812998971</v>
      </c>
      <c r="T242" s="163"/>
      <c r="V242" s="17"/>
    </row>
    <row r="243" spans="1:22" x14ac:dyDescent="0.25">
      <c r="A243" s="57">
        <f>'A) Base RI'!A244</f>
        <v>5805</v>
      </c>
      <c r="B243" s="64" t="str">
        <f>'A) Base RI'!B244</f>
        <v>Oron</v>
      </c>
      <c r="C243" s="172">
        <v>2735670.5198557889</v>
      </c>
      <c r="D243" s="173">
        <v>-883133.77239939757</v>
      </c>
      <c r="E243" s="174">
        <v>0</v>
      </c>
      <c r="F243" s="173">
        <v>0</v>
      </c>
      <c r="G243" s="173">
        <v>0</v>
      </c>
      <c r="H243" s="175">
        <f t="shared" si="38"/>
        <v>1852536.7474563913</v>
      </c>
      <c r="I243" s="233">
        <v>146504.50986824767</v>
      </c>
      <c r="J243" s="109">
        <f>'B) D RI'!U244</f>
        <v>147104.2625559947</v>
      </c>
      <c r="K243" s="76">
        <f>H243/I243</f>
        <v>12.644912768367254</v>
      </c>
      <c r="L243" s="41">
        <f>'B) D RI'!S244</f>
        <v>69</v>
      </c>
      <c r="M243" s="41">
        <f>L243-K243</f>
        <v>56.355087231632744</v>
      </c>
      <c r="N243" s="142">
        <f>'J) Plafonnement effort'!G242+'J) Plafonnement effort'!H242-'K) Plafonnement aide'!I242</f>
        <v>10.56350966968628</v>
      </c>
      <c r="O243" s="142">
        <f>M243+N243</f>
        <v>66.91859690131902</v>
      </c>
      <c r="P243" s="55">
        <f t="shared" si="48"/>
        <v>0</v>
      </c>
      <c r="Q243" s="66">
        <f>P243*J243</f>
        <v>0</v>
      </c>
      <c r="R243" s="164">
        <f>O243+P243</f>
        <v>66.91859690131902</v>
      </c>
      <c r="S243" s="142">
        <f>R243-L243</f>
        <v>-2.0814030986809797</v>
      </c>
      <c r="T243" s="163"/>
      <c r="V243" s="17"/>
    </row>
    <row r="244" spans="1:22" x14ac:dyDescent="0.25">
      <c r="A244" s="57">
        <f>'A) Base RI'!A245</f>
        <v>5806</v>
      </c>
      <c r="B244" s="64" t="str">
        <f>'A) Base RI'!B245</f>
        <v>Jorat-Mézières</v>
      </c>
      <c r="C244" s="172">
        <v>1508674.9304982913</v>
      </c>
      <c r="D244" s="173">
        <v>-48253.834740795661</v>
      </c>
      <c r="E244" s="174">
        <v>0</v>
      </c>
      <c r="F244" s="173">
        <v>0</v>
      </c>
      <c r="G244" s="173">
        <v>0</v>
      </c>
      <c r="H244" s="175">
        <f t="shared" si="38"/>
        <v>1460421.0957574956</v>
      </c>
      <c r="I244" s="233">
        <v>83059.358118759847</v>
      </c>
      <c r="J244" s="109">
        <f>'B) D RI'!U245</f>
        <v>90980.17</v>
      </c>
      <c r="K244" s="76">
        <f>H244/I244</f>
        <v>17.58286036438372</v>
      </c>
      <c r="L244" s="41">
        <f>'B) D RI'!S245</f>
        <v>76</v>
      </c>
      <c r="M244" s="41">
        <f>L244-K244</f>
        <v>58.41713963561628</v>
      </c>
      <c r="N244" s="142">
        <f>'J) Plafonnement effort'!G243+'J) Plafonnement effort'!H243-'K) Plafonnement aide'!I243</f>
        <v>17.291441195211931</v>
      </c>
      <c r="O244" s="142">
        <f>M244+N244</f>
        <v>75.708580830828211</v>
      </c>
      <c r="P244" s="55">
        <f t="shared" ref="P244" si="53">IF(O244&gt;$P$5,$P$5-O244,0)</f>
        <v>0</v>
      </c>
      <c r="Q244" s="66">
        <f>P244*J244</f>
        <v>0</v>
      </c>
      <c r="R244" s="164">
        <f>O244+P244</f>
        <v>75.708580830828211</v>
      </c>
      <c r="S244" s="142">
        <f>R244-L244</f>
        <v>-0.29141916917178889</v>
      </c>
      <c r="T244" s="163"/>
      <c r="V244" s="17"/>
    </row>
    <row r="245" spans="1:22" x14ac:dyDescent="0.25">
      <c r="A245" s="57">
        <f>'A) Base RI'!A246</f>
        <v>5812</v>
      </c>
      <c r="B245" s="64" t="str">
        <f>'A) Base RI'!B246</f>
        <v>Champtauroz</v>
      </c>
      <c r="C245" s="172">
        <v>55110.423186755273</v>
      </c>
      <c r="D245" s="173">
        <v>-49378.698263085949</v>
      </c>
      <c r="E245" s="174">
        <v>0</v>
      </c>
      <c r="F245" s="173">
        <v>0</v>
      </c>
      <c r="G245" s="173">
        <v>0</v>
      </c>
      <c r="H245" s="175">
        <f t="shared" si="38"/>
        <v>5731.7249236693242</v>
      </c>
      <c r="I245" s="233">
        <v>2420.1879870129869</v>
      </c>
      <c r="J245" s="109">
        <f>'B) D RI'!U246</f>
        <v>2326.5760389610391</v>
      </c>
      <c r="K245" s="76">
        <f>H245/I245</f>
        <v>2.3682974026920363</v>
      </c>
      <c r="L245" s="41">
        <f>'B) D RI'!S246</f>
        <v>77</v>
      </c>
      <c r="M245" s="41">
        <f>L245-K245</f>
        <v>74.631702597307964</v>
      </c>
      <c r="N245" s="142">
        <f>'J) Plafonnement effort'!G244+'J) Plafonnement effort'!H244-'K) Plafonnement aide'!I244</f>
        <v>-22.144937683299162</v>
      </c>
      <c r="O245" s="142">
        <f>M245+N245</f>
        <v>52.486764914008802</v>
      </c>
      <c r="P245" s="55">
        <f t="shared" si="48"/>
        <v>0</v>
      </c>
      <c r="Q245" s="66">
        <f>P245*J245</f>
        <v>0</v>
      </c>
      <c r="R245" s="164">
        <f>O245+P245</f>
        <v>52.486764914008802</v>
      </c>
      <c r="S245" s="142">
        <f>R245-L245</f>
        <v>-24.513235085991198</v>
      </c>
      <c r="T245" s="163"/>
      <c r="V245" s="17"/>
    </row>
    <row r="246" spans="1:22" x14ac:dyDescent="0.25">
      <c r="A246" s="57">
        <f>'A) Base RI'!A247</f>
        <v>5813</v>
      </c>
      <c r="B246" s="64" t="str">
        <f>'A) Base RI'!B247</f>
        <v>Chevroux</v>
      </c>
      <c r="C246" s="172">
        <v>213150.78206427876</v>
      </c>
      <c r="D246" s="173">
        <v>29283.800784349616</v>
      </c>
      <c r="E246" s="174">
        <v>0</v>
      </c>
      <c r="F246" s="173">
        <v>0</v>
      </c>
      <c r="G246" s="173">
        <v>0</v>
      </c>
      <c r="H246" s="175">
        <f t="shared" si="38"/>
        <v>242434.58284862837</v>
      </c>
      <c r="I246" s="233">
        <v>11590.298571428571</v>
      </c>
      <c r="J246" s="109">
        <f>'B) D RI'!U247</f>
        <v>11503.329976190478</v>
      </c>
      <c r="K246" s="76">
        <f t="shared" si="51"/>
        <v>20.917026542030392</v>
      </c>
      <c r="L246" s="41">
        <f>'B) D RI'!S247</f>
        <v>70</v>
      </c>
      <c r="M246" s="41">
        <f t="shared" si="46"/>
        <v>49.082973457969608</v>
      </c>
      <c r="N246" s="142">
        <f>'J) Plafonnement effort'!G245+'J) Plafonnement effort'!H245-'K) Plafonnement aide'!I245</f>
        <v>14.877052932584725</v>
      </c>
      <c r="O246" s="142">
        <f t="shared" si="47"/>
        <v>63.960026390554333</v>
      </c>
      <c r="P246" s="55">
        <f t="shared" si="48"/>
        <v>0</v>
      </c>
      <c r="Q246" s="66">
        <f t="shared" si="52"/>
        <v>0</v>
      </c>
      <c r="R246" s="164">
        <f t="shared" si="49"/>
        <v>63.960026390554333</v>
      </c>
      <c r="S246" s="142">
        <f t="shared" si="50"/>
        <v>-6.0399736094456671</v>
      </c>
      <c r="T246" s="163"/>
      <c r="V246" s="17"/>
    </row>
    <row r="247" spans="1:22" x14ac:dyDescent="0.25">
      <c r="A247" s="57">
        <f>'A) Base RI'!A248</f>
        <v>5816</v>
      </c>
      <c r="B247" s="64" t="str">
        <f>'A) Base RI'!B248</f>
        <v>Corcelles-près-Payerne</v>
      </c>
      <c r="C247" s="172">
        <v>1062635.0502406014</v>
      </c>
      <c r="D247" s="173">
        <v>-474902.92400662357</v>
      </c>
      <c r="E247" s="174">
        <v>0</v>
      </c>
      <c r="F247" s="173">
        <v>0</v>
      </c>
      <c r="G247" s="173">
        <v>0</v>
      </c>
      <c r="H247" s="175">
        <f t="shared" si="38"/>
        <v>587732.12623397785</v>
      </c>
      <c r="I247" s="233">
        <v>52953.608154761903</v>
      </c>
      <c r="J247" s="109">
        <f>'B) D RI'!U248</f>
        <v>56641.066845238092</v>
      </c>
      <c r="K247" s="76">
        <f t="shared" si="51"/>
        <v>11.099000553772944</v>
      </c>
      <c r="L247" s="41">
        <f>'B) D RI'!S248</f>
        <v>72</v>
      </c>
      <c r="M247" s="41">
        <f t="shared" si="46"/>
        <v>60.900999446227054</v>
      </c>
      <c r="N247" s="142">
        <f>'J) Plafonnement effort'!G246+'J) Plafonnement effort'!H246-'K) Plafonnement aide'!I246</f>
        <v>1.2994610552633326</v>
      </c>
      <c r="O247" s="142">
        <f t="shared" si="47"/>
        <v>62.200460501490383</v>
      </c>
      <c r="P247" s="55">
        <f t="shared" si="48"/>
        <v>0</v>
      </c>
      <c r="Q247" s="66">
        <f t="shared" si="52"/>
        <v>0</v>
      </c>
      <c r="R247" s="164">
        <f t="shared" si="49"/>
        <v>62.200460501490383</v>
      </c>
      <c r="S247" s="142">
        <f t="shared" si="50"/>
        <v>-9.7995394985096169</v>
      </c>
      <c r="T247" s="163"/>
      <c r="V247" s="17"/>
    </row>
    <row r="248" spans="1:22" x14ac:dyDescent="0.25">
      <c r="A248" s="57">
        <f>'A) Base RI'!A249</f>
        <v>5817</v>
      </c>
      <c r="B248" s="64" t="str">
        <f>'A) Base RI'!B249</f>
        <v>Grandcour</v>
      </c>
      <c r="C248" s="172">
        <v>364465.47620807576</v>
      </c>
      <c r="D248" s="173">
        <v>-119733.40118799178</v>
      </c>
      <c r="E248" s="174">
        <v>0</v>
      </c>
      <c r="F248" s="173">
        <v>0</v>
      </c>
      <c r="G248" s="173">
        <v>0</v>
      </c>
      <c r="H248" s="175">
        <f t="shared" si="38"/>
        <v>244732.07502008398</v>
      </c>
      <c r="I248" s="233">
        <v>20895.78968553459</v>
      </c>
      <c r="J248" s="109">
        <f>'B) D RI'!U249</f>
        <v>20990.550314465407</v>
      </c>
      <c r="K248" s="76">
        <f t="shared" si="51"/>
        <v>11.712028054603904</v>
      </c>
      <c r="L248" s="41">
        <f>'B) D RI'!S249</f>
        <v>79.5</v>
      </c>
      <c r="M248" s="41">
        <f t="shared" si="46"/>
        <v>67.787971945396094</v>
      </c>
      <c r="N248" s="142">
        <f>'J) Plafonnement effort'!G247+'J) Plafonnement effort'!H247-'K) Plafonnement aide'!I247</f>
        <v>3.6361321485244371</v>
      </c>
      <c r="O248" s="142">
        <f t="shared" si="47"/>
        <v>71.424104093920533</v>
      </c>
      <c r="P248" s="55">
        <f t="shared" si="48"/>
        <v>0</v>
      </c>
      <c r="Q248" s="66">
        <f t="shared" si="52"/>
        <v>0</v>
      </c>
      <c r="R248" s="164">
        <f t="shared" si="49"/>
        <v>71.424104093920533</v>
      </c>
      <c r="S248" s="142">
        <f t="shared" si="50"/>
        <v>-8.0758959060794666</v>
      </c>
      <c r="T248" s="163"/>
      <c r="V248" s="17"/>
    </row>
    <row r="249" spans="1:22" x14ac:dyDescent="0.25">
      <c r="A249" s="57">
        <f>'A) Base RI'!A250</f>
        <v>5819</v>
      </c>
      <c r="B249" s="64" t="str">
        <f>'A) Base RI'!B250</f>
        <v>Henniez</v>
      </c>
      <c r="C249" s="172">
        <v>228552.31022968539</v>
      </c>
      <c r="D249" s="173">
        <v>177223.83924766723</v>
      </c>
      <c r="E249" s="174">
        <v>0</v>
      </c>
      <c r="F249" s="173">
        <v>0</v>
      </c>
      <c r="G249" s="173">
        <v>0</v>
      </c>
      <c r="H249" s="175">
        <f t="shared" si="38"/>
        <v>405776.14947735262</v>
      </c>
      <c r="I249" s="233">
        <v>13106.979402985076</v>
      </c>
      <c r="J249" s="109">
        <f>'B) D RI'!U250</f>
        <v>14949.743880597016</v>
      </c>
      <c r="K249" s="76">
        <f t="shared" si="51"/>
        <v>30.958784400388872</v>
      </c>
      <c r="L249" s="41">
        <f>'B) D RI'!S250</f>
        <v>67</v>
      </c>
      <c r="M249" s="41">
        <f t="shared" si="46"/>
        <v>36.041215599611128</v>
      </c>
      <c r="N249" s="142">
        <f>'J) Plafonnement effort'!G248+'J) Plafonnement effort'!H248-'K) Plafonnement aide'!I248</f>
        <v>30.812474428445665</v>
      </c>
      <c r="O249" s="142">
        <f t="shared" si="47"/>
        <v>66.853690028056789</v>
      </c>
      <c r="P249" s="55">
        <f t="shared" si="48"/>
        <v>0</v>
      </c>
      <c r="Q249" s="66">
        <f t="shared" si="52"/>
        <v>0</v>
      </c>
      <c r="R249" s="164">
        <f t="shared" si="49"/>
        <v>66.853690028056789</v>
      </c>
      <c r="S249" s="142">
        <f t="shared" si="50"/>
        <v>-0.14630997194321083</v>
      </c>
      <c r="T249" s="163"/>
      <c r="V249" s="17"/>
    </row>
    <row r="250" spans="1:22" x14ac:dyDescent="0.25">
      <c r="A250" s="57">
        <f>'A) Base RI'!A251</f>
        <v>5821</v>
      </c>
      <c r="B250" s="64" t="str">
        <f>'A) Base RI'!B251</f>
        <v>Missy</v>
      </c>
      <c r="C250" s="172">
        <v>162114.09053757269</v>
      </c>
      <c r="D250" s="173">
        <v>-66052.584601618641</v>
      </c>
      <c r="E250" s="174">
        <v>0</v>
      </c>
      <c r="F250" s="173">
        <v>0</v>
      </c>
      <c r="G250" s="173">
        <v>0</v>
      </c>
      <c r="H250" s="175">
        <f t="shared" si="38"/>
        <v>96061.505935954046</v>
      </c>
      <c r="I250" s="233">
        <v>7313.8070833333331</v>
      </c>
      <c r="J250" s="109">
        <f>'B) D RI'!U251</f>
        <v>7776.2584722222218</v>
      </c>
      <c r="K250" s="76">
        <f t="shared" si="51"/>
        <v>13.134268492651184</v>
      </c>
      <c r="L250" s="41">
        <f>'B) D RI'!S251</f>
        <v>72</v>
      </c>
      <c r="M250" s="41">
        <f t="shared" si="46"/>
        <v>58.865731507348812</v>
      </c>
      <c r="N250" s="142">
        <f>'J) Plafonnement effort'!G249+'J) Plafonnement effort'!H249-'K) Plafonnement aide'!I249</f>
        <v>1.8913946341042003</v>
      </c>
      <c r="O250" s="142">
        <f t="shared" si="47"/>
        <v>60.757126141453014</v>
      </c>
      <c r="P250" s="55">
        <f t="shared" si="48"/>
        <v>0</v>
      </c>
      <c r="Q250" s="66">
        <f t="shared" si="52"/>
        <v>0</v>
      </c>
      <c r="R250" s="164">
        <f t="shared" si="49"/>
        <v>60.757126141453014</v>
      </c>
      <c r="S250" s="142">
        <f t="shared" si="50"/>
        <v>-11.242873858546986</v>
      </c>
      <c r="T250" s="163"/>
      <c r="V250" s="17"/>
    </row>
    <row r="251" spans="1:22" x14ac:dyDescent="0.25">
      <c r="A251" s="57">
        <f>'A) Base RI'!A252</f>
        <v>5822</v>
      </c>
      <c r="B251" s="64" t="str">
        <f>'A) Base RI'!B252</f>
        <v>Payerne</v>
      </c>
      <c r="C251" s="172">
        <v>4169309.6142388908</v>
      </c>
      <c r="D251" s="173">
        <v>-4393533.5016737804</v>
      </c>
      <c r="E251" s="174">
        <v>0</v>
      </c>
      <c r="F251" s="173">
        <v>0</v>
      </c>
      <c r="G251" s="173">
        <v>0</v>
      </c>
      <c r="H251" s="175">
        <f t="shared" si="38"/>
        <v>-224223.88743488956</v>
      </c>
      <c r="I251" s="233">
        <v>224445.50853333328</v>
      </c>
      <c r="J251" s="109">
        <f>'B) D RI'!U252</f>
        <v>231493.6713333333</v>
      </c>
      <c r="K251" s="76">
        <f t="shared" si="51"/>
        <v>-0.99901258394568937</v>
      </c>
      <c r="L251" s="41">
        <f>'B) D RI'!S252</f>
        <v>75</v>
      </c>
      <c r="M251" s="41">
        <f t="shared" si="46"/>
        <v>75.999012583945685</v>
      </c>
      <c r="N251" s="142">
        <f>'J) Plafonnement effort'!G250+'J) Plafonnement effort'!H250-'K) Plafonnement aide'!I250</f>
        <v>-5.8553581742352856</v>
      </c>
      <c r="O251" s="142">
        <f t="shared" si="47"/>
        <v>70.143654409710393</v>
      </c>
      <c r="P251" s="55">
        <f t="shared" si="48"/>
        <v>0</v>
      </c>
      <c r="Q251" s="66">
        <f t="shared" si="52"/>
        <v>0</v>
      </c>
      <c r="R251" s="164">
        <f t="shared" si="49"/>
        <v>70.143654409710393</v>
      </c>
      <c r="S251" s="142">
        <f t="shared" si="50"/>
        <v>-4.8563455902896067</v>
      </c>
      <c r="T251" s="163"/>
      <c r="V251" s="17"/>
    </row>
    <row r="252" spans="1:22" x14ac:dyDescent="0.25">
      <c r="A252" s="57">
        <f>'A) Base RI'!A253</f>
        <v>5827</v>
      </c>
      <c r="B252" s="64" t="str">
        <f>'A) Base RI'!B253</f>
        <v>Trey</v>
      </c>
      <c r="C252" s="172">
        <v>127602.19692773039</v>
      </c>
      <c r="D252" s="173">
        <v>-23188.242768367665</v>
      </c>
      <c r="E252" s="174">
        <v>0</v>
      </c>
      <c r="F252" s="173">
        <v>0</v>
      </c>
      <c r="G252" s="173">
        <v>0</v>
      </c>
      <c r="H252" s="175">
        <f t="shared" si="38"/>
        <v>104413.95415936272</v>
      </c>
      <c r="I252" s="233">
        <v>6544.3336250000011</v>
      </c>
      <c r="J252" s="109">
        <f>'B) D RI'!U253</f>
        <v>6204.9173749999991</v>
      </c>
      <c r="K252" s="76">
        <f t="shared" si="51"/>
        <v>15.954864183649057</v>
      </c>
      <c r="L252" s="41">
        <f>'B) D RI'!S253</f>
        <v>80</v>
      </c>
      <c r="M252" s="41">
        <f t="shared" si="46"/>
        <v>64.04513581635095</v>
      </c>
      <c r="N252" s="142">
        <f>'J) Plafonnement effort'!G251+'J) Plafonnement effort'!H251-'K) Plafonnement aide'!I251</f>
        <v>4.9239273215000701</v>
      </c>
      <c r="O252" s="142">
        <f t="shared" si="47"/>
        <v>68.969063137851023</v>
      </c>
      <c r="P252" s="55">
        <f t="shared" si="48"/>
        <v>0</v>
      </c>
      <c r="Q252" s="66">
        <f t="shared" si="52"/>
        <v>0</v>
      </c>
      <c r="R252" s="164">
        <f t="shared" si="49"/>
        <v>68.969063137851023</v>
      </c>
      <c r="S252" s="142">
        <f t="shared" si="50"/>
        <v>-11.030936862148977</v>
      </c>
      <c r="T252" s="163"/>
      <c r="V252" s="17"/>
    </row>
    <row r="253" spans="1:22" x14ac:dyDescent="0.25">
      <c r="A253" s="57">
        <f>'A) Base RI'!A254</f>
        <v>5828</v>
      </c>
      <c r="B253" s="64" t="str">
        <f>'A) Base RI'!B254</f>
        <v>Treytorrens (Payerne)</v>
      </c>
      <c r="C253" s="172">
        <v>41317.405842686196</v>
      </c>
      <c r="D253" s="173">
        <v>-66020.114816076879</v>
      </c>
      <c r="E253" s="174">
        <v>10815.34935037481</v>
      </c>
      <c r="F253" s="173">
        <v>0</v>
      </c>
      <c r="G253" s="173">
        <v>0</v>
      </c>
      <c r="H253" s="175">
        <f t="shared" si="38"/>
        <v>-13887.359623015873</v>
      </c>
      <c r="I253" s="233">
        <v>2136.5168650793653</v>
      </c>
      <c r="J253" s="109">
        <f>'B) D RI'!U254</f>
        <v>2352.5354761904764</v>
      </c>
      <c r="K253" s="76">
        <f t="shared" si="51"/>
        <v>-6.4999999999999991</v>
      </c>
      <c r="L253" s="41">
        <f>'B) D RI'!S254</f>
        <v>84</v>
      </c>
      <c r="M253" s="41">
        <f t="shared" si="46"/>
        <v>90.5</v>
      </c>
      <c r="N253" s="142">
        <f>'J) Plafonnement effort'!G252+'J) Plafonnement effort'!H252-'K) Plafonnement aide'!I252</f>
        <v>-26.363222924635537</v>
      </c>
      <c r="O253" s="142">
        <f t="shared" si="47"/>
        <v>64.136777075364463</v>
      </c>
      <c r="P253" s="55">
        <f t="shared" si="48"/>
        <v>0</v>
      </c>
      <c r="Q253" s="66">
        <f t="shared" si="52"/>
        <v>0</v>
      </c>
      <c r="R253" s="164">
        <f t="shared" si="49"/>
        <v>64.136777075364463</v>
      </c>
      <c r="S253" s="142">
        <f t="shared" si="50"/>
        <v>-19.863222924635537</v>
      </c>
      <c r="T253" s="163"/>
      <c r="V253" s="17"/>
    </row>
    <row r="254" spans="1:22" x14ac:dyDescent="0.25">
      <c r="A254" s="57">
        <f>'A) Base RI'!A255</f>
        <v>5830</v>
      </c>
      <c r="B254" s="64" t="str">
        <f>'A) Base RI'!B255</f>
        <v>Villarzel</v>
      </c>
      <c r="C254" s="172">
        <v>174653.18413551888</v>
      </c>
      <c r="D254" s="173">
        <v>-50854.833289102797</v>
      </c>
      <c r="E254" s="174">
        <v>0</v>
      </c>
      <c r="F254" s="173">
        <v>0</v>
      </c>
      <c r="G254" s="173">
        <v>0</v>
      </c>
      <c r="H254" s="175">
        <f t="shared" si="38"/>
        <v>123798.35084641608</v>
      </c>
      <c r="I254" s="233">
        <v>10236.981518987341</v>
      </c>
      <c r="J254" s="109">
        <f>'B) D RI'!U255</f>
        <v>9737.3892405063307</v>
      </c>
      <c r="K254" s="76">
        <f t="shared" si="51"/>
        <v>12.093247469168277</v>
      </c>
      <c r="L254" s="41">
        <f>'B) D RI'!S255</f>
        <v>79</v>
      </c>
      <c r="M254" s="41">
        <f t="shared" si="46"/>
        <v>66.906752530831724</v>
      </c>
      <c r="N254" s="142">
        <f>'J) Plafonnement effort'!G253+'J) Plafonnement effort'!H253-'K) Plafonnement aide'!I253</f>
        <v>-1.963498561567512</v>
      </c>
      <c r="O254" s="142">
        <f t="shared" si="47"/>
        <v>64.943253969264219</v>
      </c>
      <c r="P254" s="55">
        <f t="shared" si="48"/>
        <v>0</v>
      </c>
      <c r="Q254" s="66">
        <f t="shared" si="52"/>
        <v>0</v>
      </c>
      <c r="R254" s="164">
        <f t="shared" si="49"/>
        <v>64.943253969264219</v>
      </c>
      <c r="S254" s="142">
        <f t="shared" si="50"/>
        <v>-14.056746030735781</v>
      </c>
      <c r="T254" s="163"/>
      <c r="V254" s="17"/>
    </row>
    <row r="255" spans="1:22" x14ac:dyDescent="0.25">
      <c r="A255" s="57">
        <f>'A) Base RI'!A256</f>
        <v>5831</v>
      </c>
      <c r="B255" s="64" t="str">
        <f>'A) Base RI'!B256</f>
        <v>Valbroye</v>
      </c>
      <c r="C255" s="172">
        <v>1320926.2060486958</v>
      </c>
      <c r="D255" s="173">
        <v>-439505.96900167293</v>
      </c>
      <c r="E255" s="174">
        <v>0</v>
      </c>
      <c r="F255" s="173">
        <v>0</v>
      </c>
      <c r="G255" s="173">
        <v>0</v>
      </c>
      <c r="H255" s="175">
        <f t="shared" ref="H255:H314" si="54">SUM(C255:G255)</f>
        <v>881420.23704702291</v>
      </c>
      <c r="I255" s="233">
        <v>78037.716438356161</v>
      </c>
      <c r="J255" s="109">
        <f>'B) D RI'!U256</f>
        <v>75142.69210045661</v>
      </c>
      <c r="K255" s="76">
        <f>H255/I255</f>
        <v>11.2947979166366</v>
      </c>
      <c r="L255" s="41">
        <f>'B) D RI'!S256</f>
        <v>73</v>
      </c>
      <c r="M255" s="41">
        <f>L255-K255</f>
        <v>61.705202083363403</v>
      </c>
      <c r="N255" s="142">
        <f>'J) Plafonnement effort'!G254+'J) Plafonnement effort'!H254-'K) Plafonnement aide'!I254</f>
        <v>-1.4589214864667763</v>
      </c>
      <c r="O255" s="142">
        <f>M255+N255</f>
        <v>60.246280596896625</v>
      </c>
      <c r="P255" s="55">
        <f t="shared" si="48"/>
        <v>0</v>
      </c>
      <c r="Q255" s="66">
        <f>P255*J255</f>
        <v>0</v>
      </c>
      <c r="R255" s="164">
        <f>O255+P255</f>
        <v>60.246280596896625</v>
      </c>
      <c r="S255" s="142">
        <f>R255-L255</f>
        <v>-12.753719403103375</v>
      </c>
      <c r="T255" s="163"/>
      <c r="V255" s="17"/>
    </row>
    <row r="256" spans="1:22" x14ac:dyDescent="0.25">
      <c r="A256" s="57">
        <f>'A) Base RI'!A257</f>
        <v>5841</v>
      </c>
      <c r="B256" s="64" t="str">
        <f>'A) Base RI'!B257</f>
        <v>Château-d'Oex</v>
      </c>
      <c r="C256" s="172">
        <v>2264776.8234358197</v>
      </c>
      <c r="D256" s="173">
        <v>-166033.80825329921</v>
      </c>
      <c r="E256" s="174">
        <v>0</v>
      </c>
      <c r="F256" s="173">
        <v>0</v>
      </c>
      <c r="G256" s="173">
        <v>0</v>
      </c>
      <c r="H256" s="175">
        <f t="shared" si="54"/>
        <v>2098743.0151825203</v>
      </c>
      <c r="I256" s="233">
        <v>107525.73574297188</v>
      </c>
      <c r="J256" s="109">
        <f>'B) D RI'!U257</f>
        <v>106457.35927710844</v>
      </c>
      <c r="K256" s="76">
        <f>H256/I256</f>
        <v>19.518518061567402</v>
      </c>
      <c r="L256" s="41">
        <f>'B) D RI'!S257</f>
        <v>83</v>
      </c>
      <c r="M256" s="41">
        <f>L256-K256</f>
        <v>63.481481938432594</v>
      </c>
      <c r="N256" s="142">
        <f>'J) Plafonnement effort'!G255+'J) Plafonnement effort'!H255-'K) Plafonnement aide'!I255</f>
        <v>-1.6514077904298645</v>
      </c>
      <c r="O256" s="142">
        <f>M256+N256</f>
        <v>61.83007414800273</v>
      </c>
      <c r="P256" s="55">
        <f t="shared" si="48"/>
        <v>0</v>
      </c>
      <c r="Q256" s="66">
        <f>P256*J256</f>
        <v>0</v>
      </c>
      <c r="R256" s="164">
        <f>O256+P256</f>
        <v>61.83007414800273</v>
      </c>
      <c r="S256" s="142">
        <f>R256-L256</f>
        <v>-21.16992585199727</v>
      </c>
      <c r="T256" s="163"/>
      <c r="V256" s="17"/>
    </row>
    <row r="257" spans="1:22" x14ac:dyDescent="0.25">
      <c r="A257" s="57">
        <f>'A) Base RI'!A258</f>
        <v>5842</v>
      </c>
      <c r="B257" s="64" t="str">
        <f>'A) Base RI'!B258</f>
        <v>Rossinière</v>
      </c>
      <c r="C257" s="172">
        <v>290042.11110291479</v>
      </c>
      <c r="D257" s="173">
        <v>33721.194205103908</v>
      </c>
      <c r="E257" s="174">
        <v>0</v>
      </c>
      <c r="F257" s="173">
        <v>0</v>
      </c>
      <c r="G257" s="173">
        <v>0</v>
      </c>
      <c r="H257" s="175">
        <f t="shared" si="54"/>
        <v>323763.30530801869</v>
      </c>
      <c r="I257" s="233">
        <v>16554.125349794238</v>
      </c>
      <c r="J257" s="109">
        <f>'B) D RI'!U258</f>
        <v>13519.399629629628</v>
      </c>
      <c r="K257" s="76">
        <f t="shared" si="51"/>
        <v>19.557862373685779</v>
      </c>
      <c r="L257" s="41">
        <f>'B) D RI'!S258</f>
        <v>81</v>
      </c>
      <c r="M257" s="41">
        <f t="shared" si="46"/>
        <v>61.442137626314221</v>
      </c>
      <c r="N257" s="142">
        <f>'J) Plafonnement effort'!G256+'J) Plafonnement effort'!H256-'K) Plafonnement aide'!I256</f>
        <v>1.1825274806260033</v>
      </c>
      <c r="O257" s="142">
        <f t="shared" si="47"/>
        <v>62.624665106940228</v>
      </c>
      <c r="P257" s="55">
        <f t="shared" si="48"/>
        <v>0</v>
      </c>
      <c r="Q257" s="66">
        <f t="shared" si="52"/>
        <v>0</v>
      </c>
      <c r="R257" s="164">
        <f t="shared" si="49"/>
        <v>62.624665106940228</v>
      </c>
      <c r="S257" s="142">
        <f t="shared" si="50"/>
        <v>-18.375334893059772</v>
      </c>
      <c r="T257" s="163"/>
      <c r="V257" s="17"/>
    </row>
    <row r="258" spans="1:22" x14ac:dyDescent="0.25">
      <c r="A258" s="57">
        <f>'A) Base RI'!A259</f>
        <v>5843</v>
      </c>
      <c r="B258" s="64" t="str">
        <f>'A) Base RI'!B259</f>
        <v>Rougemont</v>
      </c>
      <c r="C258" s="172">
        <v>3695996.2193898303</v>
      </c>
      <c r="D258" s="173">
        <v>1382144.6757385866</v>
      </c>
      <c r="E258" s="174">
        <v>0</v>
      </c>
      <c r="F258" s="173">
        <v>0</v>
      </c>
      <c r="G258" s="173">
        <v>0</v>
      </c>
      <c r="H258" s="175">
        <f t="shared" si="54"/>
        <v>5078140.8951284168</v>
      </c>
      <c r="I258" s="233">
        <v>92297.453816425128</v>
      </c>
      <c r="J258" s="109">
        <f>'B) D RI'!U259</f>
        <v>88213.430628019312</v>
      </c>
      <c r="K258" s="76">
        <f t="shared" si="51"/>
        <v>55.019295605148294</v>
      </c>
      <c r="L258" s="41">
        <f>'B) D RI'!S259</f>
        <v>69</v>
      </c>
      <c r="M258" s="41">
        <f t="shared" si="46"/>
        <v>13.980704394851706</v>
      </c>
      <c r="N258" s="142">
        <f>'J) Plafonnement effort'!G257+'J) Plafonnement effort'!H257-'K) Plafonnement aide'!I257</f>
        <v>41.263541951525085</v>
      </c>
      <c r="O258" s="142">
        <f t="shared" si="47"/>
        <v>55.244246346376791</v>
      </c>
      <c r="P258" s="55">
        <f t="shared" si="48"/>
        <v>0</v>
      </c>
      <c r="Q258" s="66">
        <f t="shared" si="52"/>
        <v>0</v>
      </c>
      <c r="R258" s="164">
        <f t="shared" si="49"/>
        <v>55.244246346376791</v>
      </c>
      <c r="S258" s="142">
        <f t="shared" si="50"/>
        <v>-13.755753653623209</v>
      </c>
      <c r="T258" s="163"/>
      <c r="V258" s="17"/>
    </row>
    <row r="259" spans="1:22" x14ac:dyDescent="0.25">
      <c r="A259" s="57">
        <f>'A) Base RI'!A260</f>
        <v>5851</v>
      </c>
      <c r="B259" s="64" t="str">
        <f>'A) Base RI'!B260</f>
        <v>Allaman</v>
      </c>
      <c r="C259" s="172">
        <v>259486.8399465734</v>
      </c>
      <c r="D259" s="173">
        <v>428939.32093269844</v>
      </c>
      <c r="E259" s="174">
        <v>0</v>
      </c>
      <c r="F259" s="173">
        <v>0</v>
      </c>
      <c r="G259" s="173">
        <v>0</v>
      </c>
      <c r="H259" s="175">
        <f t="shared" si="54"/>
        <v>688426.1608792718</v>
      </c>
      <c r="I259" s="233">
        <v>26311.895293255133</v>
      </c>
      <c r="J259" s="109">
        <f>'B) D RI'!U260</f>
        <v>26900.629237536661</v>
      </c>
      <c r="K259" s="76">
        <f t="shared" si="51"/>
        <v>26.164065841951906</v>
      </c>
      <c r="L259" s="41">
        <f>'B) D RI'!S260</f>
        <v>62</v>
      </c>
      <c r="M259" s="41">
        <f t="shared" si="46"/>
        <v>35.83593415804809</v>
      </c>
      <c r="N259" s="142">
        <f>'J) Plafonnement effort'!G258+'J) Plafonnement effort'!H258-'K) Plafonnement aide'!I258</f>
        <v>45</v>
      </c>
      <c r="O259" s="142">
        <f t="shared" si="47"/>
        <v>80.83593415804809</v>
      </c>
      <c r="P259" s="55">
        <f t="shared" si="48"/>
        <v>0</v>
      </c>
      <c r="Q259" s="66">
        <f t="shared" si="52"/>
        <v>0</v>
      </c>
      <c r="R259" s="164">
        <f t="shared" si="49"/>
        <v>80.83593415804809</v>
      </c>
      <c r="S259" s="142">
        <f t="shared" si="50"/>
        <v>18.83593415804809</v>
      </c>
      <c r="T259" s="163"/>
      <c r="V259" s="17"/>
    </row>
    <row r="260" spans="1:22" x14ac:dyDescent="0.25">
      <c r="A260" s="57">
        <f>'A) Base RI'!A261</f>
        <v>5852</v>
      </c>
      <c r="B260" s="64" t="str">
        <f>'A) Base RI'!B261</f>
        <v>Bursinel</v>
      </c>
      <c r="C260" s="172">
        <v>719615.0239188245</v>
      </c>
      <c r="D260" s="173">
        <v>516303.00823804812</v>
      </c>
      <c r="E260" s="174">
        <v>0</v>
      </c>
      <c r="F260" s="173">
        <v>0</v>
      </c>
      <c r="G260" s="173">
        <v>0</v>
      </c>
      <c r="H260" s="175">
        <f t="shared" si="54"/>
        <v>1235918.0321568726</v>
      </c>
      <c r="I260" s="233">
        <v>31632.546141732284</v>
      </c>
      <c r="J260" s="109">
        <f>'B) D RI'!U261</f>
        <v>29922.291297709922</v>
      </c>
      <c r="K260" s="76">
        <f t="shared" si="51"/>
        <v>39.07108920727525</v>
      </c>
      <c r="L260" s="41">
        <f>'B) D RI'!S261</f>
        <v>65.5</v>
      </c>
      <c r="M260" s="41">
        <f t="shared" si="46"/>
        <v>26.42891079272475</v>
      </c>
      <c r="N260" s="142">
        <f>'J) Plafonnement effort'!G259+'J) Plafonnement effort'!H259-'K) Plafonnement aide'!I259</f>
        <v>33.348589835072289</v>
      </c>
      <c r="O260" s="142">
        <f t="shared" si="47"/>
        <v>59.777500627797039</v>
      </c>
      <c r="P260" s="55">
        <f t="shared" si="48"/>
        <v>0</v>
      </c>
      <c r="Q260" s="66">
        <f t="shared" si="52"/>
        <v>0</v>
      </c>
      <c r="R260" s="164">
        <f t="shared" si="49"/>
        <v>59.777500627797039</v>
      </c>
      <c r="S260" s="142">
        <f t="shared" si="50"/>
        <v>-5.7224993722029609</v>
      </c>
      <c r="T260" s="163"/>
      <c r="V260" s="17"/>
    </row>
    <row r="261" spans="1:22" x14ac:dyDescent="0.25">
      <c r="A261" s="57">
        <f>'A) Base RI'!A262</f>
        <v>5853</v>
      </c>
      <c r="B261" s="64" t="str">
        <f>'A) Base RI'!B262</f>
        <v>Bursins</v>
      </c>
      <c r="C261" s="172">
        <v>725937.544674312</v>
      </c>
      <c r="D261" s="173">
        <v>613536.30741378409</v>
      </c>
      <c r="E261" s="174">
        <v>0</v>
      </c>
      <c r="F261" s="173">
        <v>0</v>
      </c>
      <c r="G261" s="173">
        <v>0</v>
      </c>
      <c r="H261" s="175">
        <f t="shared" si="54"/>
        <v>1339473.8520880961</v>
      </c>
      <c r="I261" s="233">
        <v>37118.734366197183</v>
      </c>
      <c r="J261" s="109">
        <f>'B) D RI'!U262</f>
        <v>40543.223380281692</v>
      </c>
      <c r="K261" s="76">
        <f t="shared" si="51"/>
        <v>36.086194073144668</v>
      </c>
      <c r="L261" s="41">
        <f>'B) D RI'!S262</f>
        <v>71</v>
      </c>
      <c r="M261" s="41">
        <f t="shared" si="46"/>
        <v>34.913805926855332</v>
      </c>
      <c r="N261" s="142">
        <f>'J) Plafonnement effort'!G260+'J) Plafonnement effort'!H260-'K) Plafonnement aide'!I260</f>
        <v>35.934418750908812</v>
      </c>
      <c r="O261" s="142">
        <f t="shared" si="47"/>
        <v>70.848224677764136</v>
      </c>
      <c r="P261" s="55">
        <f t="shared" si="48"/>
        <v>0</v>
      </c>
      <c r="Q261" s="66">
        <f t="shared" si="52"/>
        <v>0</v>
      </c>
      <c r="R261" s="164">
        <f t="shared" si="49"/>
        <v>70.848224677764136</v>
      </c>
      <c r="S261" s="142">
        <f t="shared" si="50"/>
        <v>-0.15177532223586354</v>
      </c>
      <c r="T261" s="163"/>
      <c r="V261" s="17"/>
    </row>
    <row r="262" spans="1:22" x14ac:dyDescent="0.25">
      <c r="A262" s="57">
        <f>'A) Base RI'!A263</f>
        <v>5854</v>
      </c>
      <c r="B262" s="64" t="str">
        <f>'A) Base RI'!B263</f>
        <v>Burtigny</v>
      </c>
      <c r="C262" s="172">
        <v>170139.90895594915</v>
      </c>
      <c r="D262" s="173">
        <v>21294.706686377031</v>
      </c>
      <c r="E262" s="174">
        <v>0</v>
      </c>
      <c r="F262" s="173">
        <v>0</v>
      </c>
      <c r="G262" s="173">
        <v>0</v>
      </c>
      <c r="H262" s="175">
        <f t="shared" si="54"/>
        <v>191434.61564232619</v>
      </c>
      <c r="I262" s="233">
        <v>10244.164041666669</v>
      </c>
      <c r="J262" s="109">
        <f>'B) D RI'!U263</f>
        <v>10577.787833333332</v>
      </c>
      <c r="K262" s="76">
        <f t="shared" si="51"/>
        <v>18.687187638121895</v>
      </c>
      <c r="L262" s="41">
        <f>'B) D RI'!S263</f>
        <v>80</v>
      </c>
      <c r="M262" s="41">
        <f t="shared" ref="M262:M291" si="55">L262-K262</f>
        <v>61.312812361878102</v>
      </c>
      <c r="N262" s="142">
        <f>'J) Plafonnement effort'!G261+'J) Plafonnement effort'!H261-'K) Plafonnement aide'!I261</f>
        <v>16.677264921400578</v>
      </c>
      <c r="O262" s="142">
        <f t="shared" ref="O262:O314" si="56">M262+N262</f>
        <v>77.99007728327868</v>
      </c>
      <c r="P262" s="55">
        <f t="shared" ref="P262:P314" si="57">IF(O262&gt;$P$5,$P$5-O262,0)</f>
        <v>0</v>
      </c>
      <c r="Q262" s="66">
        <f t="shared" si="52"/>
        <v>0</v>
      </c>
      <c r="R262" s="164">
        <f t="shared" ref="R262:R314" si="58">O262+P262</f>
        <v>77.99007728327868</v>
      </c>
      <c r="S262" s="142">
        <f t="shared" ref="S262:S314" si="59">R262-L262</f>
        <v>-2.0099227167213201</v>
      </c>
      <c r="T262" s="163"/>
      <c r="V262" s="17"/>
    </row>
    <row r="263" spans="1:22" x14ac:dyDescent="0.25">
      <c r="A263" s="57">
        <f>'A) Base RI'!A264</f>
        <v>5855</v>
      </c>
      <c r="B263" s="64" t="str">
        <f>'A) Base RI'!B264</f>
        <v>Dully</v>
      </c>
      <c r="C263" s="172">
        <v>2016908.7754379725</v>
      </c>
      <c r="D263" s="173">
        <v>982683.29557653971</v>
      </c>
      <c r="E263" s="174">
        <v>0</v>
      </c>
      <c r="F263" s="173">
        <v>0</v>
      </c>
      <c r="G263" s="173">
        <v>0</v>
      </c>
      <c r="H263" s="175">
        <f t="shared" si="54"/>
        <v>2999592.0710145123</v>
      </c>
      <c r="I263" s="233">
        <v>65353.176326530607</v>
      </c>
      <c r="J263" s="109">
        <f>'B) D RI'!U264</f>
        <v>79387.772653061227</v>
      </c>
      <c r="K263" s="76">
        <f t="shared" si="51"/>
        <v>45.898183372562499</v>
      </c>
      <c r="L263" s="41">
        <f>'B) D RI'!S264</f>
        <v>49</v>
      </c>
      <c r="M263" s="41">
        <f t="shared" si="55"/>
        <v>3.1018166274375005</v>
      </c>
      <c r="N263" s="142">
        <f>'J) Plafonnement effort'!G262+'J) Plafonnement effort'!H262-'K) Plafonnement aide'!I262</f>
        <v>45</v>
      </c>
      <c r="O263" s="142">
        <f t="shared" si="56"/>
        <v>48.101816627437501</v>
      </c>
      <c r="P263" s="55">
        <f t="shared" si="57"/>
        <v>0</v>
      </c>
      <c r="Q263" s="66">
        <f t="shared" si="52"/>
        <v>0</v>
      </c>
      <c r="R263" s="164">
        <f t="shared" si="58"/>
        <v>48.101816627437501</v>
      </c>
      <c r="S263" s="142">
        <f t="shared" si="59"/>
        <v>-0.89818337256249947</v>
      </c>
      <c r="T263" s="163"/>
      <c r="V263" s="17"/>
    </row>
    <row r="264" spans="1:22" x14ac:dyDescent="0.25">
      <c r="A264" s="57">
        <f>'A) Base RI'!A265</f>
        <v>5856</v>
      </c>
      <c r="B264" s="64" t="str">
        <f>'A) Base RI'!B265</f>
        <v>Essertines-sur-Rolle</v>
      </c>
      <c r="C264" s="172">
        <v>465521.53463067469</v>
      </c>
      <c r="D264" s="173">
        <v>426829.56054405577</v>
      </c>
      <c r="E264" s="174">
        <v>0</v>
      </c>
      <c r="F264" s="173">
        <v>0</v>
      </c>
      <c r="G264" s="173">
        <v>0</v>
      </c>
      <c r="H264" s="175">
        <f t="shared" si="54"/>
        <v>892351.09517473052</v>
      </c>
      <c r="I264" s="233">
        <v>28766.256402714938</v>
      </c>
      <c r="J264" s="109">
        <f>'B) D RI'!U265</f>
        <v>31862.802285067875</v>
      </c>
      <c r="K264" s="76">
        <f t="shared" si="51"/>
        <v>31.020758581937379</v>
      </c>
      <c r="L264" s="41">
        <f>'B) D RI'!S265</f>
        <v>68</v>
      </c>
      <c r="M264" s="41">
        <f t="shared" si="55"/>
        <v>36.979241418062621</v>
      </c>
      <c r="N264" s="142">
        <f>'J) Plafonnement effort'!G263+'J) Plafonnement effort'!H263-'K) Plafonnement aide'!I263</f>
        <v>33.575479976816212</v>
      </c>
      <c r="O264" s="142">
        <f t="shared" si="56"/>
        <v>70.55472139487884</v>
      </c>
      <c r="P264" s="55">
        <f t="shared" si="57"/>
        <v>0</v>
      </c>
      <c r="Q264" s="66">
        <f t="shared" si="52"/>
        <v>0</v>
      </c>
      <c r="R264" s="164">
        <f t="shared" si="58"/>
        <v>70.55472139487884</v>
      </c>
      <c r="S264" s="142">
        <f t="shared" si="59"/>
        <v>2.5547213948788396</v>
      </c>
      <c r="T264" s="163"/>
      <c r="V264" s="17"/>
    </row>
    <row r="265" spans="1:22" x14ac:dyDescent="0.25">
      <c r="A265" s="57">
        <f>'A) Base RI'!A266</f>
        <v>5857</v>
      </c>
      <c r="B265" s="64" t="str">
        <f>'A) Base RI'!B266</f>
        <v>Gilly</v>
      </c>
      <c r="C265" s="172">
        <v>1215268.5056396956</v>
      </c>
      <c r="D265" s="173">
        <v>890869.37230024731</v>
      </c>
      <c r="E265" s="174">
        <v>0</v>
      </c>
      <c r="F265" s="173">
        <v>0</v>
      </c>
      <c r="G265" s="173">
        <v>0</v>
      </c>
      <c r="H265" s="175">
        <f t="shared" si="54"/>
        <v>2106137.8779399428</v>
      </c>
      <c r="I265" s="233">
        <v>55694.918787878785</v>
      </c>
      <c r="J265" s="109">
        <f>'B) D RI'!U266</f>
        <v>62540.44560606061</v>
      </c>
      <c r="K265" s="76">
        <f t="shared" si="51"/>
        <v>37.815619876589423</v>
      </c>
      <c r="L265" s="41">
        <f>'B) D RI'!S266</f>
        <v>66</v>
      </c>
      <c r="M265" s="41">
        <f t="shared" si="55"/>
        <v>28.184380123410577</v>
      </c>
      <c r="N265" s="142">
        <f>'J) Plafonnement effort'!G264+'J) Plafonnement effort'!H264-'K) Plafonnement aide'!I264</f>
        <v>39.307714415003225</v>
      </c>
      <c r="O265" s="142">
        <f t="shared" si="56"/>
        <v>67.492094538413795</v>
      </c>
      <c r="P265" s="55">
        <f t="shared" si="57"/>
        <v>0</v>
      </c>
      <c r="Q265" s="66">
        <f t="shared" si="52"/>
        <v>0</v>
      </c>
      <c r="R265" s="164">
        <f t="shared" si="58"/>
        <v>67.492094538413795</v>
      </c>
      <c r="S265" s="142">
        <f t="shared" si="59"/>
        <v>1.4920945384137951</v>
      </c>
      <c r="T265" s="163"/>
      <c r="V265" s="17"/>
    </row>
    <row r="266" spans="1:22" x14ac:dyDescent="0.25">
      <c r="A266" s="57">
        <f>'A) Base RI'!A267</f>
        <v>5858</v>
      </c>
      <c r="B266" s="64" t="str">
        <f>'A) Base RI'!B267</f>
        <v>Luins</v>
      </c>
      <c r="C266" s="172">
        <v>551402.88407283893</v>
      </c>
      <c r="D266" s="173">
        <v>561789.65265463036</v>
      </c>
      <c r="E266" s="174">
        <v>0</v>
      </c>
      <c r="F266" s="173">
        <v>0</v>
      </c>
      <c r="G266" s="173">
        <v>0</v>
      </c>
      <c r="H266" s="175">
        <f t="shared" si="54"/>
        <v>1113192.5367274694</v>
      </c>
      <c r="I266" s="233">
        <v>33594.571611111111</v>
      </c>
      <c r="J266" s="109">
        <f>'B) D RI'!U267</f>
        <v>35045.301944444444</v>
      </c>
      <c r="K266" s="76">
        <f t="shared" ref="K266:K314" si="60">H266/I266</f>
        <v>33.136083698691685</v>
      </c>
      <c r="L266" s="41">
        <f>'B) D RI'!S267</f>
        <v>60</v>
      </c>
      <c r="M266" s="41">
        <f t="shared" si="55"/>
        <v>26.863916301308315</v>
      </c>
      <c r="N266" s="142">
        <f>'J) Plafonnement effort'!G265+'J) Plafonnement effort'!H265-'K) Plafonnement aide'!I265</f>
        <v>32.233512752801623</v>
      </c>
      <c r="O266" s="142">
        <f t="shared" si="56"/>
        <v>59.097429054109938</v>
      </c>
      <c r="P266" s="55">
        <f t="shared" si="57"/>
        <v>0</v>
      </c>
      <c r="Q266" s="66">
        <f t="shared" si="52"/>
        <v>0</v>
      </c>
      <c r="R266" s="164">
        <f t="shared" si="58"/>
        <v>59.097429054109938</v>
      </c>
      <c r="S266" s="142">
        <f t="shared" si="59"/>
        <v>-0.90257094589006215</v>
      </c>
      <c r="T266" s="163"/>
      <c r="V266" s="17"/>
    </row>
    <row r="267" spans="1:22" x14ac:dyDescent="0.25">
      <c r="A267" s="57">
        <f>'A) Base RI'!A268</f>
        <v>5859</v>
      </c>
      <c r="B267" s="64" t="str">
        <f>'A) Base RI'!B268</f>
        <v>Mont-sur-Rolle</v>
      </c>
      <c r="C267" s="172">
        <v>2695754.6348074907</v>
      </c>
      <c r="D267" s="173">
        <v>2065899.1819168939</v>
      </c>
      <c r="E267" s="174">
        <v>0</v>
      </c>
      <c r="F267" s="173">
        <v>0</v>
      </c>
      <c r="G267" s="173">
        <v>0</v>
      </c>
      <c r="H267" s="175">
        <f t="shared" si="54"/>
        <v>4761653.8167243842</v>
      </c>
      <c r="I267" s="233">
        <v>147627.58999999997</v>
      </c>
      <c r="J267" s="109">
        <f>'B) D RI'!U268</f>
        <v>130430.38093750003</v>
      </c>
      <c r="K267" s="76">
        <f t="shared" si="60"/>
        <v>32.25449806993656</v>
      </c>
      <c r="L267" s="41">
        <f>'B) D RI'!S268</f>
        <v>64</v>
      </c>
      <c r="M267" s="41">
        <f t="shared" si="55"/>
        <v>31.74550193006344</v>
      </c>
      <c r="N267" s="142">
        <f>'J) Plafonnement effort'!G266+'J) Plafonnement effort'!H266-'K) Plafonnement aide'!I266</f>
        <v>31.466281947469767</v>
      </c>
      <c r="O267" s="142">
        <f t="shared" si="56"/>
        <v>63.211783877533207</v>
      </c>
      <c r="P267" s="55">
        <f t="shared" si="57"/>
        <v>0</v>
      </c>
      <c r="Q267" s="66">
        <f t="shared" ref="Q267:Q314" si="61">P267*J267</f>
        <v>0</v>
      </c>
      <c r="R267" s="164">
        <f t="shared" si="58"/>
        <v>63.211783877533207</v>
      </c>
      <c r="S267" s="142">
        <f t="shared" si="59"/>
        <v>-0.78821612246679251</v>
      </c>
      <c r="T267" s="163"/>
      <c r="V267" s="17"/>
    </row>
    <row r="268" spans="1:22" x14ac:dyDescent="0.25">
      <c r="A268" s="57">
        <f>'A) Base RI'!A269</f>
        <v>5860</v>
      </c>
      <c r="B268" s="64" t="str">
        <f>'A) Base RI'!B269</f>
        <v>Perroy</v>
      </c>
      <c r="C268" s="172">
        <v>1900239.5185544812</v>
      </c>
      <c r="D268" s="173">
        <v>1343866.657784583</v>
      </c>
      <c r="E268" s="174">
        <v>0</v>
      </c>
      <c r="F268" s="173">
        <v>0</v>
      </c>
      <c r="G268" s="173">
        <v>0</v>
      </c>
      <c r="H268" s="175">
        <f t="shared" si="54"/>
        <v>3244106.1763390643</v>
      </c>
      <c r="I268" s="233">
        <v>88241.731705128201</v>
      </c>
      <c r="J268" s="109">
        <f>'B) D RI'!U269</f>
        <v>92749.778038461533</v>
      </c>
      <c r="K268" s="76">
        <f t="shared" si="60"/>
        <v>36.763854399182556</v>
      </c>
      <c r="L268" s="41">
        <f>'B) D RI'!S269</f>
        <v>60</v>
      </c>
      <c r="M268" s="41">
        <f t="shared" si="55"/>
        <v>23.236145600817444</v>
      </c>
      <c r="N268" s="142">
        <f>'J) Plafonnement effort'!G267+'J) Plafonnement effort'!H267-'K) Plafonnement aide'!I267</f>
        <v>35.790145090681783</v>
      </c>
      <c r="O268" s="142">
        <f t="shared" si="56"/>
        <v>59.026290691499227</v>
      </c>
      <c r="P268" s="55">
        <f t="shared" si="57"/>
        <v>0</v>
      </c>
      <c r="Q268" s="66">
        <f t="shared" si="61"/>
        <v>0</v>
      </c>
      <c r="R268" s="164">
        <f t="shared" si="58"/>
        <v>59.026290691499227</v>
      </c>
      <c r="S268" s="142">
        <f t="shared" si="59"/>
        <v>-0.97370930850077286</v>
      </c>
      <c r="T268" s="163"/>
      <c r="V268" s="17"/>
    </row>
    <row r="269" spans="1:22" x14ac:dyDescent="0.25">
      <c r="A269" s="57">
        <f>'A) Base RI'!A270</f>
        <v>5861</v>
      </c>
      <c r="B269" s="64" t="str">
        <f>'A) Base RI'!B270</f>
        <v>Rolle</v>
      </c>
      <c r="C269" s="172">
        <v>14422371.823142283</v>
      </c>
      <c r="D269" s="173">
        <v>6683905.4999477826</v>
      </c>
      <c r="E269" s="174">
        <v>0</v>
      </c>
      <c r="F269" s="173">
        <v>0</v>
      </c>
      <c r="G269" s="173">
        <v>0</v>
      </c>
      <c r="H269" s="175">
        <f t="shared" si="54"/>
        <v>21106277.323090065</v>
      </c>
      <c r="I269" s="233">
        <v>549155.69747899158</v>
      </c>
      <c r="J269" s="109">
        <f>'B) D RI'!U270</f>
        <v>834788.40991596645</v>
      </c>
      <c r="K269" s="76">
        <f t="shared" si="60"/>
        <v>38.434049614676908</v>
      </c>
      <c r="L269" s="41">
        <f>'B) D RI'!S270</f>
        <v>59.5</v>
      </c>
      <c r="M269" s="41">
        <f t="shared" si="55"/>
        <v>21.065950385323092</v>
      </c>
      <c r="N269" s="142">
        <f>'J) Plafonnement effort'!G268+'J) Plafonnement effort'!H268-'K) Plafonnement aide'!I268</f>
        <v>44.58360521431635</v>
      </c>
      <c r="O269" s="142">
        <f t="shared" si="56"/>
        <v>65.649555599639442</v>
      </c>
      <c r="P269" s="55">
        <f t="shared" si="57"/>
        <v>0</v>
      </c>
      <c r="Q269" s="66">
        <f t="shared" si="61"/>
        <v>0</v>
      </c>
      <c r="R269" s="164">
        <f t="shared" si="58"/>
        <v>65.649555599639442</v>
      </c>
      <c r="S269" s="142">
        <f t="shared" si="59"/>
        <v>6.1495555996394415</v>
      </c>
      <c r="T269" s="163"/>
      <c r="V269" s="17"/>
    </row>
    <row r="270" spans="1:22" x14ac:dyDescent="0.25">
      <c r="A270" s="57">
        <f>'A) Base RI'!A271</f>
        <v>5862</v>
      </c>
      <c r="B270" s="64" t="str">
        <f>'A) Base RI'!B271</f>
        <v>Tartegnin</v>
      </c>
      <c r="C270" s="172">
        <v>169809.61784825468</v>
      </c>
      <c r="D270" s="173">
        <v>158723.671672747</v>
      </c>
      <c r="E270" s="174">
        <v>0</v>
      </c>
      <c r="F270" s="173">
        <v>0</v>
      </c>
      <c r="G270" s="173">
        <v>0</v>
      </c>
      <c r="H270" s="175">
        <f t="shared" si="54"/>
        <v>328533.28952100169</v>
      </c>
      <c r="I270" s="233">
        <v>9990.8663492063497</v>
      </c>
      <c r="J270" s="109">
        <f>'B) D RI'!U271</f>
        <v>8301.4215873015874</v>
      </c>
      <c r="K270" s="76">
        <f t="shared" si="60"/>
        <v>32.883363467983891</v>
      </c>
      <c r="L270" s="41">
        <f>'B) D RI'!S271</f>
        <v>84</v>
      </c>
      <c r="M270" s="41">
        <f t="shared" si="55"/>
        <v>51.116636532016109</v>
      </c>
      <c r="N270" s="142">
        <f>'J) Plafonnement effort'!G269+'J) Plafonnement effort'!H269-'K) Plafonnement aide'!I269</f>
        <v>26.324543527531787</v>
      </c>
      <c r="O270" s="142">
        <f t="shared" si="56"/>
        <v>77.441180059547889</v>
      </c>
      <c r="P270" s="55">
        <f t="shared" si="57"/>
        <v>0</v>
      </c>
      <c r="Q270" s="66">
        <f t="shared" si="61"/>
        <v>0</v>
      </c>
      <c r="R270" s="164">
        <f t="shared" si="58"/>
        <v>77.441180059547889</v>
      </c>
      <c r="S270" s="142">
        <f t="shared" si="59"/>
        <v>-6.5588199404521106</v>
      </c>
      <c r="T270" s="163"/>
      <c r="V270" s="17"/>
    </row>
    <row r="271" spans="1:22" x14ac:dyDescent="0.25">
      <c r="A271" s="57">
        <f>'A) Base RI'!A272</f>
        <v>5863</v>
      </c>
      <c r="B271" s="64" t="str">
        <f>'A) Base RI'!B272</f>
        <v>Vinzel</v>
      </c>
      <c r="C271" s="172">
        <v>579822.98056570045</v>
      </c>
      <c r="D271" s="173">
        <v>411325.33411595691</v>
      </c>
      <c r="E271" s="174">
        <v>0</v>
      </c>
      <c r="F271" s="173">
        <v>0</v>
      </c>
      <c r="G271" s="173">
        <v>0</v>
      </c>
      <c r="H271" s="175">
        <f t="shared" si="54"/>
        <v>991148.31468165736</v>
      </c>
      <c r="I271" s="233">
        <v>25660.793857142853</v>
      </c>
      <c r="J271" s="109">
        <f>'B) D RI'!U272</f>
        <v>24528.370999999999</v>
      </c>
      <c r="K271" s="76">
        <f t="shared" si="60"/>
        <v>38.625005921465856</v>
      </c>
      <c r="L271" s="41">
        <f>'B) D RI'!S272</f>
        <v>70</v>
      </c>
      <c r="M271" s="41">
        <f t="shared" si="55"/>
        <v>31.374994078534144</v>
      </c>
      <c r="N271" s="142">
        <f>'J) Plafonnement effort'!G270+'J) Plafonnement effort'!H270-'K) Plafonnement aide'!I270</f>
        <v>36.832375806256991</v>
      </c>
      <c r="O271" s="142">
        <f t="shared" si="56"/>
        <v>68.207369884791134</v>
      </c>
      <c r="P271" s="55">
        <f t="shared" si="57"/>
        <v>0</v>
      </c>
      <c r="Q271" s="66">
        <f t="shared" si="61"/>
        <v>0</v>
      </c>
      <c r="R271" s="164">
        <f t="shared" si="58"/>
        <v>68.207369884791134</v>
      </c>
      <c r="S271" s="142">
        <f t="shared" si="59"/>
        <v>-1.7926301152088655</v>
      </c>
      <c r="T271" s="163"/>
      <c r="V271" s="17"/>
    </row>
    <row r="272" spans="1:22" x14ac:dyDescent="0.25">
      <c r="A272" s="57">
        <f>'A) Base RI'!A273</f>
        <v>5871</v>
      </c>
      <c r="B272" s="64" t="str">
        <f>'A) Base RI'!B273</f>
        <v>L'Abbaye</v>
      </c>
      <c r="C272" s="172">
        <v>1021715.5931318658</v>
      </c>
      <c r="D272" s="173">
        <v>351744.46638536477</v>
      </c>
      <c r="E272" s="174">
        <v>0</v>
      </c>
      <c r="F272" s="173">
        <v>0</v>
      </c>
      <c r="G272" s="173">
        <v>0</v>
      </c>
      <c r="H272" s="175">
        <f t="shared" si="54"/>
        <v>1373460.0595172306</v>
      </c>
      <c r="I272" s="233">
        <v>49270.614706263776</v>
      </c>
      <c r="J272" s="109">
        <f>'B) D RI'!U273</f>
        <v>48996.378091415252</v>
      </c>
      <c r="K272" s="76">
        <f t="shared" si="60"/>
        <v>27.875845830326583</v>
      </c>
      <c r="L272" s="41">
        <f>'B) D RI'!S273</f>
        <v>77.23</v>
      </c>
      <c r="M272" s="41">
        <f t="shared" si="55"/>
        <v>49.354154169673421</v>
      </c>
      <c r="N272" s="142">
        <f>'J) Plafonnement effort'!G271+'J) Plafonnement effort'!H271-'K) Plafonnement aide'!I271</f>
        <v>22.024419307031852</v>
      </c>
      <c r="O272" s="142">
        <f t="shared" si="56"/>
        <v>71.37857347670527</v>
      </c>
      <c r="P272" s="55">
        <f t="shared" si="57"/>
        <v>0</v>
      </c>
      <c r="Q272" s="66">
        <f t="shared" si="61"/>
        <v>0</v>
      </c>
      <c r="R272" s="164">
        <f t="shared" si="58"/>
        <v>71.37857347670527</v>
      </c>
      <c r="S272" s="142">
        <f t="shared" si="59"/>
        <v>-5.8514265232947338</v>
      </c>
      <c r="T272" s="163"/>
      <c r="V272" s="17"/>
    </row>
    <row r="273" spans="1:22" x14ac:dyDescent="0.25">
      <c r="A273" s="57">
        <f>'A) Base RI'!A274</f>
        <v>5872</v>
      </c>
      <c r="B273" s="64" t="str">
        <f>'A) Base RI'!B274</f>
        <v>Le Chenit</v>
      </c>
      <c r="C273" s="172">
        <v>7742738.7646780843</v>
      </c>
      <c r="D273" s="173">
        <v>3953864.5011400725</v>
      </c>
      <c r="E273" s="174">
        <v>0</v>
      </c>
      <c r="F273" s="173">
        <v>0</v>
      </c>
      <c r="G273" s="173">
        <v>0</v>
      </c>
      <c r="H273" s="175">
        <f t="shared" si="54"/>
        <v>11696603.265818156</v>
      </c>
      <c r="I273" s="233">
        <v>312565.48082674423</v>
      </c>
      <c r="J273" s="109">
        <f>'B) D RI'!U274</f>
        <v>315523.99059233442</v>
      </c>
      <c r="K273" s="76">
        <f t="shared" si="60"/>
        <v>37.421289244353922</v>
      </c>
      <c r="L273" s="41">
        <f>'B) D RI'!S274</f>
        <v>69.7</v>
      </c>
      <c r="M273" s="41">
        <f t="shared" si="55"/>
        <v>32.278710755646081</v>
      </c>
      <c r="N273" s="142">
        <f>'J) Plafonnement effort'!G272+'J) Plafonnement effort'!H272-'K) Plafonnement aide'!I272</f>
        <v>33.77638396572636</v>
      </c>
      <c r="O273" s="142">
        <f t="shared" si="56"/>
        <v>66.055094721372441</v>
      </c>
      <c r="P273" s="55">
        <f t="shared" si="57"/>
        <v>0</v>
      </c>
      <c r="Q273" s="66">
        <f t="shared" si="61"/>
        <v>0</v>
      </c>
      <c r="R273" s="164">
        <f t="shared" si="58"/>
        <v>66.055094721372441</v>
      </c>
      <c r="S273" s="142">
        <f t="shared" si="59"/>
        <v>-3.6449052786275615</v>
      </c>
      <c r="T273" s="163"/>
      <c r="V273" s="17"/>
    </row>
    <row r="274" spans="1:22" x14ac:dyDescent="0.25">
      <c r="A274" s="57">
        <f>'A) Base RI'!A275</f>
        <v>5873</v>
      </c>
      <c r="B274" s="64" t="str">
        <f>'A) Base RI'!B275</f>
        <v>Le Lieu</v>
      </c>
      <c r="C274" s="172">
        <v>899214.06752455817</v>
      </c>
      <c r="D274" s="173">
        <v>549320.32994214131</v>
      </c>
      <c r="E274" s="174">
        <v>0</v>
      </c>
      <c r="F274" s="173">
        <v>0</v>
      </c>
      <c r="G274" s="173">
        <v>0</v>
      </c>
      <c r="H274" s="175">
        <f t="shared" si="54"/>
        <v>1448534.3974666996</v>
      </c>
      <c r="I274" s="233">
        <v>35906.558461538458</v>
      </c>
      <c r="J274" s="109">
        <f>'B) D RI'!U275</f>
        <v>30587.067025641027</v>
      </c>
      <c r="K274" s="76">
        <f t="shared" si="60"/>
        <v>40.341777645393293</v>
      </c>
      <c r="L274" s="41">
        <f>'B) D RI'!S275</f>
        <v>65</v>
      </c>
      <c r="M274" s="41">
        <f t="shared" si="55"/>
        <v>24.658222354606707</v>
      </c>
      <c r="N274" s="142">
        <f>'J) Plafonnement effort'!G273+'J) Plafonnement effort'!H273-'K) Plafonnement aide'!I273</f>
        <v>5.2263926580029363</v>
      </c>
      <c r="O274" s="142">
        <f t="shared" si="56"/>
        <v>29.884615012609643</v>
      </c>
      <c r="P274" s="55">
        <f t="shared" si="57"/>
        <v>0</v>
      </c>
      <c r="Q274" s="66">
        <f t="shared" si="61"/>
        <v>0</v>
      </c>
      <c r="R274" s="164">
        <f t="shared" si="58"/>
        <v>29.884615012609643</v>
      </c>
      <c r="S274" s="142">
        <f t="shared" si="59"/>
        <v>-35.115384987390357</v>
      </c>
      <c r="T274" s="163"/>
      <c r="V274" s="17"/>
    </row>
    <row r="275" spans="1:22" x14ac:dyDescent="0.25">
      <c r="A275" s="57">
        <f>'A) Base RI'!A276</f>
        <v>5881</v>
      </c>
      <c r="B275" s="64" t="str">
        <f>'A) Base RI'!B276</f>
        <v>Blonay</v>
      </c>
      <c r="C275" s="172">
        <v>6752946.9340828806</v>
      </c>
      <c r="D275" s="173">
        <v>3987772.0803576764</v>
      </c>
      <c r="E275" s="174">
        <v>0</v>
      </c>
      <c r="F275" s="173">
        <v>0</v>
      </c>
      <c r="G275" s="173">
        <v>0</v>
      </c>
      <c r="H275" s="175">
        <f t="shared" si="54"/>
        <v>10740719.014440557</v>
      </c>
      <c r="I275" s="233">
        <v>350302.66257142869</v>
      </c>
      <c r="J275" s="109">
        <f>'B) D RI'!U276</f>
        <v>332407.86157142854</v>
      </c>
      <c r="K275" s="76">
        <f t="shared" si="60"/>
        <v>30.661254286785397</v>
      </c>
      <c r="L275" s="41">
        <f>'B) D RI'!S276</f>
        <v>70</v>
      </c>
      <c r="M275" s="41">
        <f t="shared" si="55"/>
        <v>39.338745713214607</v>
      </c>
      <c r="N275" s="142">
        <f>'J) Plafonnement effort'!G274+'J) Plafonnement effort'!H274-'K) Plafonnement aide'!I274</f>
        <v>28.157993559100774</v>
      </c>
      <c r="O275" s="142">
        <f t="shared" si="56"/>
        <v>67.496739272315381</v>
      </c>
      <c r="P275" s="55">
        <f t="shared" si="57"/>
        <v>0</v>
      </c>
      <c r="Q275" s="66">
        <f t="shared" si="61"/>
        <v>0</v>
      </c>
      <c r="R275" s="164">
        <f t="shared" si="58"/>
        <v>67.496739272315381</v>
      </c>
      <c r="S275" s="142">
        <f t="shared" si="59"/>
        <v>-2.5032607276846193</v>
      </c>
      <c r="T275" s="163"/>
      <c r="V275" s="17"/>
    </row>
    <row r="276" spans="1:22" x14ac:dyDescent="0.25">
      <c r="A276" s="57">
        <f>'A) Base RI'!A277</f>
        <v>5882</v>
      </c>
      <c r="B276" s="64" t="str">
        <f>'A) Base RI'!B277</f>
        <v>Chardonne</v>
      </c>
      <c r="C276" s="172">
        <v>3362905.8311888771</v>
      </c>
      <c r="D276" s="173">
        <v>2250738.9933456173</v>
      </c>
      <c r="E276" s="174">
        <v>0</v>
      </c>
      <c r="F276" s="173">
        <v>0</v>
      </c>
      <c r="G276" s="173">
        <v>0</v>
      </c>
      <c r="H276" s="175">
        <f t="shared" si="54"/>
        <v>5613644.8245344944</v>
      </c>
      <c r="I276" s="233">
        <v>162874.24803030302</v>
      </c>
      <c r="J276" s="109">
        <f>'B) D RI'!U277</f>
        <v>151089.46617647054</v>
      </c>
      <c r="K276" s="76">
        <f t="shared" si="60"/>
        <v>34.466128884230159</v>
      </c>
      <c r="L276" s="41">
        <f>'B) D RI'!S277</f>
        <v>68</v>
      </c>
      <c r="M276" s="41">
        <f t="shared" si="55"/>
        <v>33.533871115769841</v>
      </c>
      <c r="N276" s="142">
        <f>'J) Plafonnement effort'!G275+'J) Plafonnement effort'!H275-'K) Plafonnement aide'!I275</f>
        <v>30.708035504127054</v>
      </c>
      <c r="O276" s="142">
        <f t="shared" si="56"/>
        <v>64.241906619896895</v>
      </c>
      <c r="P276" s="55">
        <f t="shared" si="57"/>
        <v>0</v>
      </c>
      <c r="Q276" s="66">
        <f t="shared" si="61"/>
        <v>0</v>
      </c>
      <c r="R276" s="164">
        <f t="shared" si="58"/>
        <v>64.241906619896895</v>
      </c>
      <c r="S276" s="142">
        <f t="shared" si="59"/>
        <v>-3.7580933801031051</v>
      </c>
      <c r="T276" s="163"/>
      <c r="V276" s="17"/>
    </row>
    <row r="277" spans="1:22" x14ac:dyDescent="0.25">
      <c r="A277" s="57">
        <f>'A) Base RI'!A278</f>
        <v>5883</v>
      </c>
      <c r="B277" s="64" t="str">
        <f>'A) Base RI'!B278</f>
        <v>Corseaux</v>
      </c>
      <c r="C277" s="172">
        <v>3308667.3333433392</v>
      </c>
      <c r="D277" s="173">
        <v>2066330.7036244911</v>
      </c>
      <c r="E277" s="174">
        <v>0</v>
      </c>
      <c r="F277" s="173">
        <v>0</v>
      </c>
      <c r="G277" s="173">
        <v>0</v>
      </c>
      <c r="H277" s="175">
        <f t="shared" si="54"/>
        <v>5374998.0369678307</v>
      </c>
      <c r="I277" s="233">
        <v>144418.05406250001</v>
      </c>
      <c r="J277" s="109">
        <f>'B) D RI'!U278</f>
        <v>151117.63015625</v>
      </c>
      <c r="K277" s="76">
        <f t="shared" si="60"/>
        <v>37.218324757662813</v>
      </c>
      <c r="L277" s="41">
        <f>'B) D RI'!S278</f>
        <v>64</v>
      </c>
      <c r="M277" s="41">
        <f t="shared" si="55"/>
        <v>26.781675242337187</v>
      </c>
      <c r="N277" s="142">
        <f>'J) Plafonnement effort'!G276+'J) Plafonnement effort'!H276-'K) Plafonnement aide'!I276</f>
        <v>36.713994177815039</v>
      </c>
      <c r="O277" s="142">
        <f t="shared" si="56"/>
        <v>63.495669420152225</v>
      </c>
      <c r="P277" s="55">
        <f t="shared" si="57"/>
        <v>0</v>
      </c>
      <c r="Q277" s="66">
        <f t="shared" si="61"/>
        <v>0</v>
      </c>
      <c r="R277" s="164">
        <f t="shared" si="58"/>
        <v>63.495669420152225</v>
      </c>
      <c r="S277" s="142">
        <f t="shared" si="59"/>
        <v>-0.50433057984777463</v>
      </c>
      <c r="T277" s="163"/>
      <c r="V277" s="17"/>
    </row>
    <row r="278" spans="1:22" x14ac:dyDescent="0.25">
      <c r="A278" s="57">
        <f>'A) Base RI'!A279</f>
        <v>5884</v>
      </c>
      <c r="B278" s="64" t="str">
        <f>'A) Base RI'!B279</f>
        <v>Corsier-sur-Vevey</v>
      </c>
      <c r="C278" s="172">
        <v>2397892.6701575411</v>
      </c>
      <c r="D278" s="173">
        <v>1133044.3917612378</v>
      </c>
      <c r="E278" s="174">
        <v>0</v>
      </c>
      <c r="F278" s="173">
        <v>0</v>
      </c>
      <c r="G278" s="173">
        <v>0</v>
      </c>
      <c r="H278" s="175">
        <f t="shared" si="54"/>
        <v>3530937.0619187788</v>
      </c>
      <c r="I278" s="233">
        <v>132379.93277777778</v>
      </c>
      <c r="J278" s="109">
        <f>'B) D RI'!U279</f>
        <v>116440.6211111111</v>
      </c>
      <c r="K278" s="76">
        <f t="shared" si="60"/>
        <v>26.672751585741146</v>
      </c>
      <c r="L278" s="41">
        <f>'B) D RI'!S279</f>
        <v>66</v>
      </c>
      <c r="M278" s="41">
        <f t="shared" si="55"/>
        <v>39.327248414258854</v>
      </c>
      <c r="N278" s="142">
        <f>'J) Plafonnement effort'!G277+'J) Plafonnement effort'!H277-'K) Plafonnement aide'!I277</f>
        <v>14.655553644262499</v>
      </c>
      <c r="O278" s="142">
        <f t="shared" si="56"/>
        <v>53.982802058521351</v>
      </c>
      <c r="P278" s="55">
        <f t="shared" si="57"/>
        <v>0</v>
      </c>
      <c r="Q278" s="66">
        <f t="shared" si="61"/>
        <v>0</v>
      </c>
      <c r="R278" s="164">
        <f t="shared" si="58"/>
        <v>53.982802058521351</v>
      </c>
      <c r="S278" s="142">
        <f t="shared" si="59"/>
        <v>-12.017197941478649</v>
      </c>
      <c r="T278" s="163"/>
      <c r="V278" s="17"/>
    </row>
    <row r="279" spans="1:22" x14ac:dyDescent="0.25">
      <c r="A279" s="57">
        <f>'A) Base RI'!A280</f>
        <v>5885</v>
      </c>
      <c r="B279" s="64" t="str">
        <f>'A) Base RI'!B280</f>
        <v>Jongny</v>
      </c>
      <c r="C279" s="172">
        <v>3763976.242696329</v>
      </c>
      <c r="D279" s="173">
        <v>2003241.7792394238</v>
      </c>
      <c r="E279" s="174">
        <v>0</v>
      </c>
      <c r="F279" s="173">
        <v>0</v>
      </c>
      <c r="G279" s="173">
        <v>0</v>
      </c>
      <c r="H279" s="175">
        <f t="shared" si="54"/>
        <v>5767218.0219357526</v>
      </c>
      <c r="I279" s="233">
        <v>138055.78997584543</v>
      </c>
      <c r="J279" s="109">
        <f>'B) D RI'!U280</f>
        <v>81843.123028169022</v>
      </c>
      <c r="K279" s="76">
        <f t="shared" si="60"/>
        <v>41.774546528941663</v>
      </c>
      <c r="L279" s="41">
        <f>'B) D RI'!S280</f>
        <v>71</v>
      </c>
      <c r="M279" s="41">
        <f t="shared" si="55"/>
        <v>29.225453471058337</v>
      </c>
      <c r="N279" s="142">
        <f>'J) Plafonnement effort'!G278+'J) Plafonnement effort'!H278-'K) Plafonnement aide'!I278</f>
        <v>32.460460033126211</v>
      </c>
      <c r="O279" s="142">
        <f t="shared" si="56"/>
        <v>61.685913504184548</v>
      </c>
      <c r="P279" s="55">
        <f t="shared" si="57"/>
        <v>0</v>
      </c>
      <c r="Q279" s="66">
        <f t="shared" si="61"/>
        <v>0</v>
      </c>
      <c r="R279" s="164">
        <f t="shared" si="58"/>
        <v>61.685913504184548</v>
      </c>
      <c r="S279" s="142">
        <f t="shared" si="59"/>
        <v>-9.3140864958154523</v>
      </c>
      <c r="T279" s="163"/>
      <c r="V279" s="17"/>
    </row>
    <row r="280" spans="1:22" x14ac:dyDescent="0.25">
      <c r="A280" s="57">
        <f>'A) Base RI'!A281</f>
        <v>5886</v>
      </c>
      <c r="B280" s="64" t="str">
        <f>'A) Base RI'!B281</f>
        <v>Montreux</v>
      </c>
      <c r="C280" s="172">
        <v>24219736.620690692</v>
      </c>
      <c r="D280" s="173">
        <v>-1457039.6699081957</v>
      </c>
      <c r="E280" s="174">
        <v>0</v>
      </c>
      <c r="F280" s="173">
        <v>0</v>
      </c>
      <c r="G280" s="173">
        <v>0</v>
      </c>
      <c r="H280" s="175">
        <f t="shared" si="54"/>
        <v>22762696.950782496</v>
      </c>
      <c r="I280" s="233">
        <v>1113145.3400000003</v>
      </c>
      <c r="J280" s="109">
        <f>'B) D RI'!U281</f>
        <v>1175239.0178974359</v>
      </c>
      <c r="K280" s="76">
        <f t="shared" si="60"/>
        <v>20.448989123722594</v>
      </c>
      <c r="L280" s="41">
        <f>'B) D RI'!S281</f>
        <v>65</v>
      </c>
      <c r="M280" s="41">
        <f t="shared" si="55"/>
        <v>44.551010876277402</v>
      </c>
      <c r="N280" s="142">
        <f>'J) Plafonnement effort'!G279+'J) Plafonnement effort'!H279-'K) Plafonnement aide'!I279</f>
        <v>16.942492631601098</v>
      </c>
      <c r="O280" s="142">
        <f t="shared" si="56"/>
        <v>61.493503507878501</v>
      </c>
      <c r="P280" s="55">
        <f t="shared" si="57"/>
        <v>0</v>
      </c>
      <c r="Q280" s="66">
        <f t="shared" si="61"/>
        <v>0</v>
      </c>
      <c r="R280" s="164">
        <f t="shared" si="58"/>
        <v>61.493503507878501</v>
      </c>
      <c r="S280" s="142">
        <f t="shared" si="59"/>
        <v>-3.5064964921214994</v>
      </c>
      <c r="T280" s="163"/>
      <c r="V280" s="17"/>
    </row>
    <row r="281" spans="1:22" x14ac:dyDescent="0.25">
      <c r="A281" s="57">
        <f>'A) Base RI'!A282</f>
        <v>5888</v>
      </c>
      <c r="B281" s="64" t="str">
        <f>'A) Base RI'!B282</f>
        <v>Saint-Légier-La Chiésaz</v>
      </c>
      <c r="C281" s="172">
        <v>6283471.154677582</v>
      </c>
      <c r="D281" s="173">
        <v>3840173.4932399839</v>
      </c>
      <c r="E281" s="174">
        <v>0</v>
      </c>
      <c r="F281" s="173">
        <v>0</v>
      </c>
      <c r="G281" s="173">
        <v>0</v>
      </c>
      <c r="H281" s="175">
        <f t="shared" si="54"/>
        <v>10123644.647917565</v>
      </c>
      <c r="I281" s="233">
        <v>313348.84833333333</v>
      </c>
      <c r="J281" s="109">
        <f>'B) D RI'!U282</f>
        <v>307135.62007462693</v>
      </c>
      <c r="K281" s="76">
        <f t="shared" si="60"/>
        <v>32.307904438660209</v>
      </c>
      <c r="L281" s="41">
        <f>'B) D RI'!S282</f>
        <v>67</v>
      </c>
      <c r="M281" s="41">
        <f t="shared" si="55"/>
        <v>34.692095561339791</v>
      </c>
      <c r="N281" s="142">
        <f>'J) Plafonnement effort'!G280+'J) Plafonnement effort'!H280-'K) Plafonnement aide'!I280</f>
        <v>30.572950250333196</v>
      </c>
      <c r="O281" s="142">
        <f t="shared" si="56"/>
        <v>65.265045811672991</v>
      </c>
      <c r="P281" s="55">
        <f t="shared" si="57"/>
        <v>0</v>
      </c>
      <c r="Q281" s="66">
        <f t="shared" si="61"/>
        <v>0</v>
      </c>
      <c r="R281" s="164">
        <f t="shared" si="58"/>
        <v>65.265045811672991</v>
      </c>
      <c r="S281" s="142">
        <f t="shared" si="59"/>
        <v>-1.7349541883270092</v>
      </c>
      <c r="T281" s="163"/>
      <c r="V281" s="17"/>
    </row>
    <row r="282" spans="1:22" x14ac:dyDescent="0.25">
      <c r="A282" s="57">
        <f>'A) Base RI'!A283</f>
        <v>5889</v>
      </c>
      <c r="B282" s="64" t="str">
        <f>'A) Base RI'!B283</f>
        <v>La Tour-de-Peilz</v>
      </c>
      <c r="C282" s="172">
        <v>10241335.868968729</v>
      </c>
      <c r="D282" s="173">
        <v>4774601.8210934866</v>
      </c>
      <c r="E282" s="174">
        <v>0</v>
      </c>
      <c r="F282" s="173">
        <v>0</v>
      </c>
      <c r="G282" s="173">
        <v>0</v>
      </c>
      <c r="H282" s="175">
        <f t="shared" si="54"/>
        <v>15015937.690062216</v>
      </c>
      <c r="I282" s="233">
        <v>590141.45856770838</v>
      </c>
      <c r="J282" s="109">
        <f>'B) D RI'!U283</f>
        <v>618611.02559895837</v>
      </c>
      <c r="K282" s="76">
        <f t="shared" si="60"/>
        <v>25.444641233148339</v>
      </c>
      <c r="L282" s="41">
        <f>'B) D RI'!S283</f>
        <v>64</v>
      </c>
      <c r="M282" s="41">
        <f t="shared" si="55"/>
        <v>38.555358766851661</v>
      </c>
      <c r="N282" s="142">
        <f>'J) Plafonnement effort'!G281+'J) Plafonnement effort'!H281-'K) Plafonnement aide'!I281</f>
        <v>27.151896744674577</v>
      </c>
      <c r="O282" s="142">
        <f t="shared" si="56"/>
        <v>65.707255511526242</v>
      </c>
      <c r="P282" s="55">
        <f t="shared" si="57"/>
        <v>0</v>
      </c>
      <c r="Q282" s="66">
        <f t="shared" si="61"/>
        <v>0</v>
      </c>
      <c r="R282" s="164">
        <f t="shared" si="58"/>
        <v>65.707255511526242</v>
      </c>
      <c r="S282" s="142">
        <f t="shared" si="59"/>
        <v>1.7072555115262418</v>
      </c>
      <c r="T282" s="163"/>
      <c r="V282" s="17"/>
    </row>
    <row r="283" spans="1:22" x14ac:dyDescent="0.25">
      <c r="A283" s="57">
        <f>'A) Base RI'!A284</f>
        <v>5890</v>
      </c>
      <c r="B283" s="64" t="str">
        <f>'A) Base RI'!B284</f>
        <v>Vevey</v>
      </c>
      <c r="C283" s="172">
        <v>16659803.696335582</v>
      </c>
      <c r="D283" s="173">
        <v>3105730.1907020882</v>
      </c>
      <c r="E283" s="174">
        <v>0</v>
      </c>
      <c r="F283" s="173">
        <v>0</v>
      </c>
      <c r="G283" s="173">
        <v>0</v>
      </c>
      <c r="H283" s="175">
        <f t="shared" si="54"/>
        <v>19765533.887037672</v>
      </c>
      <c r="I283" s="233">
        <v>922155.6933561645</v>
      </c>
      <c r="J283" s="109">
        <f>'B) D RI'!U284</f>
        <v>909212.90865296812</v>
      </c>
      <c r="K283" s="76">
        <f t="shared" si="60"/>
        <v>21.434052871377354</v>
      </c>
      <c r="L283" s="41">
        <f>'B) D RI'!S284</f>
        <v>73</v>
      </c>
      <c r="M283" s="41">
        <f t="shared" si="55"/>
        <v>51.565947128622646</v>
      </c>
      <c r="N283" s="142">
        <f>'J) Plafonnement effort'!G282+'J) Plafonnement effort'!H282-'K) Plafonnement aide'!I282</f>
        <v>18.633424064777063</v>
      </c>
      <c r="O283" s="142">
        <f t="shared" si="56"/>
        <v>70.199371193399713</v>
      </c>
      <c r="P283" s="55">
        <f t="shared" si="57"/>
        <v>0</v>
      </c>
      <c r="Q283" s="66">
        <f t="shared" si="61"/>
        <v>0</v>
      </c>
      <c r="R283" s="164">
        <f t="shared" si="58"/>
        <v>70.199371193399713</v>
      </c>
      <c r="S283" s="142">
        <f t="shared" si="59"/>
        <v>-2.8006288066002867</v>
      </c>
      <c r="T283" s="163"/>
      <c r="V283" s="17"/>
    </row>
    <row r="284" spans="1:22" x14ac:dyDescent="0.25">
      <c r="A284" s="57">
        <f>'A) Base RI'!A285</f>
        <v>5891</v>
      </c>
      <c r="B284" s="64" t="str">
        <f>'A) Base RI'!B285</f>
        <v>Veytaux</v>
      </c>
      <c r="C284" s="172">
        <v>691099.89007926383</v>
      </c>
      <c r="D284" s="173">
        <v>600553.62626310624</v>
      </c>
      <c r="E284" s="174">
        <v>0</v>
      </c>
      <c r="F284" s="173">
        <v>0</v>
      </c>
      <c r="G284" s="173">
        <v>0</v>
      </c>
      <c r="H284" s="175">
        <f t="shared" si="54"/>
        <v>1291653.5163423701</v>
      </c>
      <c r="I284" s="233">
        <v>37259.444879227056</v>
      </c>
      <c r="J284" s="109">
        <f>'B) D RI'!U285</f>
        <v>39510.481835748789</v>
      </c>
      <c r="K284" s="76">
        <f t="shared" si="60"/>
        <v>34.666472367721582</v>
      </c>
      <c r="L284" s="41">
        <f>'B) D RI'!S285</f>
        <v>69</v>
      </c>
      <c r="M284" s="41">
        <f t="shared" si="55"/>
        <v>34.333527632278418</v>
      </c>
      <c r="N284" s="142">
        <f>'J) Plafonnement effort'!G283+'J) Plafonnement effort'!H283-'K) Plafonnement aide'!I283</f>
        <v>28.382773462854225</v>
      </c>
      <c r="O284" s="142">
        <f t="shared" si="56"/>
        <v>62.716301095132643</v>
      </c>
      <c r="P284" s="55">
        <f t="shared" si="57"/>
        <v>0</v>
      </c>
      <c r="Q284" s="66">
        <f t="shared" si="61"/>
        <v>0</v>
      </c>
      <c r="R284" s="164">
        <f t="shared" si="58"/>
        <v>62.716301095132643</v>
      </c>
      <c r="S284" s="142">
        <f t="shared" si="59"/>
        <v>-6.2836989048673573</v>
      </c>
      <c r="T284" s="163"/>
      <c r="V284" s="17"/>
    </row>
    <row r="285" spans="1:22" x14ac:dyDescent="0.25">
      <c r="A285" s="57">
        <f>'A) Base RI'!A286</f>
        <v>5902</v>
      </c>
      <c r="B285" s="64" t="str">
        <f>'A) Base RI'!B286</f>
        <v>Belmont-sur-Yverdon</v>
      </c>
      <c r="C285" s="172">
        <v>190830.72362434235</v>
      </c>
      <c r="D285" s="173">
        <v>-51082.515052656468</v>
      </c>
      <c r="E285" s="174">
        <v>0</v>
      </c>
      <c r="F285" s="173">
        <v>0</v>
      </c>
      <c r="G285" s="173">
        <v>0</v>
      </c>
      <c r="H285" s="175">
        <f t="shared" si="54"/>
        <v>139748.20857168589</v>
      </c>
      <c r="I285" s="233">
        <v>8642.2247368421067</v>
      </c>
      <c r="J285" s="109">
        <f>'B) D RI'!U286</f>
        <v>9227.1448684210518</v>
      </c>
      <c r="K285" s="76">
        <f t="shared" si="60"/>
        <v>16.170397418147942</v>
      </c>
      <c r="L285" s="41">
        <f>'B) D RI'!S286</f>
        <v>76</v>
      </c>
      <c r="M285" s="41">
        <f t="shared" si="55"/>
        <v>59.829602581852058</v>
      </c>
      <c r="N285" s="142">
        <f>'J) Plafonnement effort'!G284+'J) Plafonnement effort'!H284-'K) Plafonnement aide'!I284</f>
        <v>11.450092781052865</v>
      </c>
      <c r="O285" s="142">
        <f t="shared" si="56"/>
        <v>71.279695362904917</v>
      </c>
      <c r="P285" s="55">
        <f t="shared" si="57"/>
        <v>0</v>
      </c>
      <c r="Q285" s="66">
        <f t="shared" si="61"/>
        <v>0</v>
      </c>
      <c r="R285" s="164">
        <f t="shared" si="58"/>
        <v>71.279695362904917</v>
      </c>
      <c r="S285" s="142">
        <f t="shared" si="59"/>
        <v>-4.720304637095083</v>
      </c>
      <c r="T285" s="163"/>
      <c r="V285" s="17"/>
    </row>
    <row r="286" spans="1:22" x14ac:dyDescent="0.25">
      <c r="A286" s="57">
        <f>'A) Base RI'!A287</f>
        <v>5903</v>
      </c>
      <c r="B286" s="64" t="str">
        <f>'A) Base RI'!B287</f>
        <v>Bioley-Magnoux</v>
      </c>
      <c r="C286" s="172">
        <v>139357.60802374769</v>
      </c>
      <c r="D286" s="173">
        <v>31176.297892260292</v>
      </c>
      <c r="E286" s="174">
        <v>0</v>
      </c>
      <c r="F286" s="173">
        <v>0</v>
      </c>
      <c r="G286" s="173">
        <v>0</v>
      </c>
      <c r="H286" s="175">
        <f t="shared" si="54"/>
        <v>170533.90591600799</v>
      </c>
      <c r="I286" s="233">
        <v>6046.5271621621623</v>
      </c>
      <c r="J286" s="109">
        <f>'B) D RI'!U287</f>
        <v>5953.911158301159</v>
      </c>
      <c r="K286" s="76">
        <f t="shared" si="60"/>
        <v>28.203611981299229</v>
      </c>
      <c r="L286" s="41">
        <f>'B) D RI'!S287</f>
        <v>74</v>
      </c>
      <c r="M286" s="41">
        <f t="shared" si="55"/>
        <v>45.796388018700767</v>
      </c>
      <c r="N286" s="142">
        <f>'J) Plafonnement effort'!G285+'J) Plafonnement effort'!H285-'K) Plafonnement aide'!I285</f>
        <v>-22.318833751515193</v>
      </c>
      <c r="O286" s="142">
        <f t="shared" si="56"/>
        <v>23.477554267185575</v>
      </c>
      <c r="P286" s="55">
        <f t="shared" si="57"/>
        <v>0</v>
      </c>
      <c r="Q286" s="66">
        <f t="shared" si="61"/>
        <v>0</v>
      </c>
      <c r="R286" s="164">
        <f t="shared" si="58"/>
        <v>23.477554267185575</v>
      </c>
      <c r="S286" s="142">
        <f t="shared" si="59"/>
        <v>-50.522445732814425</v>
      </c>
      <c r="T286" s="163"/>
      <c r="V286" s="17"/>
    </row>
    <row r="287" spans="1:22" x14ac:dyDescent="0.25">
      <c r="A287" s="57">
        <f>'A) Base RI'!A288</f>
        <v>5904</v>
      </c>
      <c r="B287" s="64" t="str">
        <f>'A) Base RI'!B288</f>
        <v>Chamblon</v>
      </c>
      <c r="C287" s="172">
        <v>388790.22587649943</v>
      </c>
      <c r="D287" s="173">
        <v>234275.44662547149</v>
      </c>
      <c r="E287" s="174">
        <v>0</v>
      </c>
      <c r="F287" s="173">
        <v>0</v>
      </c>
      <c r="G287" s="173">
        <v>0</v>
      </c>
      <c r="H287" s="175">
        <f t="shared" si="54"/>
        <v>623065.6725019709</v>
      </c>
      <c r="I287" s="233">
        <v>20170.434545454544</v>
      </c>
      <c r="J287" s="109">
        <f>'B) D RI'!U288</f>
        <v>22914.009848484849</v>
      </c>
      <c r="K287" s="76">
        <f t="shared" si="60"/>
        <v>30.890047068538752</v>
      </c>
      <c r="L287" s="41">
        <f>'B) D RI'!S288</f>
        <v>66</v>
      </c>
      <c r="M287" s="41">
        <f t="shared" si="55"/>
        <v>35.109952931461251</v>
      </c>
      <c r="N287" s="142">
        <f>'J) Plafonnement effort'!G286+'J) Plafonnement effort'!H286-'K) Plafonnement aide'!I286</f>
        <v>31.591903406363748</v>
      </c>
      <c r="O287" s="142">
        <f t="shared" si="56"/>
        <v>66.701856337825006</v>
      </c>
      <c r="P287" s="55">
        <f t="shared" si="57"/>
        <v>0</v>
      </c>
      <c r="Q287" s="66">
        <f t="shared" si="61"/>
        <v>0</v>
      </c>
      <c r="R287" s="164">
        <f t="shared" si="58"/>
        <v>66.701856337825006</v>
      </c>
      <c r="S287" s="142">
        <f t="shared" si="59"/>
        <v>0.70185633782500645</v>
      </c>
      <c r="T287" s="163"/>
      <c r="V287" s="17"/>
    </row>
    <row r="288" spans="1:22" x14ac:dyDescent="0.25">
      <c r="A288" s="57">
        <f>'A) Base RI'!A289</f>
        <v>5905</v>
      </c>
      <c r="B288" s="64" t="str">
        <f>'A) Base RI'!B289</f>
        <v>Champvent</v>
      </c>
      <c r="C288" s="172">
        <v>330811.46450766723</v>
      </c>
      <c r="D288" s="173">
        <v>97518.497352579638</v>
      </c>
      <c r="E288" s="174">
        <v>0</v>
      </c>
      <c r="F288" s="173">
        <v>0</v>
      </c>
      <c r="G288" s="173">
        <v>0</v>
      </c>
      <c r="H288" s="175">
        <f t="shared" si="54"/>
        <v>428329.96186024684</v>
      </c>
      <c r="I288" s="233">
        <v>18220.765633802814</v>
      </c>
      <c r="J288" s="109">
        <f>'B) D RI'!U289</f>
        <v>21038.740140845071</v>
      </c>
      <c r="K288" s="76">
        <f t="shared" si="60"/>
        <v>23.507791630095792</v>
      </c>
      <c r="L288" s="41">
        <f>'B) D RI'!S289</f>
        <v>71</v>
      </c>
      <c r="M288" s="41">
        <f t="shared" si="55"/>
        <v>47.492208369904205</v>
      </c>
      <c r="N288" s="142">
        <f>'J) Plafonnement effort'!G287+'J) Plafonnement effort'!H287-'K) Plafonnement aide'!I287</f>
        <v>26.861187344898756</v>
      </c>
      <c r="O288" s="142">
        <f t="shared" si="56"/>
        <v>74.353395714802957</v>
      </c>
      <c r="P288" s="55">
        <f t="shared" si="57"/>
        <v>0</v>
      </c>
      <c r="Q288" s="66">
        <f t="shared" si="61"/>
        <v>0</v>
      </c>
      <c r="R288" s="164">
        <f t="shared" si="58"/>
        <v>74.353395714802957</v>
      </c>
      <c r="S288" s="142">
        <f t="shared" si="59"/>
        <v>3.3533957148029572</v>
      </c>
      <c r="T288" s="163"/>
      <c r="V288" s="17"/>
    </row>
    <row r="289" spans="1:22" x14ac:dyDescent="0.25">
      <c r="A289" s="57">
        <f>'A) Base RI'!A290</f>
        <v>5907</v>
      </c>
      <c r="B289" s="64" t="str">
        <f>'A) Base RI'!B290</f>
        <v>Chavannes-le-Chêne</v>
      </c>
      <c r="C289" s="172">
        <v>128147.69426044248</v>
      </c>
      <c r="D289" s="173">
        <v>-26665.229217247164</v>
      </c>
      <c r="E289" s="174">
        <v>0</v>
      </c>
      <c r="F289" s="173">
        <v>0</v>
      </c>
      <c r="G289" s="173">
        <v>0</v>
      </c>
      <c r="H289" s="175">
        <f t="shared" si="54"/>
        <v>101482.46504319532</v>
      </c>
      <c r="I289" s="233">
        <v>6951.74782051282</v>
      </c>
      <c r="J289" s="109">
        <f>'B) D RI'!U290</f>
        <v>8819.3566666666684</v>
      </c>
      <c r="K289" s="76">
        <f t="shared" si="60"/>
        <v>14.598122323100769</v>
      </c>
      <c r="L289" s="41">
        <f>'B) D RI'!S290</f>
        <v>78</v>
      </c>
      <c r="M289" s="41">
        <f t="shared" si="55"/>
        <v>63.401877676899232</v>
      </c>
      <c r="N289" s="142">
        <f>'J) Plafonnement effort'!G288+'J) Plafonnement effort'!H288-'K) Plafonnement aide'!I288</f>
        <v>12.049626686735289</v>
      </c>
      <c r="O289" s="142">
        <f t="shared" si="56"/>
        <v>75.451504363634527</v>
      </c>
      <c r="P289" s="55">
        <f t="shared" si="57"/>
        <v>0</v>
      </c>
      <c r="Q289" s="66">
        <f t="shared" si="61"/>
        <v>0</v>
      </c>
      <c r="R289" s="164">
        <f t="shared" si="58"/>
        <v>75.451504363634527</v>
      </c>
      <c r="S289" s="142">
        <f t="shared" si="59"/>
        <v>-2.5484956363654732</v>
      </c>
      <c r="T289" s="163"/>
      <c r="V289" s="17"/>
    </row>
    <row r="290" spans="1:22" x14ac:dyDescent="0.25">
      <c r="A290" s="57">
        <f>'A) Base RI'!A291</f>
        <v>5908</v>
      </c>
      <c r="B290" s="64" t="str">
        <f>'A) Base RI'!B291</f>
        <v>Chêne-Pâquier</v>
      </c>
      <c r="C290" s="172">
        <v>51957.450934555243</v>
      </c>
      <c r="D290" s="173">
        <v>-23322.766431794946</v>
      </c>
      <c r="E290" s="174">
        <v>0</v>
      </c>
      <c r="F290" s="173">
        <v>0</v>
      </c>
      <c r="G290" s="173">
        <v>0</v>
      </c>
      <c r="H290" s="175">
        <f t="shared" si="54"/>
        <v>28634.684502760298</v>
      </c>
      <c r="I290" s="233">
        <v>2899.0017721518989</v>
      </c>
      <c r="J290" s="109">
        <f>'B) D RI'!U291</f>
        <v>2915.1287341772154</v>
      </c>
      <c r="K290" s="76">
        <f t="shared" si="60"/>
        <v>9.877429112954653</v>
      </c>
      <c r="L290" s="41">
        <f>'B) D RI'!S291</f>
        <v>79</v>
      </c>
      <c r="M290" s="41">
        <f t="shared" si="55"/>
        <v>69.122570887045342</v>
      </c>
      <c r="N290" s="142">
        <f>'J) Plafonnement effort'!G289+'J) Plafonnement effort'!H289-'K) Plafonnement aide'!I289</f>
        <v>-2.4570686077206343</v>
      </c>
      <c r="O290" s="142">
        <f t="shared" si="56"/>
        <v>66.665502279324713</v>
      </c>
      <c r="P290" s="55">
        <f t="shared" si="57"/>
        <v>0</v>
      </c>
      <c r="Q290" s="66">
        <f t="shared" si="61"/>
        <v>0</v>
      </c>
      <c r="R290" s="164">
        <f t="shared" si="58"/>
        <v>66.665502279324713</v>
      </c>
      <c r="S290" s="142">
        <f t="shared" si="59"/>
        <v>-12.334497720675287</v>
      </c>
      <c r="T290" s="163"/>
      <c r="V290" s="17"/>
    </row>
    <row r="291" spans="1:22" x14ac:dyDescent="0.25">
      <c r="A291" s="57">
        <f>'A) Base RI'!A292</f>
        <v>5909</v>
      </c>
      <c r="B291" s="64" t="str">
        <f>'A) Base RI'!B292</f>
        <v>Cheseaux-Noréaz</v>
      </c>
      <c r="C291" s="172">
        <v>406380.73136600503</v>
      </c>
      <c r="D291" s="173">
        <v>226607.95982559968</v>
      </c>
      <c r="E291" s="174">
        <v>0</v>
      </c>
      <c r="F291" s="173">
        <v>0</v>
      </c>
      <c r="G291" s="173">
        <v>0</v>
      </c>
      <c r="H291" s="175">
        <f t="shared" si="54"/>
        <v>632988.69119160471</v>
      </c>
      <c r="I291" s="233">
        <v>22661.846714285719</v>
      </c>
      <c r="J291" s="109">
        <f>'B) D RI'!U292</f>
        <v>24771.110857142852</v>
      </c>
      <c r="K291" s="76">
        <f t="shared" si="60"/>
        <v>27.931911250312062</v>
      </c>
      <c r="L291" s="41">
        <f>'B) D RI'!S292</f>
        <v>70</v>
      </c>
      <c r="M291" s="41">
        <f t="shared" si="55"/>
        <v>42.068088749687938</v>
      </c>
      <c r="N291" s="142">
        <f>'J) Plafonnement effort'!G290+'J) Plafonnement effort'!H290-'K) Plafonnement aide'!I290</f>
        <v>23.910179594077984</v>
      </c>
      <c r="O291" s="142">
        <f t="shared" si="56"/>
        <v>65.978268343765919</v>
      </c>
      <c r="P291" s="55">
        <f t="shared" si="57"/>
        <v>0</v>
      </c>
      <c r="Q291" s="66">
        <f t="shared" si="61"/>
        <v>0</v>
      </c>
      <c r="R291" s="164">
        <f t="shared" si="58"/>
        <v>65.978268343765919</v>
      </c>
      <c r="S291" s="142">
        <f t="shared" si="59"/>
        <v>-4.0217316562340812</v>
      </c>
      <c r="T291" s="163"/>
      <c r="V291" s="17"/>
    </row>
    <row r="292" spans="1:22" x14ac:dyDescent="0.25">
      <c r="A292" s="57">
        <f>'A) Base RI'!A293</f>
        <v>5910</v>
      </c>
      <c r="B292" s="64" t="str">
        <f>'A) Base RI'!B293</f>
        <v>Cronay</v>
      </c>
      <c r="C292" s="172">
        <v>213177.19716723659</v>
      </c>
      <c r="D292" s="173">
        <v>10322.846865957981</v>
      </c>
      <c r="E292" s="174">
        <v>0</v>
      </c>
      <c r="F292" s="173">
        <v>0</v>
      </c>
      <c r="G292" s="173">
        <v>0</v>
      </c>
      <c r="H292" s="175">
        <f t="shared" si="54"/>
        <v>223500.04403319457</v>
      </c>
      <c r="I292" s="233">
        <v>10409.753209876544</v>
      </c>
      <c r="J292" s="109">
        <f>'B) D RI'!U293</f>
        <v>10097.267848101266</v>
      </c>
      <c r="K292" s="76">
        <f t="shared" si="60"/>
        <v>21.470253859730573</v>
      </c>
      <c r="L292" s="41">
        <f>'B) D RI'!S293</f>
        <v>79</v>
      </c>
      <c r="M292" s="41">
        <f t="shared" ref="M292:M314" si="62">L292-K292</f>
        <v>57.529746140269424</v>
      </c>
      <c r="N292" s="142">
        <f>'J) Plafonnement effort'!G291+'J) Plafonnement effort'!H291-'K) Plafonnement aide'!I291</f>
        <v>2.5520532774172242</v>
      </c>
      <c r="O292" s="142">
        <f t="shared" si="56"/>
        <v>60.081799417686646</v>
      </c>
      <c r="P292" s="55">
        <f t="shared" si="57"/>
        <v>0</v>
      </c>
      <c r="Q292" s="66">
        <f t="shared" si="61"/>
        <v>0</v>
      </c>
      <c r="R292" s="164">
        <f t="shared" si="58"/>
        <v>60.081799417686646</v>
      </c>
      <c r="S292" s="142">
        <f t="shared" si="59"/>
        <v>-18.918200582313354</v>
      </c>
      <c r="T292" s="163"/>
      <c r="V292" s="17"/>
    </row>
    <row r="293" spans="1:22" x14ac:dyDescent="0.25">
      <c r="A293" s="57">
        <f>'A) Base RI'!A294</f>
        <v>5911</v>
      </c>
      <c r="B293" s="64" t="str">
        <f>'A) Base RI'!B294</f>
        <v>Cuarny</v>
      </c>
      <c r="C293" s="172">
        <v>105657.94440990532</v>
      </c>
      <c r="D293" s="173">
        <v>33218.652007955738</v>
      </c>
      <c r="E293" s="174">
        <v>0</v>
      </c>
      <c r="F293" s="173">
        <v>0</v>
      </c>
      <c r="G293" s="173">
        <v>0</v>
      </c>
      <c r="H293" s="175">
        <f>SUM(C293:G293)</f>
        <v>138876.59641786106</v>
      </c>
      <c r="I293" s="233">
        <v>6783.6280246913584</v>
      </c>
      <c r="J293" s="109">
        <f>'B) D RI'!U294</f>
        <v>7741.5774683544305</v>
      </c>
      <c r="K293" s="76">
        <f t="shared" si="60"/>
        <v>20.472318929099842</v>
      </c>
      <c r="L293" s="41">
        <f>'B) D RI'!S294</f>
        <v>79</v>
      </c>
      <c r="M293" s="41">
        <f t="shared" si="62"/>
        <v>58.527681070900158</v>
      </c>
      <c r="N293" s="142">
        <f>'J) Plafonnement effort'!G292+'J) Plafonnement effort'!H292-'K) Plafonnement aide'!I292</f>
        <v>7.6230023183559066</v>
      </c>
      <c r="O293" s="142">
        <f t="shared" si="56"/>
        <v>66.150683389256059</v>
      </c>
      <c r="P293" s="55">
        <f t="shared" si="57"/>
        <v>0</v>
      </c>
      <c r="Q293" s="66">
        <f t="shared" si="61"/>
        <v>0</v>
      </c>
      <c r="R293" s="164">
        <f t="shared" si="58"/>
        <v>66.150683389256059</v>
      </c>
      <c r="S293" s="142">
        <f t="shared" si="59"/>
        <v>-12.849316610743941</v>
      </c>
      <c r="T293" s="163"/>
      <c r="V293" s="17"/>
    </row>
    <row r="294" spans="1:22" x14ac:dyDescent="0.25">
      <c r="A294" s="57">
        <f>'A) Base RI'!A295</f>
        <v>5912</v>
      </c>
      <c r="B294" s="64" t="str">
        <f>'A) Base RI'!B295</f>
        <v>Démoret</v>
      </c>
      <c r="C294" s="172">
        <v>99041.721153174556</v>
      </c>
      <c r="D294" s="173">
        <v>-13086.218425508705</v>
      </c>
      <c r="E294" s="174">
        <v>0</v>
      </c>
      <c r="F294" s="173">
        <v>0</v>
      </c>
      <c r="G294" s="173">
        <v>-5014.0666879042747</v>
      </c>
      <c r="H294" s="175">
        <f t="shared" si="54"/>
        <v>80941.436039761582</v>
      </c>
      <c r="I294" s="233">
        <v>3146.6025925925924</v>
      </c>
      <c r="J294" s="109">
        <f>'B) D RI'!U295</f>
        <v>2761.8208641975311</v>
      </c>
      <c r="K294" s="76">
        <f t="shared" si="60"/>
        <v>25.723437789794481</v>
      </c>
      <c r="L294" s="41">
        <f>'B) D RI'!S295</f>
        <v>81</v>
      </c>
      <c r="M294" s="41">
        <f t="shared" si="62"/>
        <v>55.276562210205519</v>
      </c>
      <c r="N294" s="142">
        <f>'J) Plafonnement effort'!G293+'J) Plafonnement effort'!H293-'K) Plafonnement aide'!I293</f>
        <v>-2.9734805014568533</v>
      </c>
      <c r="O294" s="142">
        <f t="shared" si="56"/>
        <v>52.303081708748664</v>
      </c>
      <c r="P294" s="55">
        <f t="shared" si="57"/>
        <v>0</v>
      </c>
      <c r="Q294" s="66">
        <f t="shared" si="61"/>
        <v>0</v>
      </c>
      <c r="R294" s="164">
        <f t="shared" si="58"/>
        <v>52.303081708748664</v>
      </c>
      <c r="S294" s="142">
        <f t="shared" si="59"/>
        <v>-28.696918291251336</v>
      </c>
      <c r="T294" s="163"/>
      <c r="V294" s="17"/>
    </row>
    <row r="295" spans="1:22" x14ac:dyDescent="0.25">
      <c r="A295" s="57">
        <f>'A) Base RI'!A296</f>
        <v>5913</v>
      </c>
      <c r="B295" s="64" t="str">
        <f>'A) Base RI'!B296</f>
        <v>Donneloye</v>
      </c>
      <c r="C295" s="172">
        <v>422534.05479061027</v>
      </c>
      <c r="D295" s="173">
        <v>129031.47261787299</v>
      </c>
      <c r="E295" s="174">
        <v>0</v>
      </c>
      <c r="F295" s="173">
        <v>0</v>
      </c>
      <c r="G295" s="173">
        <v>0</v>
      </c>
      <c r="H295" s="175">
        <f t="shared" si="54"/>
        <v>551565.52740848321</v>
      </c>
      <c r="I295" s="233">
        <v>23116.238767123283</v>
      </c>
      <c r="J295" s="109">
        <f>'B) D RI'!U296</f>
        <v>21023.999589041094</v>
      </c>
      <c r="K295" s="76">
        <f t="shared" si="60"/>
        <v>23.860522162149444</v>
      </c>
      <c r="L295" s="41">
        <f>'B) D RI'!S296</f>
        <v>73</v>
      </c>
      <c r="M295" s="41">
        <f t="shared" si="62"/>
        <v>49.139477837850556</v>
      </c>
      <c r="N295" s="142">
        <f>'J) Plafonnement effort'!G294+'J) Plafonnement effort'!H294-'K) Plafonnement aide'!I294</f>
        <v>15.332920657437999</v>
      </c>
      <c r="O295" s="142">
        <f t="shared" si="56"/>
        <v>64.472398495288559</v>
      </c>
      <c r="P295" s="55">
        <f t="shared" si="57"/>
        <v>0</v>
      </c>
      <c r="Q295" s="66">
        <f t="shared" si="61"/>
        <v>0</v>
      </c>
      <c r="R295" s="164">
        <f t="shared" si="58"/>
        <v>64.472398495288559</v>
      </c>
      <c r="S295" s="142">
        <f t="shared" si="59"/>
        <v>-8.5276015047114413</v>
      </c>
      <c r="T295" s="163"/>
      <c r="V295" s="17"/>
    </row>
    <row r="296" spans="1:22" x14ac:dyDescent="0.25">
      <c r="A296" s="57">
        <f>'A) Base RI'!A297</f>
        <v>5914</v>
      </c>
      <c r="B296" s="64" t="str">
        <f>'A) Base RI'!B297</f>
        <v>Ependes</v>
      </c>
      <c r="C296" s="172">
        <v>144111.80625584919</v>
      </c>
      <c r="D296" s="173">
        <v>-16030.968168425956</v>
      </c>
      <c r="E296" s="174">
        <v>0</v>
      </c>
      <c r="F296" s="173">
        <v>0</v>
      </c>
      <c r="G296" s="173">
        <v>0</v>
      </c>
      <c r="H296" s="175">
        <f t="shared" si="54"/>
        <v>128080.83808742324</v>
      </c>
      <c r="I296" s="233">
        <v>8750.2923999999985</v>
      </c>
      <c r="J296" s="109">
        <f>'B) D RI'!U297</f>
        <v>8838.0616000000009</v>
      </c>
      <c r="K296" s="76">
        <f t="shared" si="60"/>
        <v>14.637320929689533</v>
      </c>
      <c r="L296" s="41">
        <f>'B) D RI'!S297</f>
        <v>75</v>
      </c>
      <c r="M296" s="41">
        <f t="shared" si="62"/>
        <v>60.362679070310463</v>
      </c>
      <c r="N296" s="142">
        <f>'J) Plafonnement effort'!G295+'J) Plafonnement effort'!H295-'K) Plafonnement aide'!I295</f>
        <v>8.7605367705255031</v>
      </c>
      <c r="O296" s="142">
        <f t="shared" si="56"/>
        <v>69.123215840835968</v>
      </c>
      <c r="P296" s="55">
        <f t="shared" si="57"/>
        <v>0</v>
      </c>
      <c r="Q296" s="66">
        <f t="shared" si="61"/>
        <v>0</v>
      </c>
      <c r="R296" s="164">
        <f t="shared" si="58"/>
        <v>69.123215840835968</v>
      </c>
      <c r="S296" s="142">
        <f t="shared" si="59"/>
        <v>-5.876784159164032</v>
      </c>
      <c r="T296" s="163"/>
      <c r="V296" s="17"/>
    </row>
    <row r="297" spans="1:22" x14ac:dyDescent="0.25">
      <c r="A297" s="57">
        <f>'A) Base RI'!A298</f>
        <v>5919</v>
      </c>
      <c r="B297" s="64" t="str">
        <f>'A) Base RI'!B298</f>
        <v>Mathod</v>
      </c>
      <c r="C297" s="172">
        <v>258624.95987134543</v>
      </c>
      <c r="D297" s="173">
        <v>40992.713743613334</v>
      </c>
      <c r="E297" s="174">
        <v>0</v>
      </c>
      <c r="F297" s="173">
        <v>0</v>
      </c>
      <c r="G297" s="173">
        <v>0</v>
      </c>
      <c r="H297" s="175">
        <f>SUM(C297:G297)</f>
        <v>299617.67361495877</v>
      </c>
      <c r="I297" s="233">
        <v>16260.723851351351</v>
      </c>
      <c r="J297" s="109">
        <f>'B) D RI'!U298</f>
        <v>16883.878828828827</v>
      </c>
      <c r="K297" s="76">
        <f t="shared" si="60"/>
        <v>18.42585092483807</v>
      </c>
      <c r="L297" s="41">
        <f>'B) D RI'!S298</f>
        <v>74</v>
      </c>
      <c r="M297" s="41">
        <f t="shared" si="62"/>
        <v>55.574149075161927</v>
      </c>
      <c r="N297" s="142">
        <f>'J) Plafonnement effort'!G296+'J) Plafonnement effort'!H296-'K) Plafonnement aide'!I296</f>
        <v>15.200938798298086</v>
      </c>
      <c r="O297" s="142">
        <f t="shared" si="56"/>
        <v>70.775087873460009</v>
      </c>
      <c r="P297" s="55">
        <f t="shared" si="57"/>
        <v>0</v>
      </c>
      <c r="Q297" s="66">
        <f t="shared" si="61"/>
        <v>0</v>
      </c>
      <c r="R297" s="164">
        <f t="shared" si="58"/>
        <v>70.775087873460009</v>
      </c>
      <c r="S297" s="142">
        <f t="shared" si="59"/>
        <v>-3.2249121265399907</v>
      </c>
      <c r="T297" s="163"/>
      <c r="V297" s="17"/>
    </row>
    <row r="298" spans="1:22" x14ac:dyDescent="0.25">
      <c r="A298" s="57">
        <f>'A) Base RI'!A299</f>
        <v>5921</v>
      </c>
      <c r="B298" s="64" t="str">
        <f>'A) Base RI'!B299</f>
        <v>Molondin</v>
      </c>
      <c r="C298" s="172">
        <v>108780.37627750231</v>
      </c>
      <c r="D298" s="173">
        <v>-59497.207377469967</v>
      </c>
      <c r="E298" s="174">
        <v>0</v>
      </c>
      <c r="F298" s="173">
        <v>0</v>
      </c>
      <c r="G298" s="173">
        <v>0</v>
      </c>
      <c r="H298" s="175">
        <f t="shared" si="54"/>
        <v>49283.168900032339</v>
      </c>
      <c r="I298" s="233">
        <v>4932.1140740740739</v>
      </c>
      <c r="J298" s="109">
        <f>'B) D RI'!U299</f>
        <v>5518.0840740740732</v>
      </c>
      <c r="K298" s="76">
        <f t="shared" si="60"/>
        <v>9.9923011025012585</v>
      </c>
      <c r="L298" s="41">
        <f>'B) D RI'!S299</f>
        <v>81</v>
      </c>
      <c r="M298" s="41">
        <f t="shared" si="62"/>
        <v>71.007698897498742</v>
      </c>
      <c r="N298" s="142">
        <f>'J) Plafonnement effort'!G297+'J) Plafonnement effort'!H297-'K) Plafonnement aide'!I297</f>
        <v>0.64780879218912979</v>
      </c>
      <c r="O298" s="142">
        <f t="shared" si="56"/>
        <v>71.655507689687866</v>
      </c>
      <c r="P298" s="55">
        <f t="shared" si="57"/>
        <v>0</v>
      </c>
      <c r="Q298" s="66">
        <f t="shared" si="61"/>
        <v>0</v>
      </c>
      <c r="R298" s="164">
        <f t="shared" si="58"/>
        <v>71.655507689687866</v>
      </c>
      <c r="S298" s="142">
        <f t="shared" si="59"/>
        <v>-9.344492310312134</v>
      </c>
      <c r="T298" s="163"/>
      <c r="V298" s="17"/>
    </row>
    <row r="299" spans="1:22" x14ac:dyDescent="0.25">
      <c r="A299" s="57">
        <f>'A) Base RI'!A300</f>
        <v>5922</v>
      </c>
      <c r="B299" s="64" t="str">
        <f>'A) Base RI'!B300</f>
        <v>Montagny-près-Yverdon</v>
      </c>
      <c r="C299" s="172">
        <v>1252799.7224090502</v>
      </c>
      <c r="D299" s="173">
        <v>864431.14048057667</v>
      </c>
      <c r="E299" s="174">
        <v>0</v>
      </c>
      <c r="F299" s="173">
        <v>0</v>
      </c>
      <c r="G299" s="173">
        <v>0</v>
      </c>
      <c r="H299" s="175">
        <f t="shared" si="54"/>
        <v>2117230.862889627</v>
      </c>
      <c r="I299" s="233">
        <v>54274.18045081968</v>
      </c>
      <c r="J299" s="109">
        <f>'B) D RI'!U300</f>
        <v>45028.443278688515</v>
      </c>
      <c r="K299" s="76">
        <f t="shared" si="60"/>
        <v>39.009909413706332</v>
      </c>
      <c r="L299" s="41">
        <f>'B) D RI'!S300</f>
        <v>61</v>
      </c>
      <c r="M299" s="41">
        <f t="shared" si="62"/>
        <v>21.990090586293668</v>
      </c>
      <c r="N299" s="142">
        <f>'J) Plafonnement effort'!G298+'J) Plafonnement effort'!H298-'K) Plafonnement aide'!I298</f>
        <v>32.680270232798897</v>
      </c>
      <c r="O299" s="142">
        <f t="shared" si="56"/>
        <v>54.670360819092565</v>
      </c>
      <c r="P299" s="55">
        <f t="shared" si="57"/>
        <v>0</v>
      </c>
      <c r="Q299" s="66">
        <f t="shared" si="61"/>
        <v>0</v>
      </c>
      <c r="R299" s="164">
        <f t="shared" si="58"/>
        <v>54.670360819092565</v>
      </c>
      <c r="S299" s="142">
        <f t="shared" si="59"/>
        <v>-6.329639180907435</v>
      </c>
      <c r="T299" s="163"/>
      <c r="V299" s="17"/>
    </row>
    <row r="300" spans="1:22" x14ac:dyDescent="0.25">
      <c r="A300" s="57">
        <f>'A) Base RI'!A301</f>
        <v>5923</v>
      </c>
      <c r="B300" s="64" t="str">
        <f>'A) Base RI'!B301</f>
        <v>Oppens</v>
      </c>
      <c r="C300" s="172">
        <v>103186.21932670099</v>
      </c>
      <c r="D300" s="173">
        <v>-8364.6747540661454</v>
      </c>
      <c r="E300" s="174">
        <v>0</v>
      </c>
      <c r="F300" s="173">
        <v>0</v>
      </c>
      <c r="G300" s="173">
        <v>0</v>
      </c>
      <c r="H300" s="175">
        <f t="shared" si="54"/>
        <v>94821.544572634841</v>
      </c>
      <c r="I300" s="233">
        <v>4902.1274074074072</v>
      </c>
      <c r="J300" s="109">
        <f>'B) D RI'!U301</f>
        <v>4881.0219753086412</v>
      </c>
      <c r="K300" s="76">
        <f t="shared" si="60"/>
        <v>19.342937604876166</v>
      </c>
      <c r="L300" s="41">
        <f>'B) D RI'!S301</f>
        <v>81</v>
      </c>
      <c r="M300" s="41">
        <f t="shared" si="62"/>
        <v>61.65706239512383</v>
      </c>
      <c r="N300" s="142">
        <f>'J) Plafonnement effort'!G299+'J) Plafonnement effort'!H299-'K) Plafonnement aide'!I299</f>
        <v>10.763077003527908</v>
      </c>
      <c r="O300" s="142">
        <f t="shared" si="56"/>
        <v>72.420139398651742</v>
      </c>
      <c r="P300" s="55">
        <f t="shared" si="57"/>
        <v>0</v>
      </c>
      <c r="Q300" s="66">
        <f t="shared" si="61"/>
        <v>0</v>
      </c>
      <c r="R300" s="164">
        <f t="shared" si="58"/>
        <v>72.420139398651742</v>
      </c>
      <c r="S300" s="142">
        <f t="shared" si="59"/>
        <v>-8.5798606013482583</v>
      </c>
      <c r="T300" s="163"/>
      <c r="V300" s="17"/>
    </row>
    <row r="301" spans="1:22" x14ac:dyDescent="0.25">
      <c r="A301" s="57">
        <f>'A) Base RI'!A302</f>
        <v>5924</v>
      </c>
      <c r="B301" s="64" t="str">
        <f>'A) Base RI'!B302</f>
        <v>Orges</v>
      </c>
      <c r="C301" s="172">
        <v>184509.99383812957</v>
      </c>
      <c r="D301" s="173">
        <v>72129.034929890826</v>
      </c>
      <c r="E301" s="174">
        <v>0</v>
      </c>
      <c r="F301" s="173">
        <v>0</v>
      </c>
      <c r="G301" s="173">
        <v>0</v>
      </c>
      <c r="H301" s="175">
        <f t="shared" si="54"/>
        <v>256639.02876802039</v>
      </c>
      <c r="I301" s="233">
        <v>9002.8555405405405</v>
      </c>
      <c r="J301" s="109">
        <f>'B) D RI'!U302</f>
        <v>9476.448378378378</v>
      </c>
      <c r="K301" s="76">
        <f t="shared" si="60"/>
        <v>28.506403064267264</v>
      </c>
      <c r="L301" s="41">
        <f>'B) D RI'!S302</f>
        <v>74</v>
      </c>
      <c r="M301" s="41">
        <f t="shared" si="62"/>
        <v>45.493596935732739</v>
      </c>
      <c r="N301" s="142">
        <f>'J) Plafonnement effort'!G300+'J) Plafonnement effort'!H300-'K) Plafonnement aide'!I300</f>
        <v>24.249515257705518</v>
      </c>
      <c r="O301" s="142">
        <f t="shared" si="56"/>
        <v>69.743112193438265</v>
      </c>
      <c r="P301" s="55">
        <f t="shared" si="57"/>
        <v>0</v>
      </c>
      <c r="Q301" s="66">
        <f t="shared" si="61"/>
        <v>0</v>
      </c>
      <c r="R301" s="164">
        <f t="shared" si="58"/>
        <v>69.743112193438265</v>
      </c>
      <c r="S301" s="142">
        <f t="shared" si="59"/>
        <v>-4.2568878065617355</v>
      </c>
      <c r="T301" s="163"/>
      <c r="V301" s="17"/>
    </row>
    <row r="302" spans="1:22" x14ac:dyDescent="0.25">
      <c r="A302" s="57">
        <f>'A) Base RI'!A303</f>
        <v>5925</v>
      </c>
      <c r="B302" s="64" t="str">
        <f>'A) Base RI'!B303</f>
        <v>Orzens</v>
      </c>
      <c r="C302" s="172">
        <v>82629.187159283989</v>
      </c>
      <c r="D302" s="173">
        <v>-32413.692818824173</v>
      </c>
      <c r="E302" s="174">
        <v>0</v>
      </c>
      <c r="F302" s="173">
        <v>0</v>
      </c>
      <c r="G302" s="173">
        <v>0</v>
      </c>
      <c r="H302" s="175">
        <f t="shared" si="54"/>
        <v>50215.494340459816</v>
      </c>
      <c r="I302" s="233">
        <v>5053.7527848101263</v>
      </c>
      <c r="J302" s="109">
        <f>'B) D RI'!U303</f>
        <v>4875.4426582278484</v>
      </c>
      <c r="K302" s="76">
        <f t="shared" si="60"/>
        <v>9.9362783417880323</v>
      </c>
      <c r="L302" s="41">
        <f>'B) D RI'!S303</f>
        <v>79</v>
      </c>
      <c r="M302" s="41">
        <f t="shared" si="62"/>
        <v>69.063721658211961</v>
      </c>
      <c r="N302" s="142">
        <f>'J) Plafonnement effort'!G301+'J) Plafonnement effort'!H301-'K) Plafonnement aide'!I301</f>
        <v>8.5780319216125847</v>
      </c>
      <c r="O302" s="142">
        <f t="shared" si="56"/>
        <v>77.641753579824552</v>
      </c>
      <c r="P302" s="55">
        <f t="shared" si="57"/>
        <v>0</v>
      </c>
      <c r="Q302" s="66">
        <f t="shared" si="61"/>
        <v>0</v>
      </c>
      <c r="R302" s="164">
        <f t="shared" si="58"/>
        <v>77.641753579824552</v>
      </c>
      <c r="S302" s="142">
        <f t="shared" si="59"/>
        <v>-1.3582464201754476</v>
      </c>
      <c r="T302" s="163"/>
      <c r="V302" s="17"/>
    </row>
    <row r="303" spans="1:22" x14ac:dyDescent="0.25">
      <c r="A303" s="57">
        <f>'A) Base RI'!A304</f>
        <v>5926</v>
      </c>
      <c r="B303" s="64" t="str">
        <f>'A) Base RI'!B304</f>
        <v>Pomy</v>
      </c>
      <c r="C303" s="172">
        <v>377155.21418822976</v>
      </c>
      <c r="D303" s="173">
        <v>94954.252954900672</v>
      </c>
      <c r="E303" s="174">
        <v>0</v>
      </c>
      <c r="F303" s="173">
        <v>0</v>
      </c>
      <c r="G303" s="173">
        <v>0</v>
      </c>
      <c r="H303" s="175">
        <f t="shared" si="54"/>
        <v>472109.46714313043</v>
      </c>
      <c r="I303" s="233">
        <v>21029.126197183101</v>
      </c>
      <c r="J303" s="109">
        <f>'B) D RI'!U304</f>
        <v>22774.42661971831</v>
      </c>
      <c r="K303" s="76">
        <f t="shared" si="60"/>
        <v>22.450265537251404</v>
      </c>
      <c r="L303" s="41">
        <f>'B) D RI'!S304</f>
        <v>71</v>
      </c>
      <c r="M303" s="41">
        <f t="shared" si="62"/>
        <v>48.549734462748596</v>
      </c>
      <c r="N303" s="142">
        <f>'J) Plafonnement effort'!G302+'J) Plafonnement effort'!H302-'K) Plafonnement aide'!I302</f>
        <v>22.566286925363819</v>
      </c>
      <c r="O303" s="142">
        <f t="shared" si="56"/>
        <v>71.116021388112415</v>
      </c>
      <c r="P303" s="55">
        <f t="shared" si="57"/>
        <v>0</v>
      </c>
      <c r="Q303" s="66">
        <f t="shared" si="61"/>
        <v>0</v>
      </c>
      <c r="R303" s="164">
        <f t="shared" si="58"/>
        <v>71.116021388112415</v>
      </c>
      <c r="S303" s="142">
        <f t="shared" si="59"/>
        <v>0.11602138811241502</v>
      </c>
      <c r="T303" s="163"/>
      <c r="V303" s="17"/>
    </row>
    <row r="304" spans="1:22" x14ac:dyDescent="0.25">
      <c r="A304" s="57">
        <f>'A) Base RI'!A305</f>
        <v>5928</v>
      </c>
      <c r="B304" s="64" t="str">
        <f>'A) Base RI'!B305</f>
        <v>Rovray</v>
      </c>
      <c r="C304" s="172">
        <v>89784.616502948542</v>
      </c>
      <c r="D304" s="173">
        <v>9565.0085782616516</v>
      </c>
      <c r="E304" s="174">
        <v>0</v>
      </c>
      <c r="F304" s="173">
        <v>0</v>
      </c>
      <c r="G304" s="173">
        <v>0</v>
      </c>
      <c r="H304" s="175">
        <f t="shared" si="54"/>
        <v>99349.625081210193</v>
      </c>
      <c r="I304" s="233">
        <v>4897.1457333333328</v>
      </c>
      <c r="J304" s="109">
        <f>'B) D RI'!U305</f>
        <v>4451.7282191780823</v>
      </c>
      <c r="K304" s="76">
        <f t="shared" si="60"/>
        <v>20.287251082802886</v>
      </c>
      <c r="L304" s="41">
        <f>'B) D RI'!S305</f>
        <v>73</v>
      </c>
      <c r="M304" s="41">
        <f t="shared" si="62"/>
        <v>52.712748917197118</v>
      </c>
      <c r="N304" s="142">
        <f>'J) Plafonnement effort'!G303+'J) Plafonnement effort'!H303-'K) Plafonnement aide'!I303</f>
        <v>13.936270818674952</v>
      </c>
      <c r="O304" s="142">
        <f t="shared" si="56"/>
        <v>66.649019735872074</v>
      </c>
      <c r="P304" s="55">
        <f t="shared" si="57"/>
        <v>0</v>
      </c>
      <c r="Q304" s="66">
        <f t="shared" si="61"/>
        <v>0</v>
      </c>
      <c r="R304" s="164">
        <f t="shared" si="58"/>
        <v>66.649019735872074</v>
      </c>
      <c r="S304" s="142">
        <f t="shared" si="59"/>
        <v>-6.3509802641279265</v>
      </c>
      <c r="T304" s="163"/>
      <c r="V304" s="17"/>
    </row>
    <row r="305" spans="1:22" x14ac:dyDescent="0.25">
      <c r="A305" s="57">
        <f>'A) Base RI'!A306</f>
        <v>5929</v>
      </c>
      <c r="B305" s="64" t="str">
        <f>'A) Base RI'!B306</f>
        <v>Suchy</v>
      </c>
      <c r="C305" s="172">
        <v>267860.27544907515</v>
      </c>
      <c r="D305" s="173">
        <v>101634.57246343332</v>
      </c>
      <c r="E305" s="174">
        <v>0</v>
      </c>
      <c r="F305" s="173">
        <v>0</v>
      </c>
      <c r="G305" s="173">
        <v>0</v>
      </c>
      <c r="H305" s="175">
        <f t="shared" si="54"/>
        <v>369494.84791250847</v>
      </c>
      <c r="I305" s="233">
        <v>16083.913284313729</v>
      </c>
      <c r="J305" s="109">
        <f>'B) D RI'!U306</f>
        <v>16583.788428571432</v>
      </c>
      <c r="K305" s="76">
        <f t="shared" si="60"/>
        <v>22.972944542847561</v>
      </c>
      <c r="L305" s="41">
        <f>'B) D RI'!S306</f>
        <v>70</v>
      </c>
      <c r="M305" s="41">
        <f t="shared" si="62"/>
        <v>47.027055457152443</v>
      </c>
      <c r="N305" s="142">
        <f>'J) Plafonnement effort'!G304+'J) Plafonnement effort'!H304-'K) Plafonnement aide'!I304</f>
        <v>18.277001404393186</v>
      </c>
      <c r="O305" s="142">
        <f t="shared" si="56"/>
        <v>65.304056861545632</v>
      </c>
      <c r="P305" s="55">
        <f t="shared" si="57"/>
        <v>0</v>
      </c>
      <c r="Q305" s="66">
        <f t="shared" si="61"/>
        <v>0</v>
      </c>
      <c r="R305" s="164">
        <f t="shared" si="58"/>
        <v>65.304056861545632</v>
      </c>
      <c r="S305" s="142">
        <f t="shared" si="59"/>
        <v>-4.6959431384543677</v>
      </c>
      <c r="T305" s="163"/>
      <c r="V305" s="17"/>
    </row>
    <row r="306" spans="1:22" x14ac:dyDescent="0.25">
      <c r="A306" s="57">
        <f>'A) Base RI'!A307</f>
        <v>5930</v>
      </c>
      <c r="B306" s="64" t="str">
        <f>'A) Base RI'!B307</f>
        <v>Suscévaz</v>
      </c>
      <c r="C306" s="172">
        <v>85577.163382249681</v>
      </c>
      <c r="D306" s="173">
        <v>15335.080139786558</v>
      </c>
      <c r="E306" s="174">
        <v>0</v>
      </c>
      <c r="F306" s="173">
        <v>0</v>
      </c>
      <c r="G306" s="173">
        <v>0</v>
      </c>
      <c r="H306" s="175">
        <f t="shared" si="54"/>
        <v>100912.24352203624</v>
      </c>
      <c r="I306" s="233">
        <v>5208.083787878787</v>
      </c>
      <c r="J306" s="109">
        <f>'B) D RI'!U307</f>
        <v>4886.5228787878787</v>
      </c>
      <c r="K306" s="76">
        <f t="shared" si="60"/>
        <v>19.376079117025309</v>
      </c>
      <c r="L306" s="41">
        <f>'B) D RI'!S307</f>
        <v>66</v>
      </c>
      <c r="M306" s="41">
        <f t="shared" si="62"/>
        <v>46.623920882974687</v>
      </c>
      <c r="N306" s="142">
        <f>'J) Plafonnement effort'!G305+'J) Plafonnement effort'!H305-'K) Plafonnement aide'!I305</f>
        <v>17.259520994482372</v>
      </c>
      <c r="O306" s="142">
        <f t="shared" si="56"/>
        <v>63.883441877457059</v>
      </c>
      <c r="P306" s="55">
        <f t="shared" si="57"/>
        <v>0</v>
      </c>
      <c r="Q306" s="66">
        <f t="shared" si="61"/>
        <v>0</v>
      </c>
      <c r="R306" s="164">
        <f t="shared" si="58"/>
        <v>63.883441877457059</v>
      </c>
      <c r="S306" s="142">
        <f t="shared" si="59"/>
        <v>-2.1165581225429406</v>
      </c>
      <c r="T306" s="163"/>
      <c r="V306" s="17"/>
    </row>
    <row r="307" spans="1:22" x14ac:dyDescent="0.25">
      <c r="A307" s="57">
        <f>'A) Base RI'!A308</f>
        <v>5931</v>
      </c>
      <c r="B307" s="64" t="str">
        <f>'A) Base RI'!B308</f>
        <v>Treycovagnes</v>
      </c>
      <c r="C307" s="172">
        <v>257709.02502001394</v>
      </c>
      <c r="D307" s="173">
        <v>61015.303133369336</v>
      </c>
      <c r="E307" s="174">
        <v>0</v>
      </c>
      <c r="F307" s="173">
        <v>0</v>
      </c>
      <c r="G307" s="173">
        <v>-1630.4269537881116</v>
      </c>
      <c r="H307" s="175">
        <f t="shared" si="54"/>
        <v>317093.90119959519</v>
      </c>
      <c r="I307" s="233">
        <v>13922.074155844155</v>
      </c>
      <c r="J307" s="109">
        <f>'B) D RI'!U308</f>
        <v>16368.774155844154</v>
      </c>
      <c r="K307" s="76">
        <f t="shared" si="60"/>
        <v>22.7763404827496</v>
      </c>
      <c r="L307" s="41">
        <f>'B) D RI'!S308</f>
        <v>77</v>
      </c>
      <c r="M307" s="41">
        <f t="shared" si="62"/>
        <v>54.223659517250397</v>
      </c>
      <c r="N307" s="142">
        <f>'J) Plafonnement effort'!G306+'J) Plafonnement effort'!H306-'K) Plafonnement aide'!I306</f>
        <v>26.544290366608806</v>
      </c>
      <c r="O307" s="142">
        <f t="shared" si="56"/>
        <v>80.767949883859202</v>
      </c>
      <c r="P307" s="55">
        <f t="shared" si="57"/>
        <v>0</v>
      </c>
      <c r="Q307" s="66">
        <f t="shared" si="61"/>
        <v>0</v>
      </c>
      <c r="R307" s="164">
        <f t="shared" si="58"/>
        <v>80.767949883859202</v>
      </c>
      <c r="S307" s="142">
        <f t="shared" si="59"/>
        <v>3.7679498838592025</v>
      </c>
      <c r="T307" s="163"/>
      <c r="V307" s="17"/>
    </row>
    <row r="308" spans="1:22" x14ac:dyDescent="0.25">
      <c r="A308" s="57">
        <f>'A) Base RI'!A309</f>
        <v>5932</v>
      </c>
      <c r="B308" s="64" t="str">
        <f>'A) Base RI'!B309</f>
        <v>Ursins</v>
      </c>
      <c r="C308" s="172">
        <v>84567.584155109813</v>
      </c>
      <c r="D308" s="173">
        <v>-9031.2701260052854</v>
      </c>
      <c r="E308" s="174">
        <v>0</v>
      </c>
      <c r="F308" s="173">
        <v>0</v>
      </c>
      <c r="G308" s="173">
        <v>0</v>
      </c>
      <c r="H308" s="175">
        <f t="shared" si="54"/>
        <v>75536.314029104527</v>
      </c>
      <c r="I308" s="233">
        <v>5429.3069230769233</v>
      </c>
      <c r="J308" s="109">
        <f>'B) D RI'!U309</f>
        <v>6366.2738461538456</v>
      </c>
      <c r="K308" s="76">
        <f t="shared" si="60"/>
        <v>13.912699189659408</v>
      </c>
      <c r="L308" s="41">
        <f>'B) D RI'!S309</f>
        <v>78</v>
      </c>
      <c r="M308" s="41">
        <f t="shared" si="62"/>
        <v>64.087300810340594</v>
      </c>
      <c r="N308" s="142">
        <f>'J) Plafonnement effort'!G307+'J) Plafonnement effort'!H307-'K) Plafonnement aide'!I307</f>
        <v>-3.0783301857385617</v>
      </c>
      <c r="O308" s="142">
        <f t="shared" si="56"/>
        <v>61.008970624602028</v>
      </c>
      <c r="P308" s="55">
        <f t="shared" si="57"/>
        <v>0</v>
      </c>
      <c r="Q308" s="66">
        <f t="shared" si="61"/>
        <v>0</v>
      </c>
      <c r="R308" s="164">
        <f t="shared" si="58"/>
        <v>61.008970624602028</v>
      </c>
      <c r="S308" s="142">
        <f t="shared" si="59"/>
        <v>-16.991029375397972</v>
      </c>
      <c r="T308" s="163"/>
      <c r="V308" s="17"/>
    </row>
    <row r="309" spans="1:22" x14ac:dyDescent="0.25">
      <c r="A309" s="57">
        <f>'A) Base RI'!A310</f>
        <v>5933</v>
      </c>
      <c r="B309" s="64" t="str">
        <f>'A) Base RI'!B310</f>
        <v>Valeyres-sous-Montagny</v>
      </c>
      <c r="C309" s="172">
        <v>318519.05908067926</v>
      </c>
      <c r="D309" s="173">
        <v>6711.8545704468852</v>
      </c>
      <c r="E309" s="174">
        <v>0</v>
      </c>
      <c r="F309" s="173">
        <v>0</v>
      </c>
      <c r="G309" s="173">
        <v>0</v>
      </c>
      <c r="H309" s="175">
        <f t="shared" si="54"/>
        <v>325230.91365112615</v>
      </c>
      <c r="I309" s="233">
        <v>17165.971111111114</v>
      </c>
      <c r="J309" s="109">
        <f>'B) D RI'!U310</f>
        <v>19578.46263888889</v>
      </c>
      <c r="K309" s="76">
        <f t="shared" si="60"/>
        <v>18.946257776270642</v>
      </c>
      <c r="L309" s="41">
        <f>'B) D RI'!S310</f>
        <v>72</v>
      </c>
      <c r="M309" s="41">
        <f t="shared" si="62"/>
        <v>53.053742223729358</v>
      </c>
      <c r="N309" s="142">
        <f>'J) Plafonnement effort'!G308+'J) Plafonnement effort'!H308-'K) Plafonnement aide'!I308</f>
        <v>6.2041503471517245</v>
      </c>
      <c r="O309" s="142">
        <f t="shared" si="56"/>
        <v>59.257892570881083</v>
      </c>
      <c r="P309" s="55">
        <f t="shared" si="57"/>
        <v>0</v>
      </c>
      <c r="Q309" s="66">
        <f t="shared" si="61"/>
        <v>0</v>
      </c>
      <c r="R309" s="164">
        <f t="shared" si="58"/>
        <v>59.257892570881083</v>
      </c>
      <c r="S309" s="142">
        <f t="shared" si="59"/>
        <v>-12.742107429118917</v>
      </c>
      <c r="T309" s="163"/>
      <c r="V309" s="17"/>
    </row>
    <row r="310" spans="1:22" x14ac:dyDescent="0.25">
      <c r="A310" s="57">
        <f>'A) Base RI'!A311</f>
        <v>5934</v>
      </c>
      <c r="B310" s="64" t="str">
        <f>'A) Base RI'!B311</f>
        <v>Valeyres-sous-Ursins</v>
      </c>
      <c r="C310" s="172">
        <v>124439.42991626558</v>
      </c>
      <c r="D310" s="173">
        <v>-5763.1340427808027</v>
      </c>
      <c r="E310" s="174">
        <v>0</v>
      </c>
      <c r="F310" s="173">
        <v>0</v>
      </c>
      <c r="G310" s="173">
        <v>0</v>
      </c>
      <c r="H310" s="175">
        <f t="shared" si="54"/>
        <v>118676.29587348478</v>
      </c>
      <c r="I310" s="233">
        <v>6602.430506329114</v>
      </c>
      <c r="J310" s="109">
        <f>'B) D RI'!U311</f>
        <v>6856.0722784810141</v>
      </c>
      <c r="K310" s="76">
        <f t="shared" si="60"/>
        <v>17.974637636809845</v>
      </c>
      <c r="L310" s="41">
        <f>'B) D RI'!S311</f>
        <v>79</v>
      </c>
      <c r="M310" s="41">
        <f t="shared" si="62"/>
        <v>61.025362363190155</v>
      </c>
      <c r="N310" s="142">
        <f>'J) Plafonnement effort'!G309+'J) Plafonnement effort'!H309-'K) Plafonnement aide'!I309</f>
        <v>15.875020459875891</v>
      </c>
      <c r="O310" s="142">
        <f t="shared" si="56"/>
        <v>76.900382823066053</v>
      </c>
      <c r="P310" s="55">
        <f t="shared" si="57"/>
        <v>0</v>
      </c>
      <c r="Q310" s="66">
        <f t="shared" si="61"/>
        <v>0</v>
      </c>
      <c r="R310" s="164">
        <f t="shared" si="58"/>
        <v>76.900382823066053</v>
      </c>
      <c r="S310" s="142">
        <f t="shared" si="59"/>
        <v>-2.0996171769339469</v>
      </c>
      <c r="T310" s="163"/>
      <c r="V310" s="17"/>
    </row>
    <row r="311" spans="1:22" x14ac:dyDescent="0.25">
      <c r="A311" s="57">
        <f>'A) Base RI'!A312</f>
        <v>5935</v>
      </c>
      <c r="B311" s="64" t="str">
        <f>'A) Base RI'!B312</f>
        <v>Villars-Epeney</v>
      </c>
      <c r="C311" s="172">
        <v>131295.59559428346</v>
      </c>
      <c r="D311" s="173">
        <v>104263.64781422596</v>
      </c>
      <c r="E311" s="174">
        <v>0</v>
      </c>
      <c r="F311" s="173">
        <v>0</v>
      </c>
      <c r="G311" s="173">
        <v>0</v>
      </c>
      <c r="H311" s="175">
        <f t="shared" si="54"/>
        <v>235559.24340850941</v>
      </c>
      <c r="I311" s="233">
        <v>6478.5808333333343</v>
      </c>
      <c r="J311" s="109">
        <f>'B) D RI'!U312</f>
        <v>4252.6353333333336</v>
      </c>
      <c r="K311" s="76">
        <f t="shared" si="60"/>
        <v>36.359698129645835</v>
      </c>
      <c r="L311" s="41">
        <f>'B) D RI'!S312</f>
        <v>60</v>
      </c>
      <c r="M311" s="41">
        <f t="shared" si="62"/>
        <v>23.640301870354165</v>
      </c>
      <c r="N311" s="142">
        <f>'J) Plafonnement effort'!G310+'J) Plafonnement effort'!H310-'K) Plafonnement aide'!I310</f>
        <v>29.122789032126054</v>
      </c>
      <c r="O311" s="142">
        <f t="shared" si="56"/>
        <v>52.763090902480215</v>
      </c>
      <c r="P311" s="55">
        <f t="shared" si="57"/>
        <v>0</v>
      </c>
      <c r="Q311" s="66">
        <f t="shared" si="61"/>
        <v>0</v>
      </c>
      <c r="R311" s="164">
        <f t="shared" si="58"/>
        <v>52.763090902480215</v>
      </c>
      <c r="S311" s="142">
        <f t="shared" si="59"/>
        <v>-7.236909097519785</v>
      </c>
      <c r="T311" s="163"/>
      <c r="V311" s="17"/>
    </row>
    <row r="312" spans="1:22" x14ac:dyDescent="0.25">
      <c r="A312" s="57">
        <f>'A) Base RI'!A313</f>
        <v>5937</v>
      </c>
      <c r="B312" s="64" t="str">
        <f>'A) Base RI'!B313</f>
        <v>Vugelles-La Mothe</v>
      </c>
      <c r="C312" s="172">
        <v>33051.244947691215</v>
      </c>
      <c r="D312" s="173">
        <v>-48289.717369470934</v>
      </c>
      <c r="E312" s="174">
        <v>1400.1150238205421</v>
      </c>
      <c r="F312" s="173">
        <v>0</v>
      </c>
      <c r="G312" s="173">
        <v>0</v>
      </c>
      <c r="H312" s="175">
        <f t="shared" si="54"/>
        <v>-13838.357397959177</v>
      </c>
      <c r="I312" s="233">
        <v>2128.9780612244899</v>
      </c>
      <c r="J312" s="109">
        <f>'B) D RI'!U313</f>
        <v>2272.9823469387752</v>
      </c>
      <c r="K312" s="76">
        <f t="shared" si="60"/>
        <v>-6.4999999999999964</v>
      </c>
      <c r="L312" s="41">
        <f>'B) D RI'!S313</f>
        <v>70</v>
      </c>
      <c r="M312" s="41">
        <f t="shared" si="62"/>
        <v>76.5</v>
      </c>
      <c r="N312" s="142">
        <f>'J) Plafonnement effort'!G311+'J) Plafonnement effort'!H311-'K) Plafonnement aide'!I311</f>
        <v>-14.549683358156708</v>
      </c>
      <c r="O312" s="142">
        <f t="shared" si="56"/>
        <v>61.950316641843294</v>
      </c>
      <c r="P312" s="55">
        <f t="shared" si="57"/>
        <v>0</v>
      </c>
      <c r="Q312" s="66">
        <f t="shared" si="61"/>
        <v>0</v>
      </c>
      <c r="R312" s="164">
        <f t="shared" si="58"/>
        <v>61.950316641843294</v>
      </c>
      <c r="S312" s="142">
        <f t="shared" si="59"/>
        <v>-8.049683358156706</v>
      </c>
      <c r="T312" s="163"/>
      <c r="V312" s="17"/>
    </row>
    <row r="313" spans="1:22" x14ac:dyDescent="0.25">
      <c r="A313" s="57">
        <f>'A) Base RI'!A314</f>
        <v>5938</v>
      </c>
      <c r="B313" s="64" t="str">
        <f>'A) Base RI'!B314</f>
        <v>Yverdon-les-Bains</v>
      </c>
      <c r="C313" s="172">
        <v>14896940.598414524</v>
      </c>
      <c r="D313" s="173">
        <v>-22308812.389816836</v>
      </c>
      <c r="E313" s="174">
        <v>2398161.6121212649</v>
      </c>
      <c r="F313" s="173">
        <v>0</v>
      </c>
      <c r="G313" s="173">
        <v>0</v>
      </c>
      <c r="H313" s="175">
        <f t="shared" si="54"/>
        <v>-5013710.1792810466</v>
      </c>
      <c r="I313" s="233">
        <v>771340.02758169943</v>
      </c>
      <c r="J313" s="109">
        <f>'B) D RI'!U314</f>
        <v>809245.0162091502</v>
      </c>
      <c r="K313" s="76">
        <f t="shared" si="60"/>
        <v>-6.5000000000000009</v>
      </c>
      <c r="L313" s="41">
        <f>'B) D RI'!S314</f>
        <v>76.5</v>
      </c>
      <c r="M313" s="41">
        <f t="shared" si="62"/>
        <v>83</v>
      </c>
      <c r="N313" s="142">
        <f>'J) Plafonnement effort'!G312+'J) Plafonnement effort'!H312-'K) Plafonnement aide'!I312</f>
        <v>-15.999827092378272</v>
      </c>
      <c r="O313" s="142">
        <f t="shared" si="56"/>
        <v>67.000172907621732</v>
      </c>
      <c r="P313" s="55">
        <f t="shared" si="57"/>
        <v>0</v>
      </c>
      <c r="Q313" s="66">
        <f t="shared" si="61"/>
        <v>0</v>
      </c>
      <c r="R313" s="164">
        <f t="shared" si="58"/>
        <v>67.000172907621732</v>
      </c>
      <c r="S313" s="142">
        <f t="shared" si="59"/>
        <v>-9.4998270923782684</v>
      </c>
      <c r="T313" s="163"/>
      <c r="V313" s="17"/>
    </row>
    <row r="314" spans="1:22" x14ac:dyDescent="0.25">
      <c r="A314" s="58">
        <f>'A) Base RI'!A315</f>
        <v>5939</v>
      </c>
      <c r="B314" s="65" t="str">
        <f>'A) Base RI'!B315</f>
        <v>Yvonand</v>
      </c>
      <c r="C314" s="176">
        <v>1648573.5463647828</v>
      </c>
      <c r="D314" s="173">
        <v>-302895.23052037531</v>
      </c>
      <c r="E314" s="174">
        <v>0</v>
      </c>
      <c r="F314" s="173">
        <v>0</v>
      </c>
      <c r="G314" s="173">
        <v>0</v>
      </c>
      <c r="H314" s="175">
        <f t="shared" si="54"/>
        <v>1345678.3158444075</v>
      </c>
      <c r="I314" s="234">
        <v>88221.551917808203</v>
      </c>
      <c r="J314" s="110">
        <f>'B) D RI'!U315</f>
        <v>88261.067808219188</v>
      </c>
      <c r="K314" s="76">
        <f t="shared" si="60"/>
        <v>15.253396552104542</v>
      </c>
      <c r="L314" s="102">
        <f>'B) D RI'!S315</f>
        <v>73</v>
      </c>
      <c r="M314" s="102">
        <f t="shared" si="62"/>
        <v>57.74660344789546</v>
      </c>
      <c r="N314" s="144">
        <f>'J) Plafonnement effort'!G313+'J) Plafonnement effort'!H313-'K) Plafonnement aide'!I313</f>
        <v>11.57967736027361</v>
      </c>
      <c r="O314" s="144">
        <f t="shared" si="56"/>
        <v>69.326280808169074</v>
      </c>
      <c r="P314" s="55">
        <f t="shared" si="57"/>
        <v>0</v>
      </c>
      <c r="Q314" s="66">
        <f t="shared" si="61"/>
        <v>0</v>
      </c>
      <c r="R314" s="165">
        <f t="shared" si="58"/>
        <v>69.326280808169074</v>
      </c>
      <c r="S314" s="144">
        <f t="shared" si="59"/>
        <v>-3.6737191918309264</v>
      </c>
      <c r="T314" s="163"/>
      <c r="V314" s="17"/>
    </row>
    <row r="315" spans="1:22" x14ac:dyDescent="0.25">
      <c r="A315" s="38"/>
      <c r="B315" s="135">
        <f>COUNTA(B6:B314)</f>
        <v>309</v>
      </c>
      <c r="C315" s="177">
        <f t="shared" ref="C315:J315" si="63">SUM(C6:C314)</f>
        <v>735072899.99999976</v>
      </c>
      <c r="D315" s="177">
        <f t="shared" si="63"/>
        <v>132668185.94506115</v>
      </c>
      <c r="E315" s="177">
        <f t="shared" si="63"/>
        <v>3161346.8053568602</v>
      </c>
      <c r="F315" s="177">
        <f t="shared" si="63"/>
        <v>0</v>
      </c>
      <c r="G315" s="177">
        <f t="shared" si="63"/>
        <v>-17756.864338403269</v>
      </c>
      <c r="H315" s="177">
        <f t="shared" si="63"/>
        <v>871771259.36177969</v>
      </c>
      <c r="I315" s="177">
        <f t="shared" si="63"/>
        <v>34873950.283385321</v>
      </c>
      <c r="J315" s="110">
        <f t="shared" si="63"/>
        <v>36265640.391085088</v>
      </c>
      <c r="K315" s="72">
        <f>H315/I315</f>
        <v>24.997777776184698</v>
      </c>
      <c r="L315" s="25">
        <f>'B) D RI'!S316</f>
        <v>67.708705489953431</v>
      </c>
      <c r="M315" s="25"/>
      <c r="N315" s="111"/>
      <c r="O315" s="111"/>
      <c r="P315" s="131"/>
      <c r="Q315" s="45">
        <f>SUM(Q6:Q314)</f>
        <v>0</v>
      </c>
      <c r="R315" s="134"/>
      <c r="S315" s="111"/>
      <c r="T315" s="167"/>
    </row>
    <row r="316" spans="1:22" x14ac:dyDescent="0.25">
      <c r="T316" s="29"/>
    </row>
    <row r="317" spans="1:22" s="8" customFormat="1" x14ac:dyDescent="0.25">
      <c r="K317" s="323"/>
    </row>
    <row r="320" spans="1:22" s="8" customFormat="1" x14ac:dyDescent="0.25">
      <c r="K320" s="323"/>
      <c r="M320" s="323"/>
      <c r="N320" s="323"/>
      <c r="O320" s="323"/>
      <c r="P320" s="323"/>
    </row>
  </sheetData>
  <sheetProtection password="E95E" sheet="1" objects="1" scenarios="1"/>
  <mergeCells count="17">
    <mergeCell ref="C3:I3"/>
    <mergeCell ref="C4:C5"/>
    <mergeCell ref="B4:B5"/>
    <mergeCell ref="A4:A5"/>
    <mergeCell ref="K4:K5"/>
    <mergeCell ref="E4:E5"/>
    <mergeCell ref="D4:D5"/>
    <mergeCell ref="S4:S5"/>
    <mergeCell ref="R4:R5"/>
    <mergeCell ref="Q4:Q5"/>
    <mergeCell ref="O4:O5"/>
    <mergeCell ref="N4:N5"/>
    <mergeCell ref="M4:M5"/>
    <mergeCell ref="L4:L5"/>
    <mergeCell ref="H4:H5"/>
    <mergeCell ref="G4:G5"/>
    <mergeCell ref="F4:F5"/>
  </mergeCells>
  <phoneticPr fontId="0" type="noConversion"/>
  <printOptions horizontalCentered="1"/>
  <pageMargins left="0" right="0" top="0" bottom="0" header="0.51181102362204722" footer="0.51181102362204722"/>
  <pageSetup paperSize="9" scale="63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00B050"/>
    <pageSetUpPr fitToPage="1"/>
  </sheetPr>
  <dimension ref="A1:V317"/>
  <sheetViews>
    <sheetView workbookViewId="0">
      <selection activeCell="B32" sqref="B32"/>
    </sheetView>
  </sheetViews>
  <sheetFormatPr baseColWidth="10" defaultColWidth="9.375" defaultRowHeight="15" x14ac:dyDescent="0.25"/>
  <cols>
    <col min="1" max="1" width="8.125" style="246" customWidth="1"/>
    <col min="2" max="2" width="17.875" style="246" bestFit="1" customWidth="1"/>
    <col min="3" max="3" width="9.875" style="246" customWidth="1"/>
    <col min="4" max="4" width="10.5" style="246" customWidth="1"/>
    <col min="5" max="5" width="5.625" style="246" bestFit="1" customWidth="1"/>
    <col min="6" max="6" width="12" style="246" bestFit="1" customWidth="1"/>
    <col min="7" max="7" width="10.875" style="246" bestFit="1" customWidth="1"/>
    <col min="8" max="8" width="12" style="246" bestFit="1" customWidth="1"/>
    <col min="9" max="9" width="9.875" style="246" bestFit="1" customWidth="1"/>
    <col min="10" max="10" width="11.375" style="246" bestFit="1" customWidth="1"/>
    <col min="11" max="11" width="11.75" style="246" customWidth="1"/>
    <col min="12" max="12" width="11.375" style="246" bestFit="1" customWidth="1"/>
    <col min="13" max="13" width="9.75" style="246" bestFit="1" customWidth="1"/>
    <col min="14" max="14" width="11.375" style="246" bestFit="1" customWidth="1"/>
    <col min="15" max="15" width="10.75" style="246" bestFit="1" customWidth="1"/>
    <col min="16" max="16" width="13.125" style="248" customWidth="1"/>
    <col min="17" max="17" width="9.375" style="247"/>
    <col min="18" max="18" width="9.875" style="248" customWidth="1"/>
    <col min="19" max="19" width="11.75" style="248" bestFit="1" customWidth="1"/>
    <col min="20" max="22" width="9.375" style="247"/>
    <col min="23" max="249" width="9.375" style="246"/>
    <col min="250" max="250" width="5" style="246" customWidth="1"/>
    <col min="251" max="251" width="17.875" style="246" bestFit="1" customWidth="1"/>
    <col min="252" max="252" width="9.875" style="246" customWidth="1"/>
    <col min="253" max="253" width="8.875" style="246" customWidth="1"/>
    <col min="254" max="254" width="7.375" style="246" bestFit="1" customWidth="1"/>
    <col min="255" max="255" width="10.125" style="246" bestFit="1" customWidth="1"/>
    <col min="256" max="256" width="9.375" style="246"/>
    <col min="257" max="257" width="10.125" style="246" bestFit="1" customWidth="1"/>
    <col min="258" max="258" width="10.75" style="246" customWidth="1"/>
    <col min="259" max="261" width="9.375" style="246"/>
    <col min="262" max="263" width="10.75" style="246" customWidth="1"/>
    <col min="264" max="268" width="9.375" style="246"/>
    <col min="269" max="269" width="1.625" style="246" bestFit="1" customWidth="1"/>
    <col min="270" max="270" width="9.375" style="246"/>
    <col min="271" max="271" width="8.875" style="246" customWidth="1"/>
    <col min="272" max="272" width="13.125" style="246" customWidth="1"/>
    <col min="273" max="273" width="9.375" style="246"/>
    <col min="274" max="274" width="9.875" style="246" customWidth="1"/>
    <col min="275" max="275" width="11.75" style="246" bestFit="1" customWidth="1"/>
    <col min="276" max="505" width="9.375" style="246"/>
    <col min="506" max="506" width="5" style="246" customWidth="1"/>
    <col min="507" max="507" width="17.875" style="246" bestFit="1" customWidth="1"/>
    <col min="508" max="508" width="9.875" style="246" customWidth="1"/>
    <col min="509" max="509" width="8.875" style="246" customWidth="1"/>
    <col min="510" max="510" width="7.375" style="246" bestFit="1" customWidth="1"/>
    <col min="511" max="511" width="10.125" style="246" bestFit="1" customWidth="1"/>
    <col min="512" max="512" width="9.375" style="246"/>
    <col min="513" max="513" width="10.125" style="246" bestFit="1" customWidth="1"/>
    <col min="514" max="514" width="10.75" style="246" customWidth="1"/>
    <col min="515" max="517" width="9.375" style="246"/>
    <col min="518" max="519" width="10.75" style="246" customWidth="1"/>
    <col min="520" max="524" width="9.375" style="246"/>
    <col min="525" max="525" width="1.625" style="246" bestFit="1" customWidth="1"/>
    <col min="526" max="526" width="9.375" style="246"/>
    <col min="527" max="527" width="8.875" style="246" customWidth="1"/>
    <col min="528" max="528" width="13.125" style="246" customWidth="1"/>
    <col min="529" max="529" width="9.375" style="246"/>
    <col min="530" max="530" width="9.875" style="246" customWidth="1"/>
    <col min="531" max="531" width="11.75" style="246" bestFit="1" customWidth="1"/>
    <col min="532" max="761" width="9.375" style="246"/>
    <col min="762" max="762" width="5" style="246" customWidth="1"/>
    <col min="763" max="763" width="17.875" style="246" bestFit="1" customWidth="1"/>
    <col min="764" max="764" width="9.875" style="246" customWidth="1"/>
    <col min="765" max="765" width="8.875" style="246" customWidth="1"/>
    <col min="766" max="766" width="7.375" style="246" bestFit="1" customWidth="1"/>
    <col min="767" max="767" width="10.125" style="246" bestFit="1" customWidth="1"/>
    <col min="768" max="768" width="9.375" style="246"/>
    <col min="769" max="769" width="10.125" style="246" bestFit="1" customWidth="1"/>
    <col min="770" max="770" width="10.75" style="246" customWidth="1"/>
    <col min="771" max="773" width="9.375" style="246"/>
    <col min="774" max="775" width="10.75" style="246" customWidth="1"/>
    <col min="776" max="780" width="9.375" style="246"/>
    <col min="781" max="781" width="1.625" style="246" bestFit="1" customWidth="1"/>
    <col min="782" max="782" width="9.375" style="246"/>
    <col min="783" max="783" width="8.875" style="246" customWidth="1"/>
    <col min="784" max="784" width="13.125" style="246" customWidth="1"/>
    <col min="785" max="785" width="9.375" style="246"/>
    <col min="786" max="786" width="9.875" style="246" customWidth="1"/>
    <col min="787" max="787" width="11.75" style="246" bestFit="1" customWidth="1"/>
    <col min="788" max="1017" width="9.375" style="246"/>
    <col min="1018" max="1018" width="5" style="246" customWidth="1"/>
    <col min="1019" max="1019" width="17.875" style="246" bestFit="1" customWidth="1"/>
    <col min="1020" max="1020" width="9.875" style="246" customWidth="1"/>
    <col min="1021" max="1021" width="8.875" style="246" customWidth="1"/>
    <col min="1022" max="1022" width="7.375" style="246" bestFit="1" customWidth="1"/>
    <col min="1023" max="1023" width="10.125" style="246" bestFit="1" customWidth="1"/>
    <col min="1024" max="1024" width="9.375" style="246"/>
    <col min="1025" max="1025" width="10.125" style="246" bestFit="1" customWidth="1"/>
    <col min="1026" max="1026" width="10.75" style="246" customWidth="1"/>
    <col min="1027" max="1029" width="9.375" style="246"/>
    <col min="1030" max="1031" width="10.75" style="246" customWidth="1"/>
    <col min="1032" max="1036" width="9.375" style="246"/>
    <col min="1037" max="1037" width="1.625" style="246" bestFit="1" customWidth="1"/>
    <col min="1038" max="1038" width="9.375" style="246"/>
    <col min="1039" max="1039" width="8.875" style="246" customWidth="1"/>
    <col min="1040" max="1040" width="13.125" style="246" customWidth="1"/>
    <col min="1041" max="1041" width="9.375" style="246"/>
    <col min="1042" max="1042" width="9.875" style="246" customWidth="1"/>
    <col min="1043" max="1043" width="11.75" style="246" bestFit="1" customWidth="1"/>
    <col min="1044" max="1273" width="9.375" style="246"/>
    <col min="1274" max="1274" width="5" style="246" customWidth="1"/>
    <col min="1275" max="1275" width="17.875" style="246" bestFit="1" customWidth="1"/>
    <col min="1276" max="1276" width="9.875" style="246" customWidth="1"/>
    <col min="1277" max="1277" width="8.875" style="246" customWidth="1"/>
    <col min="1278" max="1278" width="7.375" style="246" bestFit="1" customWidth="1"/>
    <col min="1279" max="1279" width="10.125" style="246" bestFit="1" customWidth="1"/>
    <col min="1280" max="1280" width="9.375" style="246"/>
    <col min="1281" max="1281" width="10.125" style="246" bestFit="1" customWidth="1"/>
    <col min="1282" max="1282" width="10.75" style="246" customWidth="1"/>
    <col min="1283" max="1285" width="9.375" style="246"/>
    <col min="1286" max="1287" width="10.75" style="246" customWidth="1"/>
    <col min="1288" max="1292" width="9.375" style="246"/>
    <col min="1293" max="1293" width="1.625" style="246" bestFit="1" customWidth="1"/>
    <col min="1294" max="1294" width="9.375" style="246"/>
    <col min="1295" max="1295" width="8.875" style="246" customWidth="1"/>
    <col min="1296" max="1296" width="13.125" style="246" customWidth="1"/>
    <col min="1297" max="1297" width="9.375" style="246"/>
    <col min="1298" max="1298" width="9.875" style="246" customWidth="1"/>
    <col min="1299" max="1299" width="11.75" style="246" bestFit="1" customWidth="1"/>
    <col min="1300" max="1529" width="9.375" style="246"/>
    <col min="1530" max="1530" width="5" style="246" customWidth="1"/>
    <col min="1531" max="1531" width="17.875" style="246" bestFit="1" customWidth="1"/>
    <col min="1532" max="1532" width="9.875" style="246" customWidth="1"/>
    <col min="1533" max="1533" width="8.875" style="246" customWidth="1"/>
    <col min="1534" max="1534" width="7.375" style="246" bestFit="1" customWidth="1"/>
    <col min="1535" max="1535" width="10.125" style="246" bestFit="1" customWidth="1"/>
    <col min="1536" max="1536" width="9.375" style="246"/>
    <col min="1537" max="1537" width="10.125" style="246" bestFit="1" customWidth="1"/>
    <col min="1538" max="1538" width="10.75" style="246" customWidth="1"/>
    <col min="1539" max="1541" width="9.375" style="246"/>
    <col min="1542" max="1543" width="10.75" style="246" customWidth="1"/>
    <col min="1544" max="1548" width="9.375" style="246"/>
    <col min="1549" max="1549" width="1.625" style="246" bestFit="1" customWidth="1"/>
    <col min="1550" max="1550" width="9.375" style="246"/>
    <col min="1551" max="1551" width="8.875" style="246" customWidth="1"/>
    <col min="1552" max="1552" width="13.125" style="246" customWidth="1"/>
    <col min="1553" max="1553" width="9.375" style="246"/>
    <col min="1554" max="1554" width="9.875" style="246" customWidth="1"/>
    <col min="1555" max="1555" width="11.75" style="246" bestFit="1" customWidth="1"/>
    <col min="1556" max="1785" width="9.375" style="246"/>
    <col min="1786" max="1786" width="5" style="246" customWidth="1"/>
    <col min="1787" max="1787" width="17.875" style="246" bestFit="1" customWidth="1"/>
    <col min="1788" max="1788" width="9.875" style="246" customWidth="1"/>
    <col min="1789" max="1789" width="8.875" style="246" customWidth="1"/>
    <col min="1790" max="1790" width="7.375" style="246" bestFit="1" customWidth="1"/>
    <col min="1791" max="1791" width="10.125" style="246" bestFit="1" customWidth="1"/>
    <col min="1792" max="1792" width="9.375" style="246"/>
    <col min="1793" max="1793" width="10.125" style="246" bestFit="1" customWidth="1"/>
    <col min="1794" max="1794" width="10.75" style="246" customWidth="1"/>
    <col min="1795" max="1797" width="9.375" style="246"/>
    <col min="1798" max="1799" width="10.75" style="246" customWidth="1"/>
    <col min="1800" max="1804" width="9.375" style="246"/>
    <col min="1805" max="1805" width="1.625" style="246" bestFit="1" customWidth="1"/>
    <col min="1806" max="1806" width="9.375" style="246"/>
    <col min="1807" max="1807" width="8.875" style="246" customWidth="1"/>
    <col min="1808" max="1808" width="13.125" style="246" customWidth="1"/>
    <col min="1809" max="1809" width="9.375" style="246"/>
    <col min="1810" max="1810" width="9.875" style="246" customWidth="1"/>
    <col min="1811" max="1811" width="11.75" style="246" bestFit="1" customWidth="1"/>
    <col min="1812" max="2041" width="9.375" style="246"/>
    <col min="2042" max="2042" width="5" style="246" customWidth="1"/>
    <col min="2043" max="2043" width="17.875" style="246" bestFit="1" customWidth="1"/>
    <col min="2044" max="2044" width="9.875" style="246" customWidth="1"/>
    <col min="2045" max="2045" width="8.875" style="246" customWidth="1"/>
    <col min="2046" max="2046" width="7.375" style="246" bestFit="1" customWidth="1"/>
    <col min="2047" max="2047" width="10.125" style="246" bestFit="1" customWidth="1"/>
    <col min="2048" max="2048" width="9.375" style="246"/>
    <col min="2049" max="2049" width="10.125" style="246" bestFit="1" customWidth="1"/>
    <col min="2050" max="2050" width="10.75" style="246" customWidth="1"/>
    <col min="2051" max="2053" width="9.375" style="246"/>
    <col min="2054" max="2055" width="10.75" style="246" customWidth="1"/>
    <col min="2056" max="2060" width="9.375" style="246"/>
    <col min="2061" max="2061" width="1.625" style="246" bestFit="1" customWidth="1"/>
    <col min="2062" max="2062" width="9.375" style="246"/>
    <col min="2063" max="2063" width="8.875" style="246" customWidth="1"/>
    <col min="2064" max="2064" width="13.125" style="246" customWidth="1"/>
    <col min="2065" max="2065" width="9.375" style="246"/>
    <col min="2066" max="2066" width="9.875" style="246" customWidth="1"/>
    <col min="2067" max="2067" width="11.75" style="246" bestFit="1" customWidth="1"/>
    <col min="2068" max="2297" width="9.375" style="246"/>
    <col min="2298" max="2298" width="5" style="246" customWidth="1"/>
    <col min="2299" max="2299" width="17.875" style="246" bestFit="1" customWidth="1"/>
    <col min="2300" max="2300" width="9.875" style="246" customWidth="1"/>
    <col min="2301" max="2301" width="8.875" style="246" customWidth="1"/>
    <col min="2302" max="2302" width="7.375" style="246" bestFit="1" customWidth="1"/>
    <col min="2303" max="2303" width="10.125" style="246" bestFit="1" customWidth="1"/>
    <col min="2304" max="2304" width="9.375" style="246"/>
    <col min="2305" max="2305" width="10.125" style="246" bestFit="1" customWidth="1"/>
    <col min="2306" max="2306" width="10.75" style="246" customWidth="1"/>
    <col min="2307" max="2309" width="9.375" style="246"/>
    <col min="2310" max="2311" width="10.75" style="246" customWidth="1"/>
    <col min="2312" max="2316" width="9.375" style="246"/>
    <col min="2317" max="2317" width="1.625" style="246" bestFit="1" customWidth="1"/>
    <col min="2318" max="2318" width="9.375" style="246"/>
    <col min="2319" max="2319" width="8.875" style="246" customWidth="1"/>
    <col min="2320" max="2320" width="13.125" style="246" customWidth="1"/>
    <col min="2321" max="2321" width="9.375" style="246"/>
    <col min="2322" max="2322" width="9.875" style="246" customWidth="1"/>
    <col min="2323" max="2323" width="11.75" style="246" bestFit="1" customWidth="1"/>
    <col min="2324" max="2553" width="9.375" style="246"/>
    <col min="2554" max="2554" width="5" style="246" customWidth="1"/>
    <col min="2555" max="2555" width="17.875" style="246" bestFit="1" customWidth="1"/>
    <col min="2556" max="2556" width="9.875" style="246" customWidth="1"/>
    <col min="2557" max="2557" width="8.875" style="246" customWidth="1"/>
    <col min="2558" max="2558" width="7.375" style="246" bestFit="1" customWidth="1"/>
    <col min="2559" max="2559" width="10.125" style="246" bestFit="1" customWidth="1"/>
    <col min="2560" max="2560" width="9.375" style="246"/>
    <col min="2561" max="2561" width="10.125" style="246" bestFit="1" customWidth="1"/>
    <col min="2562" max="2562" width="10.75" style="246" customWidth="1"/>
    <col min="2563" max="2565" width="9.375" style="246"/>
    <col min="2566" max="2567" width="10.75" style="246" customWidth="1"/>
    <col min="2568" max="2572" width="9.375" style="246"/>
    <col min="2573" max="2573" width="1.625" style="246" bestFit="1" customWidth="1"/>
    <col min="2574" max="2574" width="9.375" style="246"/>
    <col min="2575" max="2575" width="8.875" style="246" customWidth="1"/>
    <col min="2576" max="2576" width="13.125" style="246" customWidth="1"/>
    <col min="2577" max="2577" width="9.375" style="246"/>
    <col min="2578" max="2578" width="9.875" style="246" customWidth="1"/>
    <col min="2579" max="2579" width="11.75" style="246" bestFit="1" customWidth="1"/>
    <col min="2580" max="2809" width="9.375" style="246"/>
    <col min="2810" max="2810" width="5" style="246" customWidth="1"/>
    <col min="2811" max="2811" width="17.875" style="246" bestFit="1" customWidth="1"/>
    <col min="2812" max="2812" width="9.875" style="246" customWidth="1"/>
    <col min="2813" max="2813" width="8.875" style="246" customWidth="1"/>
    <col min="2814" max="2814" width="7.375" style="246" bestFit="1" customWidth="1"/>
    <col min="2815" max="2815" width="10.125" style="246" bestFit="1" customWidth="1"/>
    <col min="2816" max="2816" width="9.375" style="246"/>
    <col min="2817" max="2817" width="10.125" style="246" bestFit="1" customWidth="1"/>
    <col min="2818" max="2818" width="10.75" style="246" customWidth="1"/>
    <col min="2819" max="2821" width="9.375" style="246"/>
    <col min="2822" max="2823" width="10.75" style="246" customWidth="1"/>
    <col min="2824" max="2828" width="9.375" style="246"/>
    <col min="2829" max="2829" width="1.625" style="246" bestFit="1" customWidth="1"/>
    <col min="2830" max="2830" width="9.375" style="246"/>
    <col min="2831" max="2831" width="8.875" style="246" customWidth="1"/>
    <col min="2832" max="2832" width="13.125" style="246" customWidth="1"/>
    <col min="2833" max="2833" width="9.375" style="246"/>
    <col min="2834" max="2834" width="9.875" style="246" customWidth="1"/>
    <col min="2835" max="2835" width="11.75" style="246" bestFit="1" customWidth="1"/>
    <col min="2836" max="3065" width="9.375" style="246"/>
    <col min="3066" max="3066" width="5" style="246" customWidth="1"/>
    <col min="3067" max="3067" width="17.875" style="246" bestFit="1" customWidth="1"/>
    <col min="3068" max="3068" width="9.875" style="246" customWidth="1"/>
    <col min="3069" max="3069" width="8.875" style="246" customWidth="1"/>
    <col min="3070" max="3070" width="7.375" style="246" bestFit="1" customWidth="1"/>
    <col min="3071" max="3071" width="10.125" style="246" bestFit="1" customWidth="1"/>
    <col min="3072" max="3072" width="9.375" style="246"/>
    <col min="3073" max="3073" width="10.125" style="246" bestFit="1" customWidth="1"/>
    <col min="3074" max="3074" width="10.75" style="246" customWidth="1"/>
    <col min="3075" max="3077" width="9.375" style="246"/>
    <col min="3078" max="3079" width="10.75" style="246" customWidth="1"/>
    <col min="3080" max="3084" width="9.375" style="246"/>
    <col min="3085" max="3085" width="1.625" style="246" bestFit="1" customWidth="1"/>
    <col min="3086" max="3086" width="9.375" style="246"/>
    <col min="3087" max="3087" width="8.875" style="246" customWidth="1"/>
    <col min="3088" max="3088" width="13.125" style="246" customWidth="1"/>
    <col min="3089" max="3089" width="9.375" style="246"/>
    <col min="3090" max="3090" width="9.875" style="246" customWidth="1"/>
    <col min="3091" max="3091" width="11.75" style="246" bestFit="1" customWidth="1"/>
    <col min="3092" max="3321" width="9.375" style="246"/>
    <col min="3322" max="3322" width="5" style="246" customWidth="1"/>
    <col min="3323" max="3323" width="17.875" style="246" bestFit="1" customWidth="1"/>
    <col min="3324" max="3324" width="9.875" style="246" customWidth="1"/>
    <col min="3325" max="3325" width="8.875" style="246" customWidth="1"/>
    <col min="3326" max="3326" width="7.375" style="246" bestFit="1" customWidth="1"/>
    <col min="3327" max="3327" width="10.125" style="246" bestFit="1" customWidth="1"/>
    <col min="3328" max="3328" width="9.375" style="246"/>
    <col min="3329" max="3329" width="10.125" style="246" bestFit="1" customWidth="1"/>
    <col min="3330" max="3330" width="10.75" style="246" customWidth="1"/>
    <col min="3331" max="3333" width="9.375" style="246"/>
    <col min="3334" max="3335" width="10.75" style="246" customWidth="1"/>
    <col min="3336" max="3340" width="9.375" style="246"/>
    <col min="3341" max="3341" width="1.625" style="246" bestFit="1" customWidth="1"/>
    <col min="3342" max="3342" width="9.375" style="246"/>
    <col min="3343" max="3343" width="8.875" style="246" customWidth="1"/>
    <col min="3344" max="3344" width="13.125" style="246" customWidth="1"/>
    <col min="3345" max="3345" width="9.375" style="246"/>
    <col min="3346" max="3346" width="9.875" style="246" customWidth="1"/>
    <col min="3347" max="3347" width="11.75" style="246" bestFit="1" customWidth="1"/>
    <col min="3348" max="3577" width="9.375" style="246"/>
    <col min="3578" max="3578" width="5" style="246" customWidth="1"/>
    <col min="3579" max="3579" width="17.875" style="246" bestFit="1" customWidth="1"/>
    <col min="3580" max="3580" width="9.875" style="246" customWidth="1"/>
    <col min="3581" max="3581" width="8.875" style="246" customWidth="1"/>
    <col min="3582" max="3582" width="7.375" style="246" bestFit="1" customWidth="1"/>
    <col min="3583" max="3583" width="10.125" style="246" bestFit="1" customWidth="1"/>
    <col min="3584" max="3584" width="9.375" style="246"/>
    <col min="3585" max="3585" width="10.125" style="246" bestFit="1" customWidth="1"/>
    <col min="3586" max="3586" width="10.75" style="246" customWidth="1"/>
    <col min="3587" max="3589" width="9.375" style="246"/>
    <col min="3590" max="3591" width="10.75" style="246" customWidth="1"/>
    <col min="3592" max="3596" width="9.375" style="246"/>
    <col min="3597" max="3597" width="1.625" style="246" bestFit="1" customWidth="1"/>
    <col min="3598" max="3598" width="9.375" style="246"/>
    <col min="3599" max="3599" width="8.875" style="246" customWidth="1"/>
    <col min="3600" max="3600" width="13.125" style="246" customWidth="1"/>
    <col min="3601" max="3601" width="9.375" style="246"/>
    <col min="3602" max="3602" width="9.875" style="246" customWidth="1"/>
    <col min="3603" max="3603" width="11.75" style="246" bestFit="1" customWidth="1"/>
    <col min="3604" max="3833" width="9.375" style="246"/>
    <col min="3834" max="3834" width="5" style="246" customWidth="1"/>
    <col min="3835" max="3835" width="17.875" style="246" bestFit="1" customWidth="1"/>
    <col min="3836" max="3836" width="9.875" style="246" customWidth="1"/>
    <col min="3837" max="3837" width="8.875" style="246" customWidth="1"/>
    <col min="3838" max="3838" width="7.375" style="246" bestFit="1" customWidth="1"/>
    <col min="3839" max="3839" width="10.125" style="246" bestFit="1" customWidth="1"/>
    <col min="3840" max="3840" width="9.375" style="246"/>
    <col min="3841" max="3841" width="10.125" style="246" bestFit="1" customWidth="1"/>
    <col min="3842" max="3842" width="10.75" style="246" customWidth="1"/>
    <col min="3843" max="3845" width="9.375" style="246"/>
    <col min="3846" max="3847" width="10.75" style="246" customWidth="1"/>
    <col min="3848" max="3852" width="9.375" style="246"/>
    <col min="3853" max="3853" width="1.625" style="246" bestFit="1" customWidth="1"/>
    <col min="3854" max="3854" width="9.375" style="246"/>
    <col min="3855" max="3855" width="8.875" style="246" customWidth="1"/>
    <col min="3856" max="3856" width="13.125" style="246" customWidth="1"/>
    <col min="3857" max="3857" width="9.375" style="246"/>
    <col min="3858" max="3858" width="9.875" style="246" customWidth="1"/>
    <col min="3859" max="3859" width="11.75" style="246" bestFit="1" customWidth="1"/>
    <col min="3860" max="4089" width="9.375" style="246"/>
    <col min="4090" max="4090" width="5" style="246" customWidth="1"/>
    <col min="4091" max="4091" width="17.875" style="246" bestFit="1" customWidth="1"/>
    <col min="4092" max="4092" width="9.875" style="246" customWidth="1"/>
    <col min="4093" max="4093" width="8.875" style="246" customWidth="1"/>
    <col min="4094" max="4094" width="7.375" style="246" bestFit="1" customWidth="1"/>
    <col min="4095" max="4095" width="10.125" style="246" bestFit="1" customWidth="1"/>
    <col min="4096" max="4096" width="9.375" style="246"/>
    <col min="4097" max="4097" width="10.125" style="246" bestFit="1" customWidth="1"/>
    <col min="4098" max="4098" width="10.75" style="246" customWidth="1"/>
    <col min="4099" max="4101" width="9.375" style="246"/>
    <col min="4102" max="4103" width="10.75" style="246" customWidth="1"/>
    <col min="4104" max="4108" width="9.375" style="246"/>
    <col min="4109" max="4109" width="1.625" style="246" bestFit="1" customWidth="1"/>
    <col min="4110" max="4110" width="9.375" style="246"/>
    <col min="4111" max="4111" width="8.875" style="246" customWidth="1"/>
    <col min="4112" max="4112" width="13.125" style="246" customWidth="1"/>
    <col min="4113" max="4113" width="9.375" style="246"/>
    <col min="4114" max="4114" width="9.875" style="246" customWidth="1"/>
    <col min="4115" max="4115" width="11.75" style="246" bestFit="1" customWidth="1"/>
    <col min="4116" max="4345" width="9.375" style="246"/>
    <col min="4346" max="4346" width="5" style="246" customWidth="1"/>
    <col min="4347" max="4347" width="17.875" style="246" bestFit="1" customWidth="1"/>
    <col min="4348" max="4348" width="9.875" style="246" customWidth="1"/>
    <col min="4349" max="4349" width="8.875" style="246" customWidth="1"/>
    <col min="4350" max="4350" width="7.375" style="246" bestFit="1" customWidth="1"/>
    <col min="4351" max="4351" width="10.125" style="246" bestFit="1" customWidth="1"/>
    <col min="4352" max="4352" width="9.375" style="246"/>
    <col min="4353" max="4353" width="10.125" style="246" bestFit="1" customWidth="1"/>
    <col min="4354" max="4354" width="10.75" style="246" customWidth="1"/>
    <col min="4355" max="4357" width="9.375" style="246"/>
    <col min="4358" max="4359" width="10.75" style="246" customWidth="1"/>
    <col min="4360" max="4364" width="9.375" style="246"/>
    <col min="4365" max="4365" width="1.625" style="246" bestFit="1" customWidth="1"/>
    <col min="4366" max="4366" width="9.375" style="246"/>
    <col min="4367" max="4367" width="8.875" style="246" customWidth="1"/>
    <col min="4368" max="4368" width="13.125" style="246" customWidth="1"/>
    <col min="4369" max="4369" width="9.375" style="246"/>
    <col min="4370" max="4370" width="9.875" style="246" customWidth="1"/>
    <col min="4371" max="4371" width="11.75" style="246" bestFit="1" customWidth="1"/>
    <col min="4372" max="4601" width="9.375" style="246"/>
    <col min="4602" max="4602" width="5" style="246" customWidth="1"/>
    <col min="4603" max="4603" width="17.875" style="246" bestFit="1" customWidth="1"/>
    <col min="4604" max="4604" width="9.875" style="246" customWidth="1"/>
    <col min="4605" max="4605" width="8.875" style="246" customWidth="1"/>
    <col min="4606" max="4606" width="7.375" style="246" bestFit="1" customWidth="1"/>
    <col min="4607" max="4607" width="10.125" style="246" bestFit="1" customWidth="1"/>
    <col min="4608" max="4608" width="9.375" style="246"/>
    <col min="4609" max="4609" width="10.125" style="246" bestFit="1" customWidth="1"/>
    <col min="4610" max="4610" width="10.75" style="246" customWidth="1"/>
    <col min="4611" max="4613" width="9.375" style="246"/>
    <col min="4614" max="4615" width="10.75" style="246" customWidth="1"/>
    <col min="4616" max="4620" width="9.375" style="246"/>
    <col min="4621" max="4621" width="1.625" style="246" bestFit="1" customWidth="1"/>
    <col min="4622" max="4622" width="9.375" style="246"/>
    <col min="4623" max="4623" width="8.875" style="246" customWidth="1"/>
    <col min="4624" max="4624" width="13.125" style="246" customWidth="1"/>
    <col min="4625" max="4625" width="9.375" style="246"/>
    <col min="4626" max="4626" width="9.875" style="246" customWidth="1"/>
    <col min="4627" max="4627" width="11.75" style="246" bestFit="1" customWidth="1"/>
    <col min="4628" max="4857" width="9.375" style="246"/>
    <col min="4858" max="4858" width="5" style="246" customWidth="1"/>
    <col min="4859" max="4859" width="17.875" style="246" bestFit="1" customWidth="1"/>
    <col min="4860" max="4860" width="9.875" style="246" customWidth="1"/>
    <col min="4861" max="4861" width="8.875" style="246" customWidth="1"/>
    <col min="4862" max="4862" width="7.375" style="246" bestFit="1" customWidth="1"/>
    <col min="4863" max="4863" width="10.125" style="246" bestFit="1" customWidth="1"/>
    <col min="4864" max="4864" width="9.375" style="246"/>
    <col min="4865" max="4865" width="10.125" style="246" bestFit="1" customWidth="1"/>
    <col min="4866" max="4866" width="10.75" style="246" customWidth="1"/>
    <col min="4867" max="4869" width="9.375" style="246"/>
    <col min="4870" max="4871" width="10.75" style="246" customWidth="1"/>
    <col min="4872" max="4876" width="9.375" style="246"/>
    <col min="4877" max="4877" width="1.625" style="246" bestFit="1" customWidth="1"/>
    <col min="4878" max="4878" width="9.375" style="246"/>
    <col min="4879" max="4879" width="8.875" style="246" customWidth="1"/>
    <col min="4880" max="4880" width="13.125" style="246" customWidth="1"/>
    <col min="4881" max="4881" width="9.375" style="246"/>
    <col min="4882" max="4882" width="9.875" style="246" customWidth="1"/>
    <col min="4883" max="4883" width="11.75" style="246" bestFit="1" customWidth="1"/>
    <col min="4884" max="5113" width="9.375" style="246"/>
    <col min="5114" max="5114" width="5" style="246" customWidth="1"/>
    <col min="5115" max="5115" width="17.875" style="246" bestFit="1" customWidth="1"/>
    <col min="5116" max="5116" width="9.875" style="246" customWidth="1"/>
    <col min="5117" max="5117" width="8.875" style="246" customWidth="1"/>
    <col min="5118" max="5118" width="7.375" style="246" bestFit="1" customWidth="1"/>
    <col min="5119" max="5119" width="10.125" style="246" bestFit="1" customWidth="1"/>
    <col min="5120" max="5120" width="9.375" style="246"/>
    <col min="5121" max="5121" width="10.125" style="246" bestFit="1" customWidth="1"/>
    <col min="5122" max="5122" width="10.75" style="246" customWidth="1"/>
    <col min="5123" max="5125" width="9.375" style="246"/>
    <col min="5126" max="5127" width="10.75" style="246" customWidth="1"/>
    <col min="5128" max="5132" width="9.375" style="246"/>
    <col min="5133" max="5133" width="1.625" style="246" bestFit="1" customWidth="1"/>
    <col min="5134" max="5134" width="9.375" style="246"/>
    <col min="5135" max="5135" width="8.875" style="246" customWidth="1"/>
    <col min="5136" max="5136" width="13.125" style="246" customWidth="1"/>
    <col min="5137" max="5137" width="9.375" style="246"/>
    <col min="5138" max="5138" width="9.875" style="246" customWidth="1"/>
    <col min="5139" max="5139" width="11.75" style="246" bestFit="1" customWidth="1"/>
    <col min="5140" max="5369" width="9.375" style="246"/>
    <col min="5370" max="5370" width="5" style="246" customWidth="1"/>
    <col min="5371" max="5371" width="17.875" style="246" bestFit="1" customWidth="1"/>
    <col min="5372" max="5372" width="9.875" style="246" customWidth="1"/>
    <col min="5373" max="5373" width="8.875" style="246" customWidth="1"/>
    <col min="5374" max="5374" width="7.375" style="246" bestFit="1" customWidth="1"/>
    <col min="5375" max="5375" width="10.125" style="246" bestFit="1" customWidth="1"/>
    <col min="5376" max="5376" width="9.375" style="246"/>
    <col min="5377" max="5377" width="10.125" style="246" bestFit="1" customWidth="1"/>
    <col min="5378" max="5378" width="10.75" style="246" customWidth="1"/>
    <col min="5379" max="5381" width="9.375" style="246"/>
    <col min="5382" max="5383" width="10.75" style="246" customWidth="1"/>
    <col min="5384" max="5388" width="9.375" style="246"/>
    <col min="5389" max="5389" width="1.625" style="246" bestFit="1" customWidth="1"/>
    <col min="5390" max="5390" width="9.375" style="246"/>
    <col min="5391" max="5391" width="8.875" style="246" customWidth="1"/>
    <col min="5392" max="5392" width="13.125" style="246" customWidth="1"/>
    <col min="5393" max="5393" width="9.375" style="246"/>
    <col min="5394" max="5394" width="9.875" style="246" customWidth="1"/>
    <col min="5395" max="5395" width="11.75" style="246" bestFit="1" customWidth="1"/>
    <col min="5396" max="5625" width="9.375" style="246"/>
    <col min="5626" max="5626" width="5" style="246" customWidth="1"/>
    <col min="5627" max="5627" width="17.875" style="246" bestFit="1" customWidth="1"/>
    <col min="5628" max="5628" width="9.875" style="246" customWidth="1"/>
    <col min="5629" max="5629" width="8.875" style="246" customWidth="1"/>
    <col min="5630" max="5630" width="7.375" style="246" bestFit="1" customWidth="1"/>
    <col min="5631" max="5631" width="10.125" style="246" bestFit="1" customWidth="1"/>
    <col min="5632" max="5632" width="9.375" style="246"/>
    <col min="5633" max="5633" width="10.125" style="246" bestFit="1" customWidth="1"/>
    <col min="5634" max="5634" width="10.75" style="246" customWidth="1"/>
    <col min="5635" max="5637" width="9.375" style="246"/>
    <col min="5638" max="5639" width="10.75" style="246" customWidth="1"/>
    <col min="5640" max="5644" width="9.375" style="246"/>
    <col min="5645" max="5645" width="1.625" style="246" bestFit="1" customWidth="1"/>
    <col min="5646" max="5646" width="9.375" style="246"/>
    <col min="5647" max="5647" width="8.875" style="246" customWidth="1"/>
    <col min="5648" max="5648" width="13.125" style="246" customWidth="1"/>
    <col min="5649" max="5649" width="9.375" style="246"/>
    <col min="5650" max="5650" width="9.875" style="246" customWidth="1"/>
    <col min="5651" max="5651" width="11.75" style="246" bestFit="1" customWidth="1"/>
    <col min="5652" max="5881" width="9.375" style="246"/>
    <col min="5882" max="5882" width="5" style="246" customWidth="1"/>
    <col min="5883" max="5883" width="17.875" style="246" bestFit="1" customWidth="1"/>
    <col min="5884" max="5884" width="9.875" style="246" customWidth="1"/>
    <col min="5885" max="5885" width="8.875" style="246" customWidth="1"/>
    <col min="5886" max="5886" width="7.375" style="246" bestFit="1" customWidth="1"/>
    <col min="5887" max="5887" width="10.125" style="246" bestFit="1" customWidth="1"/>
    <col min="5888" max="5888" width="9.375" style="246"/>
    <col min="5889" max="5889" width="10.125" style="246" bestFit="1" customWidth="1"/>
    <col min="5890" max="5890" width="10.75" style="246" customWidth="1"/>
    <col min="5891" max="5893" width="9.375" style="246"/>
    <col min="5894" max="5895" width="10.75" style="246" customWidth="1"/>
    <col min="5896" max="5900" width="9.375" style="246"/>
    <col min="5901" max="5901" width="1.625" style="246" bestFit="1" customWidth="1"/>
    <col min="5902" max="5902" width="9.375" style="246"/>
    <col min="5903" max="5903" width="8.875" style="246" customWidth="1"/>
    <col min="5904" max="5904" width="13.125" style="246" customWidth="1"/>
    <col min="5905" max="5905" width="9.375" style="246"/>
    <col min="5906" max="5906" width="9.875" style="246" customWidth="1"/>
    <col min="5907" max="5907" width="11.75" style="246" bestFit="1" customWidth="1"/>
    <col min="5908" max="6137" width="9.375" style="246"/>
    <col min="6138" max="6138" width="5" style="246" customWidth="1"/>
    <col min="6139" max="6139" width="17.875" style="246" bestFit="1" customWidth="1"/>
    <col min="6140" max="6140" width="9.875" style="246" customWidth="1"/>
    <col min="6141" max="6141" width="8.875" style="246" customWidth="1"/>
    <col min="6142" max="6142" width="7.375" style="246" bestFit="1" customWidth="1"/>
    <col min="6143" max="6143" width="10.125" style="246" bestFit="1" customWidth="1"/>
    <col min="6144" max="6144" width="9.375" style="246"/>
    <col min="6145" max="6145" width="10.125" style="246" bestFit="1" customWidth="1"/>
    <col min="6146" max="6146" width="10.75" style="246" customWidth="1"/>
    <col min="6147" max="6149" width="9.375" style="246"/>
    <col min="6150" max="6151" width="10.75" style="246" customWidth="1"/>
    <col min="6152" max="6156" width="9.375" style="246"/>
    <col min="6157" max="6157" width="1.625" style="246" bestFit="1" customWidth="1"/>
    <col min="6158" max="6158" width="9.375" style="246"/>
    <col min="6159" max="6159" width="8.875" style="246" customWidth="1"/>
    <col min="6160" max="6160" width="13.125" style="246" customWidth="1"/>
    <col min="6161" max="6161" width="9.375" style="246"/>
    <col min="6162" max="6162" width="9.875" style="246" customWidth="1"/>
    <col min="6163" max="6163" width="11.75" style="246" bestFit="1" customWidth="1"/>
    <col min="6164" max="6393" width="9.375" style="246"/>
    <col min="6394" max="6394" width="5" style="246" customWidth="1"/>
    <col min="6395" max="6395" width="17.875" style="246" bestFit="1" customWidth="1"/>
    <col min="6396" max="6396" width="9.875" style="246" customWidth="1"/>
    <col min="6397" max="6397" width="8.875" style="246" customWidth="1"/>
    <col min="6398" max="6398" width="7.375" style="246" bestFit="1" customWidth="1"/>
    <col min="6399" max="6399" width="10.125" style="246" bestFit="1" customWidth="1"/>
    <col min="6400" max="6400" width="9.375" style="246"/>
    <col min="6401" max="6401" width="10.125" style="246" bestFit="1" customWidth="1"/>
    <col min="6402" max="6402" width="10.75" style="246" customWidth="1"/>
    <col min="6403" max="6405" width="9.375" style="246"/>
    <col min="6406" max="6407" width="10.75" style="246" customWidth="1"/>
    <col min="6408" max="6412" width="9.375" style="246"/>
    <col min="6413" max="6413" width="1.625" style="246" bestFit="1" customWidth="1"/>
    <col min="6414" max="6414" width="9.375" style="246"/>
    <col min="6415" max="6415" width="8.875" style="246" customWidth="1"/>
    <col min="6416" max="6416" width="13.125" style="246" customWidth="1"/>
    <col min="6417" max="6417" width="9.375" style="246"/>
    <col min="6418" max="6418" width="9.875" style="246" customWidth="1"/>
    <col min="6419" max="6419" width="11.75" style="246" bestFit="1" customWidth="1"/>
    <col min="6420" max="6649" width="9.375" style="246"/>
    <col min="6650" max="6650" width="5" style="246" customWidth="1"/>
    <col min="6651" max="6651" width="17.875" style="246" bestFit="1" customWidth="1"/>
    <col min="6652" max="6652" width="9.875" style="246" customWidth="1"/>
    <col min="6653" max="6653" width="8.875" style="246" customWidth="1"/>
    <col min="6654" max="6654" width="7.375" style="246" bestFit="1" customWidth="1"/>
    <col min="6655" max="6655" width="10.125" style="246" bestFit="1" customWidth="1"/>
    <col min="6656" max="6656" width="9.375" style="246"/>
    <col min="6657" max="6657" width="10.125" style="246" bestFit="1" customWidth="1"/>
    <col min="6658" max="6658" width="10.75" style="246" customWidth="1"/>
    <col min="6659" max="6661" width="9.375" style="246"/>
    <col min="6662" max="6663" width="10.75" style="246" customWidth="1"/>
    <col min="6664" max="6668" width="9.375" style="246"/>
    <col min="6669" max="6669" width="1.625" style="246" bestFit="1" customWidth="1"/>
    <col min="6670" max="6670" width="9.375" style="246"/>
    <col min="6671" max="6671" width="8.875" style="246" customWidth="1"/>
    <col min="6672" max="6672" width="13.125" style="246" customWidth="1"/>
    <col min="6673" max="6673" width="9.375" style="246"/>
    <col min="6674" max="6674" width="9.875" style="246" customWidth="1"/>
    <col min="6675" max="6675" width="11.75" style="246" bestFit="1" customWidth="1"/>
    <col min="6676" max="6905" width="9.375" style="246"/>
    <col min="6906" max="6906" width="5" style="246" customWidth="1"/>
    <col min="6907" max="6907" width="17.875" style="246" bestFit="1" customWidth="1"/>
    <col min="6908" max="6908" width="9.875" style="246" customWidth="1"/>
    <col min="6909" max="6909" width="8.875" style="246" customWidth="1"/>
    <col min="6910" max="6910" width="7.375" style="246" bestFit="1" customWidth="1"/>
    <col min="6911" max="6911" width="10.125" style="246" bestFit="1" customWidth="1"/>
    <col min="6912" max="6912" width="9.375" style="246"/>
    <col min="6913" max="6913" width="10.125" style="246" bestFit="1" customWidth="1"/>
    <col min="6914" max="6914" width="10.75" style="246" customWidth="1"/>
    <col min="6915" max="6917" width="9.375" style="246"/>
    <col min="6918" max="6919" width="10.75" style="246" customWidth="1"/>
    <col min="6920" max="6924" width="9.375" style="246"/>
    <col min="6925" max="6925" width="1.625" style="246" bestFit="1" customWidth="1"/>
    <col min="6926" max="6926" width="9.375" style="246"/>
    <col min="6927" max="6927" width="8.875" style="246" customWidth="1"/>
    <col min="6928" max="6928" width="13.125" style="246" customWidth="1"/>
    <col min="6929" max="6929" width="9.375" style="246"/>
    <col min="6930" max="6930" width="9.875" style="246" customWidth="1"/>
    <col min="6931" max="6931" width="11.75" style="246" bestFit="1" customWidth="1"/>
    <col min="6932" max="7161" width="9.375" style="246"/>
    <col min="7162" max="7162" width="5" style="246" customWidth="1"/>
    <col min="7163" max="7163" width="17.875" style="246" bestFit="1" customWidth="1"/>
    <col min="7164" max="7164" width="9.875" style="246" customWidth="1"/>
    <col min="7165" max="7165" width="8.875" style="246" customWidth="1"/>
    <col min="7166" max="7166" width="7.375" style="246" bestFit="1" customWidth="1"/>
    <col min="7167" max="7167" width="10.125" style="246" bestFit="1" customWidth="1"/>
    <col min="7168" max="7168" width="9.375" style="246"/>
    <col min="7169" max="7169" width="10.125" style="246" bestFit="1" customWidth="1"/>
    <col min="7170" max="7170" width="10.75" style="246" customWidth="1"/>
    <col min="7171" max="7173" width="9.375" style="246"/>
    <col min="7174" max="7175" width="10.75" style="246" customWidth="1"/>
    <col min="7176" max="7180" width="9.375" style="246"/>
    <col min="7181" max="7181" width="1.625" style="246" bestFit="1" customWidth="1"/>
    <col min="7182" max="7182" width="9.375" style="246"/>
    <col min="7183" max="7183" width="8.875" style="246" customWidth="1"/>
    <col min="7184" max="7184" width="13.125" style="246" customWidth="1"/>
    <col min="7185" max="7185" width="9.375" style="246"/>
    <col min="7186" max="7186" width="9.875" style="246" customWidth="1"/>
    <col min="7187" max="7187" width="11.75" style="246" bestFit="1" customWidth="1"/>
    <col min="7188" max="7417" width="9.375" style="246"/>
    <col min="7418" max="7418" width="5" style="246" customWidth="1"/>
    <col min="7419" max="7419" width="17.875" style="246" bestFit="1" customWidth="1"/>
    <col min="7420" max="7420" width="9.875" style="246" customWidth="1"/>
    <col min="7421" max="7421" width="8.875" style="246" customWidth="1"/>
    <col min="7422" max="7422" width="7.375" style="246" bestFit="1" customWidth="1"/>
    <col min="7423" max="7423" width="10.125" style="246" bestFit="1" customWidth="1"/>
    <col min="7424" max="7424" width="9.375" style="246"/>
    <col min="7425" max="7425" width="10.125" style="246" bestFit="1" customWidth="1"/>
    <col min="7426" max="7426" width="10.75" style="246" customWidth="1"/>
    <col min="7427" max="7429" width="9.375" style="246"/>
    <col min="7430" max="7431" width="10.75" style="246" customWidth="1"/>
    <col min="7432" max="7436" width="9.375" style="246"/>
    <col min="7437" max="7437" width="1.625" style="246" bestFit="1" customWidth="1"/>
    <col min="7438" max="7438" width="9.375" style="246"/>
    <col min="7439" max="7439" width="8.875" style="246" customWidth="1"/>
    <col min="7440" max="7440" width="13.125" style="246" customWidth="1"/>
    <col min="7441" max="7441" width="9.375" style="246"/>
    <col min="7442" max="7442" width="9.875" style="246" customWidth="1"/>
    <col min="7443" max="7443" width="11.75" style="246" bestFit="1" customWidth="1"/>
    <col min="7444" max="7673" width="9.375" style="246"/>
    <col min="7674" max="7674" width="5" style="246" customWidth="1"/>
    <col min="7675" max="7675" width="17.875" style="246" bestFit="1" customWidth="1"/>
    <col min="7676" max="7676" width="9.875" style="246" customWidth="1"/>
    <col min="7677" max="7677" width="8.875" style="246" customWidth="1"/>
    <col min="7678" max="7678" width="7.375" style="246" bestFit="1" customWidth="1"/>
    <col min="7679" max="7679" width="10.125" style="246" bestFit="1" customWidth="1"/>
    <col min="7680" max="7680" width="9.375" style="246"/>
    <col min="7681" max="7681" width="10.125" style="246" bestFit="1" customWidth="1"/>
    <col min="7682" max="7682" width="10.75" style="246" customWidth="1"/>
    <col min="7683" max="7685" width="9.375" style="246"/>
    <col min="7686" max="7687" width="10.75" style="246" customWidth="1"/>
    <col min="7688" max="7692" width="9.375" style="246"/>
    <col min="7693" max="7693" width="1.625" style="246" bestFit="1" customWidth="1"/>
    <col min="7694" max="7694" width="9.375" style="246"/>
    <col min="7695" max="7695" width="8.875" style="246" customWidth="1"/>
    <col min="7696" max="7696" width="13.125" style="246" customWidth="1"/>
    <col min="7697" max="7697" width="9.375" style="246"/>
    <col min="7698" max="7698" width="9.875" style="246" customWidth="1"/>
    <col min="7699" max="7699" width="11.75" style="246" bestFit="1" customWidth="1"/>
    <col min="7700" max="7929" width="9.375" style="246"/>
    <col min="7930" max="7930" width="5" style="246" customWidth="1"/>
    <col min="7931" max="7931" width="17.875" style="246" bestFit="1" customWidth="1"/>
    <col min="7932" max="7932" width="9.875" style="246" customWidth="1"/>
    <col min="7933" max="7933" width="8.875" style="246" customWidth="1"/>
    <col min="7934" max="7934" width="7.375" style="246" bestFit="1" customWidth="1"/>
    <col min="7935" max="7935" width="10.125" style="246" bestFit="1" customWidth="1"/>
    <col min="7936" max="7936" width="9.375" style="246"/>
    <col min="7937" max="7937" width="10.125" style="246" bestFit="1" customWidth="1"/>
    <col min="7938" max="7938" width="10.75" style="246" customWidth="1"/>
    <col min="7939" max="7941" width="9.375" style="246"/>
    <col min="7942" max="7943" width="10.75" style="246" customWidth="1"/>
    <col min="7944" max="7948" width="9.375" style="246"/>
    <col min="7949" max="7949" width="1.625" style="246" bestFit="1" customWidth="1"/>
    <col min="7950" max="7950" width="9.375" style="246"/>
    <col min="7951" max="7951" width="8.875" style="246" customWidth="1"/>
    <col min="7952" max="7952" width="13.125" style="246" customWidth="1"/>
    <col min="7953" max="7953" width="9.375" style="246"/>
    <col min="7954" max="7954" width="9.875" style="246" customWidth="1"/>
    <col min="7955" max="7955" width="11.75" style="246" bestFit="1" customWidth="1"/>
    <col min="7956" max="8185" width="9.375" style="246"/>
    <col min="8186" max="8186" width="5" style="246" customWidth="1"/>
    <col min="8187" max="8187" width="17.875" style="246" bestFit="1" customWidth="1"/>
    <col min="8188" max="8188" width="9.875" style="246" customWidth="1"/>
    <col min="8189" max="8189" width="8.875" style="246" customWidth="1"/>
    <col min="8190" max="8190" width="7.375" style="246" bestFit="1" customWidth="1"/>
    <col min="8191" max="8191" width="10.125" style="246" bestFit="1" customWidth="1"/>
    <col min="8192" max="8192" width="9.375" style="246"/>
    <col min="8193" max="8193" width="10.125" style="246" bestFit="1" customWidth="1"/>
    <col min="8194" max="8194" width="10.75" style="246" customWidth="1"/>
    <col min="8195" max="8197" width="9.375" style="246"/>
    <col min="8198" max="8199" width="10.75" style="246" customWidth="1"/>
    <col min="8200" max="8204" width="9.375" style="246"/>
    <col min="8205" max="8205" width="1.625" style="246" bestFit="1" customWidth="1"/>
    <col min="8206" max="8206" width="9.375" style="246"/>
    <col min="8207" max="8207" width="8.875" style="246" customWidth="1"/>
    <col min="8208" max="8208" width="13.125" style="246" customWidth="1"/>
    <col min="8209" max="8209" width="9.375" style="246"/>
    <col min="8210" max="8210" width="9.875" style="246" customWidth="1"/>
    <col min="8211" max="8211" width="11.75" style="246" bestFit="1" customWidth="1"/>
    <col min="8212" max="8441" width="9.375" style="246"/>
    <col min="8442" max="8442" width="5" style="246" customWidth="1"/>
    <col min="8443" max="8443" width="17.875" style="246" bestFit="1" customWidth="1"/>
    <col min="8444" max="8444" width="9.875" style="246" customWidth="1"/>
    <col min="8445" max="8445" width="8.875" style="246" customWidth="1"/>
    <col min="8446" max="8446" width="7.375" style="246" bestFit="1" customWidth="1"/>
    <col min="8447" max="8447" width="10.125" style="246" bestFit="1" customWidth="1"/>
    <col min="8448" max="8448" width="9.375" style="246"/>
    <col min="8449" max="8449" width="10.125" style="246" bestFit="1" customWidth="1"/>
    <col min="8450" max="8450" width="10.75" style="246" customWidth="1"/>
    <col min="8451" max="8453" width="9.375" style="246"/>
    <col min="8454" max="8455" width="10.75" style="246" customWidth="1"/>
    <col min="8456" max="8460" width="9.375" style="246"/>
    <col min="8461" max="8461" width="1.625" style="246" bestFit="1" customWidth="1"/>
    <col min="8462" max="8462" width="9.375" style="246"/>
    <col min="8463" max="8463" width="8.875" style="246" customWidth="1"/>
    <col min="8464" max="8464" width="13.125" style="246" customWidth="1"/>
    <col min="8465" max="8465" width="9.375" style="246"/>
    <col min="8466" max="8466" width="9.875" style="246" customWidth="1"/>
    <col min="8467" max="8467" width="11.75" style="246" bestFit="1" customWidth="1"/>
    <col min="8468" max="8697" width="9.375" style="246"/>
    <col min="8698" max="8698" width="5" style="246" customWidth="1"/>
    <col min="8699" max="8699" width="17.875" style="246" bestFit="1" customWidth="1"/>
    <col min="8700" max="8700" width="9.875" style="246" customWidth="1"/>
    <col min="8701" max="8701" width="8.875" style="246" customWidth="1"/>
    <col min="8702" max="8702" width="7.375" style="246" bestFit="1" customWidth="1"/>
    <col min="8703" max="8703" width="10.125" style="246" bestFit="1" customWidth="1"/>
    <col min="8704" max="8704" width="9.375" style="246"/>
    <col min="8705" max="8705" width="10.125" style="246" bestFit="1" customWidth="1"/>
    <col min="8706" max="8706" width="10.75" style="246" customWidth="1"/>
    <col min="8707" max="8709" width="9.375" style="246"/>
    <col min="8710" max="8711" width="10.75" style="246" customWidth="1"/>
    <col min="8712" max="8716" width="9.375" style="246"/>
    <col min="8717" max="8717" width="1.625" style="246" bestFit="1" customWidth="1"/>
    <col min="8718" max="8718" width="9.375" style="246"/>
    <col min="8719" max="8719" width="8.875" style="246" customWidth="1"/>
    <col min="8720" max="8720" width="13.125" style="246" customWidth="1"/>
    <col min="8721" max="8721" width="9.375" style="246"/>
    <col min="8722" max="8722" width="9.875" style="246" customWidth="1"/>
    <col min="8723" max="8723" width="11.75" style="246" bestFit="1" customWidth="1"/>
    <col min="8724" max="8953" width="9.375" style="246"/>
    <col min="8954" max="8954" width="5" style="246" customWidth="1"/>
    <col min="8955" max="8955" width="17.875" style="246" bestFit="1" customWidth="1"/>
    <col min="8956" max="8956" width="9.875" style="246" customWidth="1"/>
    <col min="8957" max="8957" width="8.875" style="246" customWidth="1"/>
    <col min="8958" max="8958" width="7.375" style="246" bestFit="1" customWidth="1"/>
    <col min="8959" max="8959" width="10.125" style="246" bestFit="1" customWidth="1"/>
    <col min="8960" max="8960" width="9.375" style="246"/>
    <col min="8961" max="8961" width="10.125" style="246" bestFit="1" customWidth="1"/>
    <col min="8962" max="8962" width="10.75" style="246" customWidth="1"/>
    <col min="8963" max="8965" width="9.375" style="246"/>
    <col min="8966" max="8967" width="10.75" style="246" customWidth="1"/>
    <col min="8968" max="8972" width="9.375" style="246"/>
    <col min="8973" max="8973" width="1.625" style="246" bestFit="1" customWidth="1"/>
    <col min="8974" max="8974" width="9.375" style="246"/>
    <col min="8975" max="8975" width="8.875" style="246" customWidth="1"/>
    <col min="8976" max="8976" width="13.125" style="246" customWidth="1"/>
    <col min="8977" max="8977" width="9.375" style="246"/>
    <col min="8978" max="8978" width="9.875" style="246" customWidth="1"/>
    <col min="8979" max="8979" width="11.75" style="246" bestFit="1" customWidth="1"/>
    <col min="8980" max="9209" width="9.375" style="246"/>
    <col min="9210" max="9210" width="5" style="246" customWidth="1"/>
    <col min="9211" max="9211" width="17.875" style="246" bestFit="1" customWidth="1"/>
    <col min="9212" max="9212" width="9.875" style="246" customWidth="1"/>
    <col min="9213" max="9213" width="8.875" style="246" customWidth="1"/>
    <col min="9214" max="9214" width="7.375" style="246" bestFit="1" customWidth="1"/>
    <col min="9215" max="9215" width="10.125" style="246" bestFit="1" customWidth="1"/>
    <col min="9216" max="9216" width="9.375" style="246"/>
    <col min="9217" max="9217" width="10.125" style="246" bestFit="1" customWidth="1"/>
    <col min="9218" max="9218" width="10.75" style="246" customWidth="1"/>
    <col min="9219" max="9221" width="9.375" style="246"/>
    <col min="9222" max="9223" width="10.75" style="246" customWidth="1"/>
    <col min="9224" max="9228" width="9.375" style="246"/>
    <col min="9229" max="9229" width="1.625" style="246" bestFit="1" customWidth="1"/>
    <col min="9230" max="9230" width="9.375" style="246"/>
    <col min="9231" max="9231" width="8.875" style="246" customWidth="1"/>
    <col min="9232" max="9232" width="13.125" style="246" customWidth="1"/>
    <col min="9233" max="9233" width="9.375" style="246"/>
    <col min="9234" max="9234" width="9.875" style="246" customWidth="1"/>
    <col min="9235" max="9235" width="11.75" style="246" bestFit="1" customWidth="1"/>
    <col min="9236" max="9465" width="9.375" style="246"/>
    <col min="9466" max="9466" width="5" style="246" customWidth="1"/>
    <col min="9467" max="9467" width="17.875" style="246" bestFit="1" customWidth="1"/>
    <col min="9468" max="9468" width="9.875" style="246" customWidth="1"/>
    <col min="9469" max="9469" width="8.875" style="246" customWidth="1"/>
    <col min="9470" max="9470" width="7.375" style="246" bestFit="1" customWidth="1"/>
    <col min="9471" max="9471" width="10.125" style="246" bestFit="1" customWidth="1"/>
    <col min="9472" max="9472" width="9.375" style="246"/>
    <col min="9473" max="9473" width="10.125" style="246" bestFit="1" customWidth="1"/>
    <col min="9474" max="9474" width="10.75" style="246" customWidth="1"/>
    <col min="9475" max="9477" width="9.375" style="246"/>
    <col min="9478" max="9479" width="10.75" style="246" customWidth="1"/>
    <col min="9480" max="9484" width="9.375" style="246"/>
    <col min="9485" max="9485" width="1.625" style="246" bestFit="1" customWidth="1"/>
    <col min="9486" max="9486" width="9.375" style="246"/>
    <col min="9487" max="9487" width="8.875" style="246" customWidth="1"/>
    <col min="9488" max="9488" width="13.125" style="246" customWidth="1"/>
    <col min="9489" max="9489" width="9.375" style="246"/>
    <col min="9490" max="9490" width="9.875" style="246" customWidth="1"/>
    <col min="9491" max="9491" width="11.75" style="246" bestFit="1" customWidth="1"/>
    <col min="9492" max="9721" width="9.375" style="246"/>
    <col min="9722" max="9722" width="5" style="246" customWidth="1"/>
    <col min="9723" max="9723" width="17.875" style="246" bestFit="1" customWidth="1"/>
    <col min="9724" max="9724" width="9.875" style="246" customWidth="1"/>
    <col min="9725" max="9725" width="8.875" style="246" customWidth="1"/>
    <col min="9726" max="9726" width="7.375" style="246" bestFit="1" customWidth="1"/>
    <col min="9727" max="9727" width="10.125" style="246" bestFit="1" customWidth="1"/>
    <col min="9728" max="9728" width="9.375" style="246"/>
    <col min="9729" max="9729" width="10.125" style="246" bestFit="1" customWidth="1"/>
    <col min="9730" max="9730" width="10.75" style="246" customWidth="1"/>
    <col min="9731" max="9733" width="9.375" style="246"/>
    <col min="9734" max="9735" width="10.75" style="246" customWidth="1"/>
    <col min="9736" max="9740" width="9.375" style="246"/>
    <col min="9741" max="9741" width="1.625" style="246" bestFit="1" customWidth="1"/>
    <col min="9742" max="9742" width="9.375" style="246"/>
    <col min="9743" max="9743" width="8.875" style="246" customWidth="1"/>
    <col min="9744" max="9744" width="13.125" style="246" customWidth="1"/>
    <col min="9745" max="9745" width="9.375" style="246"/>
    <col min="9746" max="9746" width="9.875" style="246" customWidth="1"/>
    <col min="9747" max="9747" width="11.75" style="246" bestFit="1" customWidth="1"/>
    <col min="9748" max="9977" width="9.375" style="246"/>
    <col min="9978" max="9978" width="5" style="246" customWidth="1"/>
    <col min="9979" max="9979" width="17.875" style="246" bestFit="1" customWidth="1"/>
    <col min="9980" max="9980" width="9.875" style="246" customWidth="1"/>
    <col min="9981" max="9981" width="8.875" style="246" customWidth="1"/>
    <col min="9982" max="9982" width="7.375" style="246" bestFit="1" customWidth="1"/>
    <col min="9983" max="9983" width="10.125" style="246" bestFit="1" customWidth="1"/>
    <col min="9984" max="9984" width="9.375" style="246"/>
    <col min="9985" max="9985" width="10.125" style="246" bestFit="1" customWidth="1"/>
    <col min="9986" max="9986" width="10.75" style="246" customWidth="1"/>
    <col min="9987" max="9989" width="9.375" style="246"/>
    <col min="9990" max="9991" width="10.75" style="246" customWidth="1"/>
    <col min="9992" max="9996" width="9.375" style="246"/>
    <col min="9997" max="9997" width="1.625" style="246" bestFit="1" customWidth="1"/>
    <col min="9998" max="9998" width="9.375" style="246"/>
    <col min="9999" max="9999" width="8.875" style="246" customWidth="1"/>
    <col min="10000" max="10000" width="13.125" style="246" customWidth="1"/>
    <col min="10001" max="10001" width="9.375" style="246"/>
    <col min="10002" max="10002" width="9.875" style="246" customWidth="1"/>
    <col min="10003" max="10003" width="11.75" style="246" bestFit="1" customWidth="1"/>
    <col min="10004" max="10233" width="9.375" style="246"/>
    <col min="10234" max="10234" width="5" style="246" customWidth="1"/>
    <col min="10235" max="10235" width="17.875" style="246" bestFit="1" customWidth="1"/>
    <col min="10236" max="10236" width="9.875" style="246" customWidth="1"/>
    <col min="10237" max="10237" width="8.875" style="246" customWidth="1"/>
    <col min="10238" max="10238" width="7.375" style="246" bestFit="1" customWidth="1"/>
    <col min="10239" max="10239" width="10.125" style="246" bestFit="1" customWidth="1"/>
    <col min="10240" max="10240" width="9.375" style="246"/>
    <col min="10241" max="10241" width="10.125" style="246" bestFit="1" customWidth="1"/>
    <col min="10242" max="10242" width="10.75" style="246" customWidth="1"/>
    <col min="10243" max="10245" width="9.375" style="246"/>
    <col min="10246" max="10247" width="10.75" style="246" customWidth="1"/>
    <col min="10248" max="10252" width="9.375" style="246"/>
    <col min="10253" max="10253" width="1.625" style="246" bestFit="1" customWidth="1"/>
    <col min="10254" max="10254" width="9.375" style="246"/>
    <col min="10255" max="10255" width="8.875" style="246" customWidth="1"/>
    <col min="10256" max="10256" width="13.125" style="246" customWidth="1"/>
    <col min="10257" max="10257" width="9.375" style="246"/>
    <col min="10258" max="10258" width="9.875" style="246" customWidth="1"/>
    <col min="10259" max="10259" width="11.75" style="246" bestFit="1" customWidth="1"/>
    <col min="10260" max="10489" width="9.375" style="246"/>
    <col min="10490" max="10490" width="5" style="246" customWidth="1"/>
    <col min="10491" max="10491" width="17.875" style="246" bestFit="1" customWidth="1"/>
    <col min="10492" max="10492" width="9.875" style="246" customWidth="1"/>
    <col min="10493" max="10493" width="8.875" style="246" customWidth="1"/>
    <col min="10494" max="10494" width="7.375" style="246" bestFit="1" customWidth="1"/>
    <col min="10495" max="10495" width="10.125" style="246" bestFit="1" customWidth="1"/>
    <col min="10496" max="10496" width="9.375" style="246"/>
    <col min="10497" max="10497" width="10.125" style="246" bestFit="1" customWidth="1"/>
    <col min="10498" max="10498" width="10.75" style="246" customWidth="1"/>
    <col min="10499" max="10501" width="9.375" style="246"/>
    <col min="10502" max="10503" width="10.75" style="246" customWidth="1"/>
    <col min="10504" max="10508" width="9.375" style="246"/>
    <col min="10509" max="10509" width="1.625" style="246" bestFit="1" customWidth="1"/>
    <col min="10510" max="10510" width="9.375" style="246"/>
    <col min="10511" max="10511" width="8.875" style="246" customWidth="1"/>
    <col min="10512" max="10512" width="13.125" style="246" customWidth="1"/>
    <col min="10513" max="10513" width="9.375" style="246"/>
    <col min="10514" max="10514" width="9.875" style="246" customWidth="1"/>
    <col min="10515" max="10515" width="11.75" style="246" bestFit="1" customWidth="1"/>
    <col min="10516" max="10745" width="9.375" style="246"/>
    <col min="10746" max="10746" width="5" style="246" customWidth="1"/>
    <col min="10747" max="10747" width="17.875" style="246" bestFit="1" customWidth="1"/>
    <col min="10748" max="10748" width="9.875" style="246" customWidth="1"/>
    <col min="10749" max="10749" width="8.875" style="246" customWidth="1"/>
    <col min="10750" max="10750" width="7.375" style="246" bestFit="1" customWidth="1"/>
    <col min="10751" max="10751" width="10.125" style="246" bestFit="1" customWidth="1"/>
    <col min="10752" max="10752" width="9.375" style="246"/>
    <col min="10753" max="10753" width="10.125" style="246" bestFit="1" customWidth="1"/>
    <col min="10754" max="10754" width="10.75" style="246" customWidth="1"/>
    <col min="10755" max="10757" width="9.375" style="246"/>
    <col min="10758" max="10759" width="10.75" style="246" customWidth="1"/>
    <col min="10760" max="10764" width="9.375" style="246"/>
    <col min="10765" max="10765" width="1.625" style="246" bestFit="1" customWidth="1"/>
    <col min="10766" max="10766" width="9.375" style="246"/>
    <col min="10767" max="10767" width="8.875" style="246" customWidth="1"/>
    <col min="10768" max="10768" width="13.125" style="246" customWidth="1"/>
    <col min="10769" max="10769" width="9.375" style="246"/>
    <col min="10770" max="10770" width="9.875" style="246" customWidth="1"/>
    <col min="10771" max="10771" width="11.75" style="246" bestFit="1" customWidth="1"/>
    <col min="10772" max="11001" width="9.375" style="246"/>
    <col min="11002" max="11002" width="5" style="246" customWidth="1"/>
    <col min="11003" max="11003" width="17.875" style="246" bestFit="1" customWidth="1"/>
    <col min="11004" max="11004" width="9.875" style="246" customWidth="1"/>
    <col min="11005" max="11005" width="8.875" style="246" customWidth="1"/>
    <col min="11006" max="11006" width="7.375" style="246" bestFit="1" customWidth="1"/>
    <col min="11007" max="11007" width="10.125" style="246" bestFit="1" customWidth="1"/>
    <col min="11008" max="11008" width="9.375" style="246"/>
    <col min="11009" max="11009" width="10.125" style="246" bestFit="1" customWidth="1"/>
    <col min="11010" max="11010" width="10.75" style="246" customWidth="1"/>
    <col min="11011" max="11013" width="9.375" style="246"/>
    <col min="11014" max="11015" width="10.75" style="246" customWidth="1"/>
    <col min="11016" max="11020" width="9.375" style="246"/>
    <col min="11021" max="11021" width="1.625" style="246" bestFit="1" customWidth="1"/>
    <col min="11022" max="11022" width="9.375" style="246"/>
    <col min="11023" max="11023" width="8.875" style="246" customWidth="1"/>
    <col min="11024" max="11024" width="13.125" style="246" customWidth="1"/>
    <col min="11025" max="11025" width="9.375" style="246"/>
    <col min="11026" max="11026" width="9.875" style="246" customWidth="1"/>
    <col min="11027" max="11027" width="11.75" style="246" bestFit="1" customWidth="1"/>
    <col min="11028" max="11257" width="9.375" style="246"/>
    <col min="11258" max="11258" width="5" style="246" customWidth="1"/>
    <col min="11259" max="11259" width="17.875" style="246" bestFit="1" customWidth="1"/>
    <col min="11260" max="11260" width="9.875" style="246" customWidth="1"/>
    <col min="11261" max="11261" width="8.875" style="246" customWidth="1"/>
    <col min="11262" max="11262" width="7.375" style="246" bestFit="1" customWidth="1"/>
    <col min="11263" max="11263" width="10.125" style="246" bestFit="1" customWidth="1"/>
    <col min="11264" max="11264" width="9.375" style="246"/>
    <col min="11265" max="11265" width="10.125" style="246" bestFit="1" customWidth="1"/>
    <col min="11266" max="11266" width="10.75" style="246" customWidth="1"/>
    <col min="11267" max="11269" width="9.375" style="246"/>
    <col min="11270" max="11271" width="10.75" style="246" customWidth="1"/>
    <col min="11272" max="11276" width="9.375" style="246"/>
    <col min="11277" max="11277" width="1.625" style="246" bestFit="1" customWidth="1"/>
    <col min="11278" max="11278" width="9.375" style="246"/>
    <col min="11279" max="11279" width="8.875" style="246" customWidth="1"/>
    <col min="11280" max="11280" width="13.125" style="246" customWidth="1"/>
    <col min="11281" max="11281" width="9.375" style="246"/>
    <col min="11282" max="11282" width="9.875" style="246" customWidth="1"/>
    <col min="11283" max="11283" width="11.75" style="246" bestFit="1" customWidth="1"/>
    <col min="11284" max="11513" width="9.375" style="246"/>
    <col min="11514" max="11514" width="5" style="246" customWidth="1"/>
    <col min="11515" max="11515" width="17.875" style="246" bestFit="1" customWidth="1"/>
    <col min="11516" max="11516" width="9.875" style="246" customWidth="1"/>
    <col min="11517" max="11517" width="8.875" style="246" customWidth="1"/>
    <col min="11518" max="11518" width="7.375" style="246" bestFit="1" customWidth="1"/>
    <col min="11519" max="11519" width="10.125" style="246" bestFit="1" customWidth="1"/>
    <col min="11520" max="11520" width="9.375" style="246"/>
    <col min="11521" max="11521" width="10.125" style="246" bestFit="1" customWidth="1"/>
    <col min="11522" max="11522" width="10.75" style="246" customWidth="1"/>
    <col min="11523" max="11525" width="9.375" style="246"/>
    <col min="11526" max="11527" width="10.75" style="246" customWidth="1"/>
    <col min="11528" max="11532" width="9.375" style="246"/>
    <col min="11533" max="11533" width="1.625" style="246" bestFit="1" customWidth="1"/>
    <col min="11534" max="11534" width="9.375" style="246"/>
    <col min="11535" max="11535" width="8.875" style="246" customWidth="1"/>
    <col min="11536" max="11536" width="13.125" style="246" customWidth="1"/>
    <col min="11537" max="11537" width="9.375" style="246"/>
    <col min="11538" max="11538" width="9.875" style="246" customWidth="1"/>
    <col min="11539" max="11539" width="11.75" style="246" bestFit="1" customWidth="1"/>
    <col min="11540" max="11769" width="9.375" style="246"/>
    <col min="11770" max="11770" width="5" style="246" customWidth="1"/>
    <col min="11771" max="11771" width="17.875" style="246" bestFit="1" customWidth="1"/>
    <col min="11772" max="11772" width="9.875" style="246" customWidth="1"/>
    <col min="11773" max="11773" width="8.875" style="246" customWidth="1"/>
    <col min="11774" max="11774" width="7.375" style="246" bestFit="1" customWidth="1"/>
    <col min="11775" max="11775" width="10.125" style="246" bestFit="1" customWidth="1"/>
    <col min="11776" max="11776" width="9.375" style="246"/>
    <col min="11777" max="11777" width="10.125" style="246" bestFit="1" customWidth="1"/>
    <col min="11778" max="11778" width="10.75" style="246" customWidth="1"/>
    <col min="11779" max="11781" width="9.375" style="246"/>
    <col min="11782" max="11783" width="10.75" style="246" customWidth="1"/>
    <col min="11784" max="11788" width="9.375" style="246"/>
    <col min="11789" max="11789" width="1.625" style="246" bestFit="1" customWidth="1"/>
    <col min="11790" max="11790" width="9.375" style="246"/>
    <col min="11791" max="11791" width="8.875" style="246" customWidth="1"/>
    <col min="11792" max="11792" width="13.125" style="246" customWidth="1"/>
    <col min="11793" max="11793" width="9.375" style="246"/>
    <col min="11794" max="11794" width="9.875" style="246" customWidth="1"/>
    <col min="11795" max="11795" width="11.75" style="246" bestFit="1" customWidth="1"/>
    <col min="11796" max="12025" width="9.375" style="246"/>
    <col min="12026" max="12026" width="5" style="246" customWidth="1"/>
    <col min="12027" max="12027" width="17.875" style="246" bestFit="1" customWidth="1"/>
    <col min="12028" max="12028" width="9.875" style="246" customWidth="1"/>
    <col min="12029" max="12029" width="8.875" style="246" customWidth="1"/>
    <col min="12030" max="12030" width="7.375" style="246" bestFit="1" customWidth="1"/>
    <col min="12031" max="12031" width="10.125" style="246" bestFit="1" customWidth="1"/>
    <col min="12032" max="12032" width="9.375" style="246"/>
    <col min="12033" max="12033" width="10.125" style="246" bestFit="1" customWidth="1"/>
    <col min="12034" max="12034" width="10.75" style="246" customWidth="1"/>
    <col min="12035" max="12037" width="9.375" style="246"/>
    <col min="12038" max="12039" width="10.75" style="246" customWidth="1"/>
    <col min="12040" max="12044" width="9.375" style="246"/>
    <col min="12045" max="12045" width="1.625" style="246" bestFit="1" customWidth="1"/>
    <col min="12046" max="12046" width="9.375" style="246"/>
    <col min="12047" max="12047" width="8.875" style="246" customWidth="1"/>
    <col min="12048" max="12048" width="13.125" style="246" customWidth="1"/>
    <col min="12049" max="12049" width="9.375" style="246"/>
    <col min="12050" max="12050" width="9.875" style="246" customWidth="1"/>
    <col min="12051" max="12051" width="11.75" style="246" bestFit="1" customWidth="1"/>
    <col min="12052" max="12281" width="9.375" style="246"/>
    <col min="12282" max="12282" width="5" style="246" customWidth="1"/>
    <col min="12283" max="12283" width="17.875" style="246" bestFit="1" customWidth="1"/>
    <col min="12284" max="12284" width="9.875" style="246" customWidth="1"/>
    <col min="12285" max="12285" width="8.875" style="246" customWidth="1"/>
    <col min="12286" max="12286" width="7.375" style="246" bestFit="1" customWidth="1"/>
    <col min="12287" max="12287" width="10.125" style="246" bestFit="1" customWidth="1"/>
    <col min="12288" max="12288" width="9.375" style="246"/>
    <col min="12289" max="12289" width="10.125" style="246" bestFit="1" customWidth="1"/>
    <col min="12290" max="12290" width="10.75" style="246" customWidth="1"/>
    <col min="12291" max="12293" width="9.375" style="246"/>
    <col min="12294" max="12295" width="10.75" style="246" customWidth="1"/>
    <col min="12296" max="12300" width="9.375" style="246"/>
    <col min="12301" max="12301" width="1.625" style="246" bestFit="1" customWidth="1"/>
    <col min="12302" max="12302" width="9.375" style="246"/>
    <col min="12303" max="12303" width="8.875" style="246" customWidth="1"/>
    <col min="12304" max="12304" width="13.125" style="246" customWidth="1"/>
    <col min="12305" max="12305" width="9.375" style="246"/>
    <col min="12306" max="12306" width="9.875" style="246" customWidth="1"/>
    <col min="12307" max="12307" width="11.75" style="246" bestFit="1" customWidth="1"/>
    <col min="12308" max="12537" width="9.375" style="246"/>
    <col min="12538" max="12538" width="5" style="246" customWidth="1"/>
    <col min="12539" max="12539" width="17.875" style="246" bestFit="1" customWidth="1"/>
    <col min="12540" max="12540" width="9.875" style="246" customWidth="1"/>
    <col min="12541" max="12541" width="8.875" style="246" customWidth="1"/>
    <col min="12542" max="12542" width="7.375" style="246" bestFit="1" customWidth="1"/>
    <col min="12543" max="12543" width="10.125" style="246" bestFit="1" customWidth="1"/>
    <col min="12544" max="12544" width="9.375" style="246"/>
    <col min="12545" max="12545" width="10.125" style="246" bestFit="1" customWidth="1"/>
    <col min="12546" max="12546" width="10.75" style="246" customWidth="1"/>
    <col min="12547" max="12549" width="9.375" style="246"/>
    <col min="12550" max="12551" width="10.75" style="246" customWidth="1"/>
    <col min="12552" max="12556" width="9.375" style="246"/>
    <col min="12557" max="12557" width="1.625" style="246" bestFit="1" customWidth="1"/>
    <col min="12558" max="12558" width="9.375" style="246"/>
    <col min="12559" max="12559" width="8.875" style="246" customWidth="1"/>
    <col min="12560" max="12560" width="13.125" style="246" customWidth="1"/>
    <col min="12561" max="12561" width="9.375" style="246"/>
    <col min="12562" max="12562" width="9.875" style="246" customWidth="1"/>
    <col min="12563" max="12563" width="11.75" style="246" bestFit="1" customWidth="1"/>
    <col min="12564" max="12793" width="9.375" style="246"/>
    <col min="12794" max="12794" width="5" style="246" customWidth="1"/>
    <col min="12795" max="12795" width="17.875" style="246" bestFit="1" customWidth="1"/>
    <col min="12796" max="12796" width="9.875" style="246" customWidth="1"/>
    <col min="12797" max="12797" width="8.875" style="246" customWidth="1"/>
    <col min="12798" max="12798" width="7.375" style="246" bestFit="1" customWidth="1"/>
    <col min="12799" max="12799" width="10.125" style="246" bestFit="1" customWidth="1"/>
    <col min="12800" max="12800" width="9.375" style="246"/>
    <col min="12801" max="12801" width="10.125" style="246" bestFit="1" customWidth="1"/>
    <col min="12802" max="12802" width="10.75" style="246" customWidth="1"/>
    <col min="12803" max="12805" width="9.375" style="246"/>
    <col min="12806" max="12807" width="10.75" style="246" customWidth="1"/>
    <col min="12808" max="12812" width="9.375" style="246"/>
    <col min="12813" max="12813" width="1.625" style="246" bestFit="1" customWidth="1"/>
    <col min="12814" max="12814" width="9.375" style="246"/>
    <col min="12815" max="12815" width="8.875" style="246" customWidth="1"/>
    <col min="12816" max="12816" width="13.125" style="246" customWidth="1"/>
    <col min="12817" max="12817" width="9.375" style="246"/>
    <col min="12818" max="12818" width="9.875" style="246" customWidth="1"/>
    <col min="12819" max="12819" width="11.75" style="246" bestFit="1" customWidth="1"/>
    <col min="12820" max="13049" width="9.375" style="246"/>
    <col min="13050" max="13050" width="5" style="246" customWidth="1"/>
    <col min="13051" max="13051" width="17.875" style="246" bestFit="1" customWidth="1"/>
    <col min="13052" max="13052" width="9.875" style="246" customWidth="1"/>
    <col min="13053" max="13053" width="8.875" style="246" customWidth="1"/>
    <col min="13054" max="13054" width="7.375" style="246" bestFit="1" customWidth="1"/>
    <col min="13055" max="13055" width="10.125" style="246" bestFit="1" customWidth="1"/>
    <col min="13056" max="13056" width="9.375" style="246"/>
    <col min="13057" max="13057" width="10.125" style="246" bestFit="1" customWidth="1"/>
    <col min="13058" max="13058" width="10.75" style="246" customWidth="1"/>
    <col min="13059" max="13061" width="9.375" style="246"/>
    <col min="13062" max="13063" width="10.75" style="246" customWidth="1"/>
    <col min="13064" max="13068" width="9.375" style="246"/>
    <col min="13069" max="13069" width="1.625" style="246" bestFit="1" customWidth="1"/>
    <col min="13070" max="13070" width="9.375" style="246"/>
    <col min="13071" max="13071" width="8.875" style="246" customWidth="1"/>
    <col min="13072" max="13072" width="13.125" style="246" customWidth="1"/>
    <col min="13073" max="13073" width="9.375" style="246"/>
    <col min="13074" max="13074" width="9.875" style="246" customWidth="1"/>
    <col min="13075" max="13075" width="11.75" style="246" bestFit="1" customWidth="1"/>
    <col min="13076" max="13305" width="9.375" style="246"/>
    <col min="13306" max="13306" width="5" style="246" customWidth="1"/>
    <col min="13307" max="13307" width="17.875" style="246" bestFit="1" customWidth="1"/>
    <col min="13308" max="13308" width="9.875" style="246" customWidth="1"/>
    <col min="13309" max="13309" width="8.875" style="246" customWidth="1"/>
    <col min="13310" max="13310" width="7.375" style="246" bestFit="1" customWidth="1"/>
    <col min="13311" max="13311" width="10.125" style="246" bestFit="1" customWidth="1"/>
    <col min="13312" max="13312" width="9.375" style="246"/>
    <col min="13313" max="13313" width="10.125" style="246" bestFit="1" customWidth="1"/>
    <col min="13314" max="13314" width="10.75" style="246" customWidth="1"/>
    <col min="13315" max="13317" width="9.375" style="246"/>
    <col min="13318" max="13319" width="10.75" style="246" customWidth="1"/>
    <col min="13320" max="13324" width="9.375" style="246"/>
    <col min="13325" max="13325" width="1.625" style="246" bestFit="1" customWidth="1"/>
    <col min="13326" max="13326" width="9.375" style="246"/>
    <col min="13327" max="13327" width="8.875" style="246" customWidth="1"/>
    <col min="13328" max="13328" width="13.125" style="246" customWidth="1"/>
    <col min="13329" max="13329" width="9.375" style="246"/>
    <col min="13330" max="13330" width="9.875" style="246" customWidth="1"/>
    <col min="13331" max="13331" width="11.75" style="246" bestFit="1" customWidth="1"/>
    <col min="13332" max="13561" width="9.375" style="246"/>
    <col min="13562" max="13562" width="5" style="246" customWidth="1"/>
    <col min="13563" max="13563" width="17.875" style="246" bestFit="1" customWidth="1"/>
    <col min="13564" max="13564" width="9.875" style="246" customWidth="1"/>
    <col min="13565" max="13565" width="8.875" style="246" customWidth="1"/>
    <col min="13566" max="13566" width="7.375" style="246" bestFit="1" customWidth="1"/>
    <col min="13567" max="13567" width="10.125" style="246" bestFit="1" customWidth="1"/>
    <col min="13568" max="13568" width="9.375" style="246"/>
    <col min="13569" max="13569" width="10.125" style="246" bestFit="1" customWidth="1"/>
    <col min="13570" max="13570" width="10.75" style="246" customWidth="1"/>
    <col min="13571" max="13573" width="9.375" style="246"/>
    <col min="13574" max="13575" width="10.75" style="246" customWidth="1"/>
    <col min="13576" max="13580" width="9.375" style="246"/>
    <col min="13581" max="13581" width="1.625" style="246" bestFit="1" customWidth="1"/>
    <col min="13582" max="13582" width="9.375" style="246"/>
    <col min="13583" max="13583" width="8.875" style="246" customWidth="1"/>
    <col min="13584" max="13584" width="13.125" style="246" customWidth="1"/>
    <col min="13585" max="13585" width="9.375" style="246"/>
    <col min="13586" max="13586" width="9.875" style="246" customWidth="1"/>
    <col min="13587" max="13587" width="11.75" style="246" bestFit="1" customWidth="1"/>
    <col min="13588" max="13817" width="9.375" style="246"/>
    <col min="13818" max="13818" width="5" style="246" customWidth="1"/>
    <col min="13819" max="13819" width="17.875" style="246" bestFit="1" customWidth="1"/>
    <col min="13820" max="13820" width="9.875" style="246" customWidth="1"/>
    <col min="13821" max="13821" width="8.875" style="246" customWidth="1"/>
    <col min="13822" max="13822" width="7.375" style="246" bestFit="1" customWidth="1"/>
    <col min="13823" max="13823" width="10.125" style="246" bestFit="1" customWidth="1"/>
    <col min="13824" max="13824" width="9.375" style="246"/>
    <col min="13825" max="13825" width="10.125" style="246" bestFit="1" customWidth="1"/>
    <col min="13826" max="13826" width="10.75" style="246" customWidth="1"/>
    <col min="13827" max="13829" width="9.375" style="246"/>
    <col min="13830" max="13831" width="10.75" style="246" customWidth="1"/>
    <col min="13832" max="13836" width="9.375" style="246"/>
    <col min="13837" max="13837" width="1.625" style="246" bestFit="1" customWidth="1"/>
    <col min="13838" max="13838" width="9.375" style="246"/>
    <col min="13839" max="13839" width="8.875" style="246" customWidth="1"/>
    <col min="13840" max="13840" width="13.125" style="246" customWidth="1"/>
    <col min="13841" max="13841" width="9.375" style="246"/>
    <col min="13842" max="13842" width="9.875" style="246" customWidth="1"/>
    <col min="13843" max="13843" width="11.75" style="246" bestFit="1" customWidth="1"/>
    <col min="13844" max="14073" width="9.375" style="246"/>
    <col min="14074" max="14074" width="5" style="246" customWidth="1"/>
    <col min="14075" max="14075" width="17.875" style="246" bestFit="1" customWidth="1"/>
    <col min="14076" max="14076" width="9.875" style="246" customWidth="1"/>
    <col min="14077" max="14077" width="8.875" style="246" customWidth="1"/>
    <col min="14078" max="14078" width="7.375" style="246" bestFit="1" customWidth="1"/>
    <col min="14079" max="14079" width="10.125" style="246" bestFit="1" customWidth="1"/>
    <col min="14080" max="14080" width="9.375" style="246"/>
    <col min="14081" max="14081" width="10.125" style="246" bestFit="1" customWidth="1"/>
    <col min="14082" max="14082" width="10.75" style="246" customWidth="1"/>
    <col min="14083" max="14085" width="9.375" style="246"/>
    <col min="14086" max="14087" width="10.75" style="246" customWidth="1"/>
    <col min="14088" max="14092" width="9.375" style="246"/>
    <col min="14093" max="14093" width="1.625" style="246" bestFit="1" customWidth="1"/>
    <col min="14094" max="14094" width="9.375" style="246"/>
    <col min="14095" max="14095" width="8.875" style="246" customWidth="1"/>
    <col min="14096" max="14096" width="13.125" style="246" customWidth="1"/>
    <col min="14097" max="14097" width="9.375" style="246"/>
    <col min="14098" max="14098" width="9.875" style="246" customWidth="1"/>
    <col min="14099" max="14099" width="11.75" style="246" bestFit="1" customWidth="1"/>
    <col min="14100" max="14329" width="9.375" style="246"/>
    <col min="14330" max="14330" width="5" style="246" customWidth="1"/>
    <col min="14331" max="14331" width="17.875" style="246" bestFit="1" customWidth="1"/>
    <col min="14332" max="14332" width="9.875" style="246" customWidth="1"/>
    <col min="14333" max="14333" width="8.875" style="246" customWidth="1"/>
    <col min="14334" max="14334" width="7.375" style="246" bestFit="1" customWidth="1"/>
    <col min="14335" max="14335" width="10.125" style="246" bestFit="1" customWidth="1"/>
    <col min="14336" max="14336" width="9.375" style="246"/>
    <col min="14337" max="14337" width="10.125" style="246" bestFit="1" customWidth="1"/>
    <col min="14338" max="14338" width="10.75" style="246" customWidth="1"/>
    <col min="14339" max="14341" width="9.375" style="246"/>
    <col min="14342" max="14343" width="10.75" style="246" customWidth="1"/>
    <col min="14344" max="14348" width="9.375" style="246"/>
    <col min="14349" max="14349" width="1.625" style="246" bestFit="1" customWidth="1"/>
    <col min="14350" max="14350" width="9.375" style="246"/>
    <col min="14351" max="14351" width="8.875" style="246" customWidth="1"/>
    <col min="14352" max="14352" width="13.125" style="246" customWidth="1"/>
    <col min="14353" max="14353" width="9.375" style="246"/>
    <col min="14354" max="14354" width="9.875" style="246" customWidth="1"/>
    <col min="14355" max="14355" width="11.75" style="246" bestFit="1" customWidth="1"/>
    <col min="14356" max="14585" width="9.375" style="246"/>
    <col min="14586" max="14586" width="5" style="246" customWidth="1"/>
    <col min="14587" max="14587" width="17.875" style="246" bestFit="1" customWidth="1"/>
    <col min="14588" max="14588" width="9.875" style="246" customWidth="1"/>
    <col min="14589" max="14589" width="8.875" style="246" customWidth="1"/>
    <col min="14590" max="14590" width="7.375" style="246" bestFit="1" customWidth="1"/>
    <col min="14591" max="14591" width="10.125" style="246" bestFit="1" customWidth="1"/>
    <col min="14592" max="14592" width="9.375" style="246"/>
    <col min="14593" max="14593" width="10.125" style="246" bestFit="1" customWidth="1"/>
    <col min="14594" max="14594" width="10.75" style="246" customWidth="1"/>
    <col min="14595" max="14597" width="9.375" style="246"/>
    <col min="14598" max="14599" width="10.75" style="246" customWidth="1"/>
    <col min="14600" max="14604" width="9.375" style="246"/>
    <col min="14605" max="14605" width="1.625" style="246" bestFit="1" customWidth="1"/>
    <col min="14606" max="14606" width="9.375" style="246"/>
    <col min="14607" max="14607" width="8.875" style="246" customWidth="1"/>
    <col min="14608" max="14608" width="13.125" style="246" customWidth="1"/>
    <col min="14609" max="14609" width="9.375" style="246"/>
    <col min="14610" max="14610" width="9.875" style="246" customWidth="1"/>
    <col min="14611" max="14611" width="11.75" style="246" bestFit="1" customWidth="1"/>
    <col min="14612" max="14841" width="9.375" style="246"/>
    <col min="14842" max="14842" width="5" style="246" customWidth="1"/>
    <col min="14843" max="14843" width="17.875" style="246" bestFit="1" customWidth="1"/>
    <col min="14844" max="14844" width="9.875" style="246" customWidth="1"/>
    <col min="14845" max="14845" width="8.875" style="246" customWidth="1"/>
    <col min="14846" max="14846" width="7.375" style="246" bestFit="1" customWidth="1"/>
    <col min="14847" max="14847" width="10.125" style="246" bestFit="1" customWidth="1"/>
    <col min="14848" max="14848" width="9.375" style="246"/>
    <col min="14849" max="14849" width="10.125" style="246" bestFit="1" customWidth="1"/>
    <col min="14850" max="14850" width="10.75" style="246" customWidth="1"/>
    <col min="14851" max="14853" width="9.375" style="246"/>
    <col min="14854" max="14855" width="10.75" style="246" customWidth="1"/>
    <col min="14856" max="14860" width="9.375" style="246"/>
    <col min="14861" max="14861" width="1.625" style="246" bestFit="1" customWidth="1"/>
    <col min="14862" max="14862" width="9.375" style="246"/>
    <col min="14863" max="14863" width="8.875" style="246" customWidth="1"/>
    <col min="14864" max="14864" width="13.125" style="246" customWidth="1"/>
    <col min="14865" max="14865" width="9.375" style="246"/>
    <col min="14866" max="14866" width="9.875" style="246" customWidth="1"/>
    <col min="14867" max="14867" width="11.75" style="246" bestFit="1" customWidth="1"/>
    <col min="14868" max="15097" width="9.375" style="246"/>
    <col min="15098" max="15098" width="5" style="246" customWidth="1"/>
    <col min="15099" max="15099" width="17.875" style="246" bestFit="1" customWidth="1"/>
    <col min="15100" max="15100" width="9.875" style="246" customWidth="1"/>
    <col min="15101" max="15101" width="8.875" style="246" customWidth="1"/>
    <col min="15102" max="15102" width="7.375" style="246" bestFit="1" customWidth="1"/>
    <col min="15103" max="15103" width="10.125" style="246" bestFit="1" customWidth="1"/>
    <col min="15104" max="15104" width="9.375" style="246"/>
    <col min="15105" max="15105" width="10.125" style="246" bestFit="1" customWidth="1"/>
    <col min="15106" max="15106" width="10.75" style="246" customWidth="1"/>
    <col min="15107" max="15109" width="9.375" style="246"/>
    <col min="15110" max="15111" width="10.75" style="246" customWidth="1"/>
    <col min="15112" max="15116" width="9.375" style="246"/>
    <col min="15117" max="15117" width="1.625" style="246" bestFit="1" customWidth="1"/>
    <col min="15118" max="15118" width="9.375" style="246"/>
    <col min="15119" max="15119" width="8.875" style="246" customWidth="1"/>
    <col min="15120" max="15120" width="13.125" style="246" customWidth="1"/>
    <col min="15121" max="15121" width="9.375" style="246"/>
    <col min="15122" max="15122" width="9.875" style="246" customWidth="1"/>
    <col min="15123" max="15123" width="11.75" style="246" bestFit="1" customWidth="1"/>
    <col min="15124" max="15353" width="9.375" style="246"/>
    <col min="15354" max="15354" width="5" style="246" customWidth="1"/>
    <col min="15355" max="15355" width="17.875" style="246" bestFit="1" customWidth="1"/>
    <col min="15356" max="15356" width="9.875" style="246" customWidth="1"/>
    <col min="15357" max="15357" width="8.875" style="246" customWidth="1"/>
    <col min="15358" max="15358" width="7.375" style="246" bestFit="1" customWidth="1"/>
    <col min="15359" max="15359" width="10.125" style="246" bestFit="1" customWidth="1"/>
    <col min="15360" max="15360" width="9.375" style="246"/>
    <col min="15361" max="15361" width="10.125" style="246" bestFit="1" customWidth="1"/>
    <col min="15362" max="15362" width="10.75" style="246" customWidth="1"/>
    <col min="15363" max="15365" width="9.375" style="246"/>
    <col min="15366" max="15367" width="10.75" style="246" customWidth="1"/>
    <col min="15368" max="15372" width="9.375" style="246"/>
    <col min="15373" max="15373" width="1.625" style="246" bestFit="1" customWidth="1"/>
    <col min="15374" max="15374" width="9.375" style="246"/>
    <col min="15375" max="15375" width="8.875" style="246" customWidth="1"/>
    <col min="15376" max="15376" width="13.125" style="246" customWidth="1"/>
    <col min="15377" max="15377" width="9.375" style="246"/>
    <col min="15378" max="15378" width="9.875" style="246" customWidth="1"/>
    <col min="15379" max="15379" width="11.75" style="246" bestFit="1" customWidth="1"/>
    <col min="15380" max="15609" width="9.375" style="246"/>
    <col min="15610" max="15610" width="5" style="246" customWidth="1"/>
    <col min="15611" max="15611" width="17.875" style="246" bestFit="1" customWidth="1"/>
    <col min="15612" max="15612" width="9.875" style="246" customWidth="1"/>
    <col min="15613" max="15613" width="8.875" style="246" customWidth="1"/>
    <col min="15614" max="15614" width="7.375" style="246" bestFit="1" customWidth="1"/>
    <col min="15615" max="15615" width="10.125" style="246" bestFit="1" customWidth="1"/>
    <col min="15616" max="15616" width="9.375" style="246"/>
    <col min="15617" max="15617" width="10.125" style="246" bestFit="1" customWidth="1"/>
    <col min="15618" max="15618" width="10.75" style="246" customWidth="1"/>
    <col min="15619" max="15621" width="9.375" style="246"/>
    <col min="15622" max="15623" width="10.75" style="246" customWidth="1"/>
    <col min="15624" max="15628" width="9.375" style="246"/>
    <col min="15629" max="15629" width="1.625" style="246" bestFit="1" customWidth="1"/>
    <col min="15630" max="15630" width="9.375" style="246"/>
    <col min="15631" max="15631" width="8.875" style="246" customWidth="1"/>
    <col min="15632" max="15632" width="13.125" style="246" customWidth="1"/>
    <col min="15633" max="15633" width="9.375" style="246"/>
    <col min="15634" max="15634" width="9.875" style="246" customWidth="1"/>
    <col min="15635" max="15635" width="11.75" style="246" bestFit="1" customWidth="1"/>
    <col min="15636" max="15865" width="9.375" style="246"/>
    <col min="15866" max="15866" width="5" style="246" customWidth="1"/>
    <col min="15867" max="15867" width="17.875" style="246" bestFit="1" customWidth="1"/>
    <col min="15868" max="15868" width="9.875" style="246" customWidth="1"/>
    <col min="15869" max="15869" width="8.875" style="246" customWidth="1"/>
    <col min="15870" max="15870" width="7.375" style="246" bestFit="1" customWidth="1"/>
    <col min="15871" max="15871" width="10.125" style="246" bestFit="1" customWidth="1"/>
    <col min="15872" max="15872" width="9.375" style="246"/>
    <col min="15873" max="15873" width="10.125" style="246" bestFit="1" customWidth="1"/>
    <col min="15874" max="15874" width="10.75" style="246" customWidth="1"/>
    <col min="15875" max="15877" width="9.375" style="246"/>
    <col min="15878" max="15879" width="10.75" style="246" customWidth="1"/>
    <col min="15880" max="15884" width="9.375" style="246"/>
    <col min="15885" max="15885" width="1.625" style="246" bestFit="1" customWidth="1"/>
    <col min="15886" max="15886" width="9.375" style="246"/>
    <col min="15887" max="15887" width="8.875" style="246" customWidth="1"/>
    <col min="15888" max="15888" width="13.125" style="246" customWidth="1"/>
    <col min="15889" max="15889" width="9.375" style="246"/>
    <col min="15890" max="15890" width="9.875" style="246" customWidth="1"/>
    <col min="15891" max="15891" width="11.75" style="246" bestFit="1" customWidth="1"/>
    <col min="15892" max="16121" width="9.375" style="246"/>
    <col min="16122" max="16122" width="5" style="246" customWidth="1"/>
    <col min="16123" max="16123" width="17.875" style="246" bestFit="1" customWidth="1"/>
    <col min="16124" max="16124" width="9.875" style="246" customWidth="1"/>
    <col min="16125" max="16125" width="8.875" style="246" customWidth="1"/>
    <col min="16126" max="16126" width="7.375" style="246" bestFit="1" customWidth="1"/>
    <col min="16127" max="16127" width="10.125" style="246" bestFit="1" customWidth="1"/>
    <col min="16128" max="16128" width="9.375" style="246"/>
    <col min="16129" max="16129" width="10.125" style="246" bestFit="1" customWidth="1"/>
    <col min="16130" max="16130" width="10.75" style="246" customWidth="1"/>
    <col min="16131" max="16133" width="9.375" style="246"/>
    <col min="16134" max="16135" width="10.75" style="246" customWidth="1"/>
    <col min="16136" max="16140" width="9.375" style="246"/>
    <col min="16141" max="16141" width="1.625" style="246" bestFit="1" customWidth="1"/>
    <col min="16142" max="16142" width="9.375" style="246"/>
    <col min="16143" max="16143" width="8.875" style="246" customWidth="1"/>
    <col min="16144" max="16144" width="13.125" style="246" customWidth="1"/>
    <col min="16145" max="16145" width="9.375" style="246"/>
    <col min="16146" max="16146" width="9.875" style="246" customWidth="1"/>
    <col min="16147" max="16147" width="11.75" style="246" bestFit="1" customWidth="1"/>
    <col min="16148" max="16384" width="9.375" style="246"/>
  </cols>
  <sheetData>
    <row r="1" spans="1:22" s="51" customFormat="1" ht="21" x14ac:dyDescent="0.2">
      <c r="A1" s="235" t="s">
        <v>508</v>
      </c>
      <c r="B1" s="50"/>
      <c r="C1" s="50"/>
      <c r="D1" s="241"/>
      <c r="E1" s="241"/>
      <c r="F1" s="241"/>
      <c r="G1" s="241"/>
      <c r="H1" s="242"/>
      <c r="I1" s="242"/>
      <c r="J1" s="242"/>
      <c r="K1" s="242"/>
      <c r="L1" s="242"/>
      <c r="M1" s="242"/>
      <c r="O1" s="242"/>
      <c r="P1" s="243"/>
      <c r="Q1" s="68"/>
      <c r="R1" s="243"/>
      <c r="S1" s="243"/>
      <c r="T1" s="68"/>
      <c r="U1" s="68"/>
      <c r="V1" s="68"/>
    </row>
    <row r="2" spans="1:22" s="61" customFormat="1" ht="21" x14ac:dyDescent="0.35">
      <c r="A2" s="33" t="str">
        <f>Paramètres!B5</f>
        <v>Acomptes 2018</v>
      </c>
      <c r="P2" s="245"/>
      <c r="Q2" s="244"/>
      <c r="R2" s="245"/>
      <c r="S2" s="245"/>
      <c r="T2" s="244"/>
      <c r="U2" s="244"/>
      <c r="V2" s="244"/>
    </row>
    <row r="4" spans="1:22" s="258" customFormat="1" ht="135" x14ac:dyDescent="0.2">
      <c r="A4" s="468" t="s">
        <v>50</v>
      </c>
      <c r="B4" s="468" t="s">
        <v>101</v>
      </c>
      <c r="C4" s="468" t="s">
        <v>502</v>
      </c>
      <c r="D4" s="468" t="s">
        <v>310</v>
      </c>
      <c r="E4" s="468" t="s">
        <v>498</v>
      </c>
      <c r="F4" s="468" t="s">
        <v>503</v>
      </c>
      <c r="G4" s="468" t="s">
        <v>465</v>
      </c>
      <c r="H4" s="470" t="s">
        <v>347</v>
      </c>
      <c r="I4" s="261" t="s">
        <v>509</v>
      </c>
      <c r="J4" s="468" t="s">
        <v>512</v>
      </c>
      <c r="K4" s="468" t="s">
        <v>504</v>
      </c>
      <c r="L4" s="468" t="s">
        <v>505</v>
      </c>
      <c r="M4" s="468" t="s">
        <v>513</v>
      </c>
      <c r="N4" s="261" t="s">
        <v>506</v>
      </c>
      <c r="O4" s="468" t="s">
        <v>507</v>
      </c>
      <c r="P4" s="256"/>
      <c r="Q4" s="255"/>
      <c r="R4" s="256"/>
      <c r="S4" s="257"/>
      <c r="T4" s="255"/>
      <c r="U4" s="255"/>
      <c r="V4" s="255"/>
    </row>
    <row r="5" spans="1:22" s="258" customFormat="1" x14ac:dyDescent="0.2">
      <c r="A5" s="469"/>
      <c r="B5" s="469"/>
      <c r="C5" s="469"/>
      <c r="D5" s="469"/>
      <c r="E5" s="469"/>
      <c r="F5" s="469"/>
      <c r="G5" s="469"/>
      <c r="H5" s="471"/>
      <c r="I5" s="278">
        <f>Paramètres!B66</f>
        <v>2</v>
      </c>
      <c r="J5" s="469"/>
      <c r="K5" s="469"/>
      <c r="L5" s="469"/>
      <c r="M5" s="469"/>
      <c r="N5" s="327">
        <f>+N315/M315</f>
        <v>1.3019253768431889</v>
      </c>
      <c r="O5" s="469"/>
      <c r="P5" s="257"/>
      <c r="Q5" s="255"/>
      <c r="R5" s="257"/>
      <c r="S5" s="257"/>
      <c r="T5" s="255"/>
      <c r="U5" s="255"/>
      <c r="V5" s="255"/>
    </row>
    <row r="6" spans="1:22" x14ac:dyDescent="0.25">
      <c r="A6" s="368">
        <f>'A) Base RI'!A7</f>
        <v>5401</v>
      </c>
      <c r="B6" s="259" t="str">
        <f>'A) Base RI'!B7</f>
        <v>Aigle</v>
      </c>
      <c r="C6" s="275">
        <v>1</v>
      </c>
      <c r="D6" s="249">
        <f>'B) D RI'!AA7</f>
        <v>9740</v>
      </c>
      <c r="E6" s="250">
        <f>'B) D RI'!S7</f>
        <v>67.5</v>
      </c>
      <c r="F6" s="14">
        <f>'B) D RI'!R7</f>
        <v>18508781.288333334</v>
      </c>
      <c r="G6" s="14">
        <f>'B) D RI'!U7</f>
        <v>274204.16723456793</v>
      </c>
      <c r="H6" s="49">
        <f>'B) D RI'!T7</f>
        <v>16848193.48</v>
      </c>
      <c r="I6" s="62">
        <f>+H6/E6*$I$5</f>
        <v>499205.73274074076</v>
      </c>
      <c r="J6" s="100">
        <f t="shared" ref="J6:J37" si="0">+$I$315/$D$315*D6</f>
        <v>844762.94625183218</v>
      </c>
      <c r="K6" s="62">
        <f t="shared" ref="K6:K69" si="1">IF(C6=1,0,IF(J6&gt;I6,I6,J6))</f>
        <v>0</v>
      </c>
      <c r="L6" s="62">
        <f>+J6-K6</f>
        <v>844762.94625183218</v>
      </c>
      <c r="M6" s="62">
        <f>'D) Ecrêtage'!M5</f>
        <v>274204.16723456793</v>
      </c>
      <c r="N6" s="62">
        <f t="shared" ref="N6:N37" si="2">+$N$5*M6</f>
        <v>356993.36375883763</v>
      </c>
      <c r="O6" s="114">
        <f>+N6+K6</f>
        <v>356993.36375883763</v>
      </c>
      <c r="P6" s="251"/>
      <c r="Q6" s="252"/>
      <c r="T6" s="253"/>
    </row>
    <row r="7" spans="1:22" x14ac:dyDescent="0.25">
      <c r="A7" s="369">
        <f>'A) Base RI'!A8</f>
        <v>5402</v>
      </c>
      <c r="B7" s="260" t="str">
        <f>'A) Base RI'!B8</f>
        <v>Bex</v>
      </c>
      <c r="C7" s="276">
        <v>1</v>
      </c>
      <c r="D7" s="249">
        <f>'B) D RI'!AA8</f>
        <v>7424</v>
      </c>
      <c r="E7" s="250">
        <f>'B) D RI'!S8</f>
        <v>71</v>
      </c>
      <c r="F7" s="14">
        <f>'B) D RI'!R8</f>
        <v>11971924.26</v>
      </c>
      <c r="G7" s="14">
        <f>'B) D RI'!U8</f>
        <v>168618.65154929578</v>
      </c>
      <c r="H7" s="49">
        <f>'B) D RI'!T8</f>
        <v>10758658.140000001</v>
      </c>
      <c r="I7" s="14">
        <f t="shared" ref="I7:I70" si="3">+H7/E7*$I$5</f>
        <v>303060.79267605633</v>
      </c>
      <c r="J7" s="39">
        <f t="shared" si="0"/>
        <v>643893.23541823425</v>
      </c>
      <c r="K7" s="14">
        <f t="shared" si="1"/>
        <v>0</v>
      </c>
      <c r="L7" s="14">
        <f t="shared" ref="L7:L70" si="4">+J7-K7</f>
        <v>643893.23541823425</v>
      </c>
      <c r="M7" s="14">
        <f>'D) Ecrêtage'!M6</f>
        <v>168618.65154929578</v>
      </c>
      <c r="N7" s="14">
        <f t="shared" si="2"/>
        <v>219528.90146110728</v>
      </c>
      <c r="O7" s="66">
        <f t="shared" ref="O7:O69" si="5">+N7+K7</f>
        <v>219528.90146110728</v>
      </c>
      <c r="P7" s="251"/>
      <c r="Q7" s="252"/>
      <c r="T7" s="253"/>
    </row>
    <row r="8" spans="1:22" x14ac:dyDescent="0.25">
      <c r="A8" s="369">
        <f>'A) Base RI'!A9</f>
        <v>5403</v>
      </c>
      <c r="B8" s="260" t="str">
        <f>'A) Base RI'!B9</f>
        <v>Chessel</v>
      </c>
      <c r="C8" s="276">
        <v>0</v>
      </c>
      <c r="D8" s="249">
        <f>'B) D RI'!AA9</f>
        <v>395</v>
      </c>
      <c r="E8" s="250">
        <f>'B) D RI'!S9</f>
        <v>76</v>
      </c>
      <c r="F8" s="14">
        <f>'B) D RI'!R9</f>
        <v>633601.15000000014</v>
      </c>
      <c r="G8" s="14">
        <f>'B) D RI'!U9</f>
        <v>8336.8572368421064</v>
      </c>
      <c r="H8" s="49">
        <f>'B) D RI'!T9</f>
        <v>583474.50000000012</v>
      </c>
      <c r="I8" s="14">
        <f t="shared" si="3"/>
        <v>15354.59210526316</v>
      </c>
      <c r="J8" s="39">
        <f t="shared" si="0"/>
        <v>34258.866916783751</v>
      </c>
      <c r="K8" s="14">
        <f t="shared" si="1"/>
        <v>15354.59210526316</v>
      </c>
      <c r="L8" s="14">
        <f t="shared" si="4"/>
        <v>18904.27481152059</v>
      </c>
      <c r="M8" s="14">
        <f>'D) Ecrêtage'!M7</f>
        <v>8336.8572368421064</v>
      </c>
      <c r="N8" s="14">
        <f t="shared" si="2"/>
        <v>10853.965999763526</v>
      </c>
      <c r="O8" s="66">
        <f t="shared" si="5"/>
        <v>26208.558105026685</v>
      </c>
      <c r="P8" s="251"/>
      <c r="Q8" s="252"/>
      <c r="T8" s="253"/>
    </row>
    <row r="9" spans="1:22" x14ac:dyDescent="0.25">
      <c r="A9" s="369">
        <f>'A) Base RI'!A10</f>
        <v>5404</v>
      </c>
      <c r="B9" s="260" t="str">
        <f>'A) Base RI'!B10</f>
        <v>Corbeyrier</v>
      </c>
      <c r="C9" s="276">
        <v>0</v>
      </c>
      <c r="D9" s="249">
        <f>'B) D RI'!AA10</f>
        <v>440</v>
      </c>
      <c r="E9" s="250">
        <f>'B) D RI'!S10</f>
        <v>70</v>
      </c>
      <c r="F9" s="14">
        <f>'B) D RI'!R10</f>
        <v>794487.70000000007</v>
      </c>
      <c r="G9" s="14">
        <f>'B) D RI'!U10</f>
        <v>11349.824285714287</v>
      </c>
      <c r="H9" s="49">
        <f>'B) D RI'!T10</f>
        <v>722080.60000000009</v>
      </c>
      <c r="I9" s="14">
        <f t="shared" si="3"/>
        <v>20630.87428571429</v>
      </c>
      <c r="J9" s="39">
        <f t="shared" si="0"/>
        <v>38161.775806037593</v>
      </c>
      <c r="K9" s="14">
        <f t="shared" si="1"/>
        <v>20630.87428571429</v>
      </c>
      <c r="L9" s="14">
        <f t="shared" si="4"/>
        <v>17530.901520323303</v>
      </c>
      <c r="M9" s="14">
        <f>'D) Ecrêtage'!M8</f>
        <v>11349.824285714287</v>
      </c>
      <c r="N9" s="14">
        <f t="shared" si="2"/>
        <v>14776.62426028255</v>
      </c>
      <c r="O9" s="66">
        <f t="shared" si="5"/>
        <v>35407.498545996837</v>
      </c>
      <c r="P9" s="251"/>
      <c r="Q9" s="252"/>
      <c r="T9" s="253"/>
    </row>
    <row r="10" spans="1:22" x14ac:dyDescent="0.25">
      <c r="A10" s="369">
        <f>'A) Base RI'!A11</f>
        <v>5405</v>
      </c>
      <c r="B10" s="260" t="str">
        <f>'A) Base RI'!B11</f>
        <v>Gryon</v>
      </c>
      <c r="C10" s="276">
        <v>0</v>
      </c>
      <c r="D10" s="249">
        <f>'B) D RI'!AA11</f>
        <v>1342</v>
      </c>
      <c r="E10" s="250">
        <f>'B) D RI'!S11</f>
        <v>75</v>
      </c>
      <c r="F10" s="14">
        <f>'B) D RI'!R11</f>
        <v>4864871.3933333335</v>
      </c>
      <c r="G10" s="14">
        <f>'B) D RI'!U11</f>
        <v>64864.951911111115</v>
      </c>
      <c r="H10" s="49">
        <f>'B) D RI'!T11</f>
        <v>4353912.5600000005</v>
      </c>
      <c r="I10" s="14">
        <f t="shared" si="3"/>
        <v>116104.33493333335</v>
      </c>
      <c r="J10" s="39">
        <f t="shared" si="0"/>
        <v>116393.41620841465</v>
      </c>
      <c r="K10" s="14">
        <f t="shared" si="1"/>
        <v>116104.33493333335</v>
      </c>
      <c r="L10" s="14">
        <f t="shared" si="4"/>
        <v>289.08127508130565</v>
      </c>
      <c r="M10" s="14">
        <f>'D) Ecrêtage'!M9</f>
        <v>64864.951911111115</v>
      </c>
      <c r="N10" s="14">
        <f t="shared" si="2"/>
        <v>84449.326960788661</v>
      </c>
      <c r="O10" s="66">
        <f t="shared" si="5"/>
        <v>200553.66189412202</v>
      </c>
      <c r="P10" s="251"/>
      <c r="Q10" s="252"/>
      <c r="T10" s="253"/>
    </row>
    <row r="11" spans="1:22" x14ac:dyDescent="0.25">
      <c r="A11" s="369">
        <f>'A) Base RI'!A12</f>
        <v>5406</v>
      </c>
      <c r="B11" s="260" t="str">
        <f>'A) Base RI'!B12</f>
        <v>Lavey-Morcles</v>
      </c>
      <c r="C11" s="276">
        <v>0</v>
      </c>
      <c r="D11" s="249">
        <f>'B) D RI'!AA12</f>
        <v>922</v>
      </c>
      <c r="E11" s="250">
        <f>'B) D RI'!S12</f>
        <v>71</v>
      </c>
      <c r="F11" s="14">
        <f>'B) D RI'!R12</f>
        <v>1437670.97</v>
      </c>
      <c r="G11" s="14">
        <f>'B) D RI'!U12</f>
        <v>20248.886901408452</v>
      </c>
      <c r="H11" s="49">
        <f>'B) D RI'!T12</f>
        <v>1296612.97</v>
      </c>
      <c r="I11" s="14">
        <f t="shared" si="3"/>
        <v>36524.309014084509</v>
      </c>
      <c r="J11" s="39">
        <f t="shared" si="0"/>
        <v>79966.266575378773</v>
      </c>
      <c r="K11" s="14">
        <f t="shared" si="1"/>
        <v>36524.309014084509</v>
      </c>
      <c r="L11" s="14">
        <f t="shared" si="4"/>
        <v>43441.957561294264</v>
      </c>
      <c r="M11" s="14">
        <f>'D) Ecrêtage'!M10</f>
        <v>20248.886901408452</v>
      </c>
      <c r="N11" s="14">
        <f t="shared" si="2"/>
        <v>26362.53970977131</v>
      </c>
      <c r="O11" s="66">
        <f t="shared" si="5"/>
        <v>62886.848723855815</v>
      </c>
      <c r="P11" s="251"/>
      <c r="Q11" s="252"/>
      <c r="T11" s="253"/>
    </row>
    <row r="12" spans="1:22" x14ac:dyDescent="0.25">
      <c r="A12" s="369">
        <f>'A) Base RI'!A13</f>
        <v>5407</v>
      </c>
      <c r="B12" s="260" t="str">
        <f>'A) Base RI'!B13</f>
        <v>Leysin</v>
      </c>
      <c r="C12" s="276">
        <v>0</v>
      </c>
      <c r="D12" s="249">
        <f>'B) D RI'!AA13</f>
        <v>4088</v>
      </c>
      <c r="E12" s="250">
        <f>'B) D RI'!S13</f>
        <v>78</v>
      </c>
      <c r="F12" s="14">
        <f>'B) D RI'!R13</f>
        <v>6443656.0299999984</v>
      </c>
      <c r="G12" s="14">
        <f>'B) D RI'!U13</f>
        <v>82610.97474358973</v>
      </c>
      <c r="H12" s="49">
        <f>'B) D RI'!T13</f>
        <v>5604002.4299999988</v>
      </c>
      <c r="I12" s="14">
        <f t="shared" si="3"/>
        <v>143692.36999999997</v>
      </c>
      <c r="J12" s="39">
        <f t="shared" si="0"/>
        <v>354557.58976154926</v>
      </c>
      <c r="K12" s="14">
        <f t="shared" si="1"/>
        <v>143692.36999999997</v>
      </c>
      <c r="L12" s="14">
        <f t="shared" si="4"/>
        <v>210865.21976154929</v>
      </c>
      <c r="M12" s="14">
        <f>'D) Ecrêtage'!M11</f>
        <v>82610.97474358973</v>
      </c>
      <c r="N12" s="14">
        <f t="shared" si="2"/>
        <v>107553.32442443122</v>
      </c>
      <c r="O12" s="66">
        <f t="shared" si="5"/>
        <v>251245.69442443119</v>
      </c>
      <c r="P12" s="251"/>
      <c r="Q12" s="252"/>
      <c r="T12" s="253"/>
    </row>
    <row r="13" spans="1:22" x14ac:dyDescent="0.25">
      <c r="A13" s="369">
        <f>'A) Base RI'!A14</f>
        <v>5408</v>
      </c>
      <c r="B13" s="260" t="str">
        <f>'A) Base RI'!B14</f>
        <v>Noville</v>
      </c>
      <c r="C13" s="276">
        <v>0</v>
      </c>
      <c r="D13" s="249">
        <f>'B) D RI'!AA14</f>
        <v>1056</v>
      </c>
      <c r="E13" s="250">
        <f>'B) D RI'!S14</f>
        <v>78.5</v>
      </c>
      <c r="F13" s="14">
        <f>'B) D RI'!R14</f>
        <v>2623435.4866666663</v>
      </c>
      <c r="G13" s="14">
        <f>'B) D RI'!U14</f>
        <v>33419.560339702759</v>
      </c>
      <c r="H13" s="49">
        <f>'B) D RI'!T14</f>
        <v>2410715.5199999996</v>
      </c>
      <c r="I13" s="14">
        <f t="shared" si="3"/>
        <v>61419.503694267507</v>
      </c>
      <c r="J13" s="39">
        <f t="shared" si="0"/>
        <v>91588.26193449022</v>
      </c>
      <c r="K13" s="14">
        <f t="shared" si="1"/>
        <v>61419.503694267507</v>
      </c>
      <c r="L13" s="14">
        <f t="shared" si="4"/>
        <v>30168.758240222713</v>
      </c>
      <c r="M13" s="14">
        <f>'D) Ecrêtage'!M12</f>
        <v>33419.560339702759</v>
      </c>
      <c r="N13" s="14">
        <f t="shared" si="2"/>
        <v>43509.773689201204</v>
      </c>
      <c r="O13" s="66">
        <f t="shared" si="5"/>
        <v>104929.27738346871</v>
      </c>
      <c r="P13" s="251"/>
      <c r="Q13" s="252"/>
      <c r="T13" s="253"/>
    </row>
    <row r="14" spans="1:22" x14ac:dyDescent="0.25">
      <c r="A14" s="369">
        <f>'A) Base RI'!A15</f>
        <v>5409</v>
      </c>
      <c r="B14" s="260" t="str">
        <f>'A) Base RI'!B15</f>
        <v>Ollon</v>
      </c>
      <c r="C14" s="276">
        <v>1</v>
      </c>
      <c r="D14" s="249">
        <f>'B) D RI'!AA15</f>
        <v>7473</v>
      </c>
      <c r="E14" s="250">
        <f>'B) D RI'!S15</f>
        <v>68</v>
      </c>
      <c r="F14" s="14">
        <f>'B) D RI'!R15</f>
        <v>24890362.277692307</v>
      </c>
      <c r="G14" s="14">
        <f>'B) D RI'!U15</f>
        <v>366034.73937782802</v>
      </c>
      <c r="H14" s="49">
        <f>'B) D RI'!T15</f>
        <v>21981641.969999999</v>
      </c>
      <c r="I14" s="14">
        <f t="shared" si="3"/>
        <v>646518.88147058815</v>
      </c>
      <c r="J14" s="39">
        <f t="shared" si="0"/>
        <v>648143.06954208843</v>
      </c>
      <c r="K14" s="14">
        <f t="shared" si="1"/>
        <v>0</v>
      </c>
      <c r="L14" s="14">
        <f t="shared" si="4"/>
        <v>648143.06954208843</v>
      </c>
      <c r="M14" s="14">
        <f>'D) Ecrêtage'!M13</f>
        <v>366034.73937782802</v>
      </c>
      <c r="N14" s="14">
        <f t="shared" si="2"/>
        <v>476549.91600217717</v>
      </c>
      <c r="O14" s="66">
        <f t="shared" si="5"/>
        <v>476549.91600217717</v>
      </c>
      <c r="P14" s="251"/>
      <c r="Q14" s="252"/>
      <c r="T14" s="253"/>
    </row>
    <row r="15" spans="1:22" x14ac:dyDescent="0.25">
      <c r="A15" s="369">
        <f>'A) Base RI'!A16</f>
        <v>5410</v>
      </c>
      <c r="B15" s="260" t="str">
        <f>'A) Base RI'!B16</f>
        <v>Ormont-Dessous</v>
      </c>
      <c r="C15" s="276">
        <v>0</v>
      </c>
      <c r="D15" s="249">
        <f>'B) D RI'!AA16</f>
        <v>1105</v>
      </c>
      <c r="E15" s="250">
        <f>'B) D RI'!S16</f>
        <v>78.5</v>
      </c>
      <c r="F15" s="14">
        <f>'B) D RI'!R16</f>
        <v>2861498.5066666668</v>
      </c>
      <c r="G15" s="14">
        <f>'B) D RI'!U16</f>
        <v>36452.210276008496</v>
      </c>
      <c r="H15" s="49">
        <f>'B) D RI'!T16</f>
        <v>2499932.44</v>
      </c>
      <c r="I15" s="14">
        <f t="shared" si="3"/>
        <v>63692.546242038217</v>
      </c>
      <c r="J15" s="39">
        <f t="shared" si="0"/>
        <v>95838.09605834441</v>
      </c>
      <c r="K15" s="14">
        <f t="shared" si="1"/>
        <v>63692.546242038217</v>
      </c>
      <c r="L15" s="14">
        <f t="shared" si="4"/>
        <v>32145.549816306193</v>
      </c>
      <c r="M15" s="14">
        <f>'D) Ecrêtage'!M14</f>
        <v>36452.210276008496</v>
      </c>
      <c r="N15" s="14">
        <f t="shared" si="2"/>
        <v>47458.057600359527</v>
      </c>
      <c r="O15" s="66">
        <f t="shared" si="5"/>
        <v>111150.60384239774</v>
      </c>
      <c r="P15" s="251"/>
      <c r="Q15" s="252"/>
      <c r="T15" s="253"/>
    </row>
    <row r="16" spans="1:22" s="247" customFormat="1" x14ac:dyDescent="0.25">
      <c r="A16" s="369">
        <f>'A) Base RI'!A17</f>
        <v>5411</v>
      </c>
      <c r="B16" s="260" t="str">
        <f>'A) Base RI'!B17</f>
        <v>Ormont-Dessus</v>
      </c>
      <c r="C16" s="276">
        <v>0</v>
      </c>
      <c r="D16" s="249">
        <f>'B) D RI'!AA17</f>
        <v>1479</v>
      </c>
      <c r="E16" s="250">
        <f>'B) D RI'!S17</f>
        <v>76</v>
      </c>
      <c r="F16" s="14">
        <f>'B) D RI'!R17</f>
        <v>5627642.29</v>
      </c>
      <c r="G16" s="14">
        <f>'B) D RI'!U17</f>
        <v>74047.924868421047</v>
      </c>
      <c r="H16" s="49">
        <f>'B) D RI'!T17</f>
        <v>4839362.1900000004</v>
      </c>
      <c r="I16" s="14">
        <f t="shared" si="3"/>
        <v>127351.63657894738</v>
      </c>
      <c r="J16" s="39">
        <f t="shared" si="0"/>
        <v>128275.60549347637</v>
      </c>
      <c r="K16" s="14">
        <f t="shared" si="1"/>
        <v>127351.63657894738</v>
      </c>
      <c r="L16" s="14">
        <f t="shared" si="4"/>
        <v>923.96891452898853</v>
      </c>
      <c r="M16" s="14">
        <f>'D) Ecrêtage'!M15</f>
        <v>74047.924868421047</v>
      </c>
      <c r="N16" s="14">
        <f t="shared" si="2"/>
        <v>96404.872488775203</v>
      </c>
      <c r="O16" s="66">
        <f t="shared" si="5"/>
        <v>223756.5090677226</v>
      </c>
      <c r="P16" s="251"/>
      <c r="Q16" s="252"/>
      <c r="R16" s="248"/>
      <c r="S16" s="248"/>
      <c r="T16" s="253"/>
    </row>
    <row r="17" spans="1:20" s="247" customFormat="1" x14ac:dyDescent="0.25">
      <c r="A17" s="369">
        <f>'A) Base RI'!A18</f>
        <v>5412</v>
      </c>
      <c r="B17" s="260" t="str">
        <f>'A) Base RI'!B18</f>
        <v>Rennaz</v>
      </c>
      <c r="C17" s="276">
        <v>0</v>
      </c>
      <c r="D17" s="249">
        <f>'B) D RI'!AA18</f>
        <v>843</v>
      </c>
      <c r="E17" s="250">
        <f>'B) D RI'!S18</f>
        <v>67.5</v>
      </c>
      <c r="F17" s="14">
        <f>'B) D RI'!R18</f>
        <v>1770135.4000000001</v>
      </c>
      <c r="G17" s="14">
        <f>'B) D RI'!U18</f>
        <v>26224.228148148151</v>
      </c>
      <c r="H17" s="49">
        <f>'B) D RI'!T18</f>
        <v>1550172.8</v>
      </c>
      <c r="I17" s="14">
        <f t="shared" si="3"/>
        <v>45931.04592592593</v>
      </c>
      <c r="J17" s="39">
        <f t="shared" si="0"/>
        <v>73114.493192022026</v>
      </c>
      <c r="K17" s="14">
        <f t="shared" si="1"/>
        <v>45931.04592592593</v>
      </c>
      <c r="L17" s="14">
        <f t="shared" si="4"/>
        <v>27183.447266096096</v>
      </c>
      <c r="M17" s="14">
        <f>'D) Ecrêtage'!M16</f>
        <v>26224.228148148151</v>
      </c>
      <c r="N17" s="14">
        <f t="shared" si="2"/>
        <v>34141.988114199543</v>
      </c>
      <c r="O17" s="66">
        <f t="shared" si="5"/>
        <v>80073.034040125465</v>
      </c>
      <c r="P17" s="251"/>
      <c r="Q17" s="252"/>
      <c r="R17" s="248"/>
      <c r="S17" s="248"/>
      <c r="T17" s="253"/>
    </row>
    <row r="18" spans="1:20" s="247" customFormat="1" x14ac:dyDescent="0.25">
      <c r="A18" s="369">
        <f>'A) Base RI'!A19</f>
        <v>5413</v>
      </c>
      <c r="B18" s="260" t="str">
        <f>'A) Base RI'!B19</f>
        <v>Roche</v>
      </c>
      <c r="C18" s="276">
        <v>0</v>
      </c>
      <c r="D18" s="249">
        <f>'B) D RI'!AA19</f>
        <v>1597</v>
      </c>
      <c r="E18" s="250">
        <f>'B) D RI'!S19</f>
        <v>68</v>
      </c>
      <c r="F18" s="14">
        <f>'B) D RI'!R19</f>
        <v>2646847.5300000003</v>
      </c>
      <c r="G18" s="14">
        <f>'B) D RI'!U19</f>
        <v>38924.228382352943</v>
      </c>
      <c r="H18" s="49">
        <f>'B) D RI'!T19</f>
        <v>2449490.7800000003</v>
      </c>
      <c r="I18" s="14">
        <f t="shared" si="3"/>
        <v>72043.846470588236</v>
      </c>
      <c r="J18" s="39">
        <f t="shared" si="0"/>
        <v>138509.89991418645</v>
      </c>
      <c r="K18" s="14">
        <f t="shared" si="1"/>
        <v>72043.846470588236</v>
      </c>
      <c r="L18" s="14">
        <f t="shared" si="4"/>
        <v>66466.053443598212</v>
      </c>
      <c r="M18" s="14">
        <f>'D) Ecrêtage'!M17</f>
        <v>38924.228382352943</v>
      </c>
      <c r="N18" s="14">
        <f t="shared" si="2"/>
        <v>50676.440705025205</v>
      </c>
      <c r="O18" s="66">
        <f t="shared" si="5"/>
        <v>122720.28717561344</v>
      </c>
      <c r="P18" s="251"/>
      <c r="Q18" s="252"/>
      <c r="R18" s="248"/>
      <c r="S18" s="248"/>
      <c r="T18" s="253"/>
    </row>
    <row r="19" spans="1:20" s="247" customFormat="1" x14ac:dyDescent="0.25">
      <c r="A19" s="369">
        <f>'A) Base RI'!A20</f>
        <v>5414</v>
      </c>
      <c r="B19" s="260" t="str">
        <f>'A) Base RI'!B20</f>
        <v>Villeneuve</v>
      </c>
      <c r="C19" s="276">
        <v>0</v>
      </c>
      <c r="D19" s="249">
        <f>'B) D RI'!AA20</f>
        <v>5457</v>
      </c>
      <c r="E19" s="250">
        <f>'B) D RI'!S20</f>
        <v>69</v>
      </c>
      <c r="F19" s="14">
        <f>'B) D RI'!R20</f>
        <v>11030579.520000001</v>
      </c>
      <c r="G19" s="14">
        <f>'B) D RI'!U20</f>
        <v>159863.47130434786</v>
      </c>
      <c r="H19" s="49">
        <f>'B) D RI'!T20</f>
        <v>9875816.870000001</v>
      </c>
      <c r="I19" s="14">
        <f t="shared" si="3"/>
        <v>286255.56144927541</v>
      </c>
      <c r="J19" s="39">
        <f t="shared" si="0"/>
        <v>473292.75130351621</v>
      </c>
      <c r="K19" s="14">
        <f t="shared" si="1"/>
        <v>286255.56144927541</v>
      </c>
      <c r="L19" s="14">
        <f t="shared" si="4"/>
        <v>187037.1898542408</v>
      </c>
      <c r="M19" s="14">
        <f>'D) Ecrêtage'!M18</f>
        <v>159863.47130434786</v>
      </c>
      <c r="N19" s="14">
        <f t="shared" si="2"/>
        <v>208130.31012137339</v>
      </c>
      <c r="O19" s="66">
        <f t="shared" si="5"/>
        <v>494385.8715706488</v>
      </c>
      <c r="P19" s="251"/>
      <c r="Q19" s="252"/>
      <c r="R19" s="248"/>
      <c r="S19" s="248"/>
      <c r="T19" s="253"/>
    </row>
    <row r="20" spans="1:20" s="247" customFormat="1" x14ac:dyDescent="0.25">
      <c r="A20" s="369">
        <f>'A) Base RI'!A21</f>
        <v>5415</v>
      </c>
      <c r="B20" s="260" t="str">
        <f>'A) Base RI'!B21</f>
        <v>Yvorne</v>
      </c>
      <c r="C20" s="276">
        <v>0</v>
      </c>
      <c r="D20" s="249">
        <f>'B) D RI'!AA21</f>
        <v>1061</v>
      </c>
      <c r="E20" s="250">
        <f>'B) D RI'!S21</f>
        <v>68.5</v>
      </c>
      <c r="F20" s="14">
        <f>'B) D RI'!R21</f>
        <v>2447281.9966666666</v>
      </c>
      <c r="G20" s="14">
        <f>'B) D RI'!U21</f>
        <v>35726.744476885644</v>
      </c>
      <c r="H20" s="49">
        <f>'B) D RI'!T21</f>
        <v>2228293.63</v>
      </c>
      <c r="I20" s="14">
        <f t="shared" si="3"/>
        <v>65059.668029197077</v>
      </c>
      <c r="J20" s="39">
        <f t="shared" si="0"/>
        <v>92021.918477740648</v>
      </c>
      <c r="K20" s="14">
        <f t="shared" si="1"/>
        <v>65059.668029197077</v>
      </c>
      <c r="L20" s="14">
        <f t="shared" si="4"/>
        <v>26962.250448543571</v>
      </c>
      <c r="M20" s="14">
        <f>'D) Ecrêtage'!M19</f>
        <v>35726.744476885644</v>
      </c>
      <c r="N20" s="14">
        <f t="shared" si="2"/>
        <v>46513.555266449657</v>
      </c>
      <c r="O20" s="66">
        <f t="shared" si="5"/>
        <v>111573.22329564673</v>
      </c>
      <c r="P20" s="251"/>
      <c r="Q20" s="252"/>
      <c r="R20" s="248"/>
      <c r="S20" s="248"/>
      <c r="T20" s="253"/>
    </row>
    <row r="21" spans="1:20" s="247" customFormat="1" x14ac:dyDescent="0.25">
      <c r="A21" s="369">
        <f>'A) Base RI'!A22</f>
        <v>5421</v>
      </c>
      <c r="B21" s="260" t="str">
        <f>'A) Base RI'!B22</f>
        <v>Apples</v>
      </c>
      <c r="C21" s="276">
        <v>0</v>
      </c>
      <c r="D21" s="249">
        <f>'B) D RI'!AA22</f>
        <v>1412</v>
      </c>
      <c r="E21" s="250">
        <f>'B) D RI'!S22</f>
        <v>76</v>
      </c>
      <c r="F21" s="14">
        <f>'B) D RI'!R22</f>
        <v>4484422.82</v>
      </c>
      <c r="G21" s="14">
        <f>'B) D RI'!U22</f>
        <v>59005.563421052633</v>
      </c>
      <c r="H21" s="49">
        <f>'B) D RI'!T22</f>
        <v>4203287.67</v>
      </c>
      <c r="I21" s="14">
        <f t="shared" si="3"/>
        <v>110612.83342105262</v>
      </c>
      <c r="J21" s="39">
        <f t="shared" si="0"/>
        <v>122464.60781392064</v>
      </c>
      <c r="K21" s="14">
        <f t="shared" si="1"/>
        <v>110612.83342105262</v>
      </c>
      <c r="L21" s="14">
        <f t="shared" si="4"/>
        <v>11851.774392868014</v>
      </c>
      <c r="M21" s="14">
        <f>'D) Ecrêtage'!M20</f>
        <v>59005.563421052633</v>
      </c>
      <c r="N21" s="14">
        <f t="shared" si="2"/>
        <v>76820.840392798636</v>
      </c>
      <c r="O21" s="66">
        <f t="shared" si="5"/>
        <v>187433.67381385126</v>
      </c>
      <c r="P21" s="251"/>
      <c r="Q21" s="252"/>
      <c r="R21" s="248"/>
      <c r="S21" s="248"/>
      <c r="T21" s="253"/>
    </row>
    <row r="22" spans="1:20" s="247" customFormat="1" x14ac:dyDescent="0.25">
      <c r="A22" s="369">
        <f>'A) Base RI'!A23</f>
        <v>5422</v>
      </c>
      <c r="B22" s="260" t="str">
        <f>'A) Base RI'!B23</f>
        <v>Aubonne</v>
      </c>
      <c r="C22" s="276">
        <v>0</v>
      </c>
      <c r="D22" s="249">
        <f>'B) D RI'!AA23</f>
        <v>3272</v>
      </c>
      <c r="E22" s="250">
        <f>'B) D RI'!S23</f>
        <v>68</v>
      </c>
      <c r="F22" s="14">
        <f>'B) D RI'!R23</f>
        <v>14891196.010000002</v>
      </c>
      <c r="G22" s="14">
        <f>'B) D RI'!U23</f>
        <v>218988.17661764708</v>
      </c>
      <c r="H22" s="49">
        <f>'B) D RI'!T23</f>
        <v>13861461.570000002</v>
      </c>
      <c r="I22" s="14">
        <f t="shared" si="3"/>
        <v>407690.04617647064</v>
      </c>
      <c r="J22" s="39">
        <f t="shared" si="0"/>
        <v>283784.84190307953</v>
      </c>
      <c r="K22" s="14">
        <f t="shared" si="1"/>
        <v>283784.84190307953</v>
      </c>
      <c r="L22" s="14">
        <f t="shared" si="4"/>
        <v>0</v>
      </c>
      <c r="M22" s="14">
        <f>'D) Ecrêtage'!M21</f>
        <v>212504.17047865759</v>
      </c>
      <c r="N22" s="14">
        <f t="shared" si="2"/>
        <v>276664.57223117555</v>
      </c>
      <c r="O22" s="66">
        <f t="shared" si="5"/>
        <v>560449.41413425514</v>
      </c>
      <c r="P22" s="251"/>
      <c r="Q22" s="252"/>
      <c r="R22" s="248"/>
      <c r="S22" s="248"/>
      <c r="T22" s="253"/>
    </row>
    <row r="23" spans="1:20" s="247" customFormat="1" x14ac:dyDescent="0.25">
      <c r="A23" s="369">
        <f>'A) Base RI'!A24</f>
        <v>5423</v>
      </c>
      <c r="B23" s="260" t="str">
        <f>'A) Base RI'!B24</f>
        <v>Ballens</v>
      </c>
      <c r="C23" s="276">
        <v>0</v>
      </c>
      <c r="D23" s="249">
        <f>'B) D RI'!AA24</f>
        <v>508</v>
      </c>
      <c r="E23" s="250">
        <f>'B) D RI'!S24</f>
        <v>69</v>
      </c>
      <c r="F23" s="14">
        <f>'B) D RI'!R24</f>
        <v>1059705.82</v>
      </c>
      <c r="G23" s="14">
        <f>'B) D RI'!U24</f>
        <v>15358.055362318841</v>
      </c>
      <c r="H23" s="49">
        <f>'B) D RI'!T24</f>
        <v>991171.62</v>
      </c>
      <c r="I23" s="14">
        <f t="shared" si="3"/>
        <v>28729.612173913043</v>
      </c>
      <c r="J23" s="39">
        <f t="shared" si="0"/>
        <v>44059.504794243403</v>
      </c>
      <c r="K23" s="14">
        <f t="shared" si="1"/>
        <v>28729.612173913043</v>
      </c>
      <c r="L23" s="14">
        <f t="shared" si="4"/>
        <v>15329.89262033036</v>
      </c>
      <c r="M23" s="14">
        <f>'D) Ecrêtage'!M22</f>
        <v>15358.055362318841</v>
      </c>
      <c r="N23" s="14">
        <f t="shared" si="2"/>
        <v>19995.042015165513</v>
      </c>
      <c r="O23" s="66">
        <f t="shared" si="5"/>
        <v>48724.654189078559</v>
      </c>
      <c r="P23" s="251"/>
      <c r="Q23" s="252"/>
      <c r="R23" s="248"/>
      <c r="S23" s="248"/>
      <c r="T23" s="253"/>
    </row>
    <row r="24" spans="1:20" s="247" customFormat="1" x14ac:dyDescent="0.25">
      <c r="A24" s="369">
        <f>'A) Base RI'!A25</f>
        <v>5424</v>
      </c>
      <c r="B24" s="260" t="str">
        <f>'A) Base RI'!B25</f>
        <v>Berolle</v>
      </c>
      <c r="C24" s="276">
        <v>0</v>
      </c>
      <c r="D24" s="249">
        <f>'B) D RI'!AA25</f>
        <v>301</v>
      </c>
      <c r="E24" s="250">
        <f>'B) D RI'!S25</f>
        <v>77</v>
      </c>
      <c r="F24" s="14">
        <f>'B) D RI'!R25</f>
        <v>697484.7</v>
      </c>
      <c r="G24" s="14">
        <f>'B) D RI'!U25</f>
        <v>9058.2428571428572</v>
      </c>
      <c r="H24" s="49">
        <f>'B) D RI'!T25</f>
        <v>647970.19999999995</v>
      </c>
      <c r="I24" s="14">
        <f t="shared" si="3"/>
        <v>16830.394805194803</v>
      </c>
      <c r="J24" s="39">
        <f t="shared" si="0"/>
        <v>26106.123903675718</v>
      </c>
      <c r="K24" s="14">
        <f t="shared" si="1"/>
        <v>16830.394805194803</v>
      </c>
      <c r="L24" s="14">
        <f t="shared" si="4"/>
        <v>9275.7290984809151</v>
      </c>
      <c r="M24" s="14">
        <f>'D) Ecrêtage'!M23</f>
        <v>9058.2428571428572</v>
      </c>
      <c r="N24" s="14">
        <f t="shared" si="2"/>
        <v>11793.156245322838</v>
      </c>
      <c r="O24" s="66">
        <f t="shared" si="5"/>
        <v>28623.551050517643</v>
      </c>
      <c r="P24" s="251"/>
      <c r="Q24" s="252"/>
      <c r="R24" s="248"/>
      <c r="S24" s="248"/>
      <c r="T24" s="253"/>
    </row>
    <row r="25" spans="1:20" s="247" customFormat="1" x14ac:dyDescent="0.25">
      <c r="A25" s="369">
        <f>'A) Base RI'!A26</f>
        <v>5425</v>
      </c>
      <c r="B25" s="260" t="str">
        <f>'A) Base RI'!B26</f>
        <v>Bière</v>
      </c>
      <c r="C25" s="276">
        <v>0</v>
      </c>
      <c r="D25" s="249">
        <f>'B) D RI'!AA26</f>
        <v>1546</v>
      </c>
      <c r="E25" s="250">
        <f>'B) D RI'!S26</f>
        <v>68</v>
      </c>
      <c r="F25" s="14">
        <f>'B) D RI'!R26</f>
        <v>2680086.8199999998</v>
      </c>
      <c r="G25" s="14">
        <f>'B) D RI'!U26</f>
        <v>39413.041470588236</v>
      </c>
      <c r="H25" s="49">
        <f>'B) D RI'!T26</f>
        <v>2478314.6199999996</v>
      </c>
      <c r="I25" s="14">
        <f t="shared" si="3"/>
        <v>72891.606470588231</v>
      </c>
      <c r="J25" s="39">
        <f t="shared" si="0"/>
        <v>134086.60317303208</v>
      </c>
      <c r="K25" s="14">
        <f t="shared" si="1"/>
        <v>72891.606470588231</v>
      </c>
      <c r="L25" s="14">
        <f t="shared" si="4"/>
        <v>61194.996702443852</v>
      </c>
      <c r="M25" s="14">
        <f>'D) Ecrêtage'!M24</f>
        <v>39413.041470588236</v>
      </c>
      <c r="N25" s="14">
        <f t="shared" si="2"/>
        <v>51312.838869131818</v>
      </c>
      <c r="O25" s="66">
        <f t="shared" si="5"/>
        <v>124204.44533972006</v>
      </c>
      <c r="P25" s="251"/>
      <c r="Q25" s="252"/>
      <c r="R25" s="248"/>
      <c r="S25" s="248"/>
      <c r="T25" s="253"/>
    </row>
    <row r="26" spans="1:20" s="247" customFormat="1" x14ac:dyDescent="0.25">
      <c r="A26" s="369">
        <f>'A) Base RI'!A27</f>
        <v>5426</v>
      </c>
      <c r="B26" s="260" t="str">
        <f>'A) Base RI'!B27</f>
        <v>Bougy-Villars</v>
      </c>
      <c r="C26" s="276">
        <v>0</v>
      </c>
      <c r="D26" s="249">
        <f>'B) D RI'!AA27</f>
        <v>467</v>
      </c>
      <c r="E26" s="250">
        <f>'B) D RI'!S27</f>
        <v>62</v>
      </c>
      <c r="F26" s="14">
        <f>'B) D RI'!R27</f>
        <v>2639198.5500000003</v>
      </c>
      <c r="G26" s="14">
        <f>'B) D RI'!U27</f>
        <v>42567.7185483871</v>
      </c>
      <c r="H26" s="49">
        <f>'B) D RI'!T27</f>
        <v>2408593.4000000004</v>
      </c>
      <c r="I26" s="14">
        <f t="shared" si="3"/>
        <v>77696.561290322599</v>
      </c>
      <c r="J26" s="39">
        <f t="shared" si="0"/>
        <v>40503.521139589902</v>
      </c>
      <c r="K26" s="14">
        <f t="shared" si="1"/>
        <v>40503.521139589902</v>
      </c>
      <c r="L26" s="14">
        <f t="shared" si="4"/>
        <v>0</v>
      </c>
      <c r="M26" s="14">
        <f>'D) Ecrêtage'!M25</f>
        <v>39109.793972366126</v>
      </c>
      <c r="N26" s="14">
        <f t="shared" si="2"/>
        <v>50918.033255732247</v>
      </c>
      <c r="O26" s="66">
        <f t="shared" si="5"/>
        <v>91421.55439532215</v>
      </c>
      <c r="P26" s="251"/>
      <c r="Q26" s="252"/>
      <c r="R26" s="248"/>
      <c r="S26" s="248"/>
      <c r="T26" s="253"/>
    </row>
    <row r="27" spans="1:20" s="247" customFormat="1" x14ac:dyDescent="0.25">
      <c r="A27" s="369">
        <f>'A) Base RI'!A28</f>
        <v>5427</v>
      </c>
      <c r="B27" s="260" t="str">
        <f>'A) Base RI'!B28</f>
        <v>Féchy</v>
      </c>
      <c r="C27" s="276">
        <v>0</v>
      </c>
      <c r="D27" s="249">
        <f>'B) D RI'!AA28</f>
        <v>887</v>
      </c>
      <c r="E27" s="250">
        <f>'B) D RI'!S28</f>
        <v>64</v>
      </c>
      <c r="F27" s="14">
        <f>'B) D RI'!R28</f>
        <v>4402347.4430769226</v>
      </c>
      <c r="G27" s="14">
        <f>'B) D RI'!U28</f>
        <v>68786.678798076915</v>
      </c>
      <c r="H27" s="49">
        <f>'B) D RI'!T28</f>
        <v>4074102.0199999996</v>
      </c>
      <c r="I27" s="14">
        <f t="shared" si="3"/>
        <v>127315.68812499999</v>
      </c>
      <c r="J27" s="39">
        <f t="shared" si="0"/>
        <v>76930.670772625788</v>
      </c>
      <c r="K27" s="14">
        <f t="shared" si="1"/>
        <v>76930.670772625788</v>
      </c>
      <c r="L27" s="14">
        <f t="shared" si="4"/>
        <v>0</v>
      </c>
      <c r="M27" s="14">
        <f>'D) Ecrêtage'!M26</f>
        <v>64993.710901769446</v>
      </c>
      <c r="N27" s="14">
        <f t="shared" si="2"/>
        <v>84616.961558223455</v>
      </c>
      <c r="O27" s="66">
        <f t="shared" si="5"/>
        <v>161547.63233084924</v>
      </c>
      <c r="P27" s="251"/>
      <c r="Q27" s="252"/>
      <c r="R27" s="248"/>
      <c r="S27" s="248"/>
      <c r="T27" s="253"/>
    </row>
    <row r="28" spans="1:20" s="247" customFormat="1" x14ac:dyDescent="0.25">
      <c r="A28" s="369">
        <f>'A) Base RI'!A29</f>
        <v>5428</v>
      </c>
      <c r="B28" s="260" t="str">
        <f>'A) Base RI'!B29</f>
        <v>Gimel</v>
      </c>
      <c r="C28" s="276">
        <v>0</v>
      </c>
      <c r="D28" s="249">
        <f>'B) D RI'!AA29</f>
        <v>1948</v>
      </c>
      <c r="E28" s="250">
        <f>'B) D RI'!S29</f>
        <v>71.5</v>
      </c>
      <c r="F28" s="14">
        <f>'B) D RI'!R29</f>
        <v>4147330.5249999994</v>
      </c>
      <c r="G28" s="14">
        <f>'B) D RI'!U29</f>
        <v>58004.622727272719</v>
      </c>
      <c r="H28" s="49">
        <f>'B) D RI'!T29</f>
        <v>3822290.1499999994</v>
      </c>
      <c r="I28" s="14">
        <f t="shared" si="3"/>
        <v>106917.20699300697</v>
      </c>
      <c r="J28" s="39">
        <f t="shared" si="0"/>
        <v>168952.58925036644</v>
      </c>
      <c r="K28" s="14">
        <f t="shared" si="1"/>
        <v>106917.20699300697</v>
      </c>
      <c r="L28" s="14">
        <f t="shared" si="4"/>
        <v>62035.382257359466</v>
      </c>
      <c r="M28" s="14">
        <f>'D) Ecrêtage'!M27</f>
        <v>58004.622727272719</v>
      </c>
      <c r="N28" s="14">
        <f t="shared" si="2"/>
        <v>75517.690302851537</v>
      </c>
      <c r="O28" s="66">
        <f t="shared" si="5"/>
        <v>182434.89729585851</v>
      </c>
      <c r="P28" s="251"/>
      <c r="Q28" s="252"/>
      <c r="R28" s="248"/>
      <c r="S28" s="248"/>
      <c r="T28" s="253"/>
    </row>
    <row r="29" spans="1:20" s="247" customFormat="1" x14ac:dyDescent="0.25">
      <c r="A29" s="369">
        <f>'A) Base RI'!A30</f>
        <v>5429</v>
      </c>
      <c r="B29" s="260" t="str">
        <f>'A) Base RI'!B30</f>
        <v>Longirod</v>
      </c>
      <c r="C29" s="276">
        <v>0</v>
      </c>
      <c r="D29" s="249">
        <f>'B) D RI'!AA30</f>
        <v>460</v>
      </c>
      <c r="E29" s="250">
        <f>'B) D RI'!S30</f>
        <v>81</v>
      </c>
      <c r="F29" s="14">
        <f>'B) D RI'!R30</f>
        <v>985879.30999999994</v>
      </c>
      <c r="G29" s="14">
        <f>'B) D RI'!U30</f>
        <v>12171.349506172839</v>
      </c>
      <c r="H29" s="49">
        <f>'B) D RI'!T30</f>
        <v>896437.71</v>
      </c>
      <c r="I29" s="14">
        <f t="shared" si="3"/>
        <v>22134.264444444445</v>
      </c>
      <c r="J29" s="39">
        <f t="shared" si="0"/>
        <v>39896.401979039299</v>
      </c>
      <c r="K29" s="14">
        <f t="shared" si="1"/>
        <v>22134.264444444445</v>
      </c>
      <c r="L29" s="14">
        <f t="shared" si="4"/>
        <v>17762.137534594855</v>
      </c>
      <c r="M29" s="14">
        <f>'D) Ecrêtage'!M28</f>
        <v>12171.349506172839</v>
      </c>
      <c r="N29" s="14">
        <f t="shared" si="2"/>
        <v>15846.188792514235</v>
      </c>
      <c r="O29" s="66">
        <f t="shared" si="5"/>
        <v>37980.453236958681</v>
      </c>
      <c r="P29" s="251"/>
      <c r="Q29" s="252"/>
      <c r="R29" s="248"/>
      <c r="S29" s="248"/>
      <c r="T29" s="253"/>
    </row>
    <row r="30" spans="1:20" s="247" customFormat="1" x14ac:dyDescent="0.25">
      <c r="A30" s="369">
        <f>'A) Base RI'!A31</f>
        <v>5430</v>
      </c>
      <c r="B30" s="260" t="str">
        <f>'A) Base RI'!B31</f>
        <v>Marchissy</v>
      </c>
      <c r="C30" s="276">
        <v>0</v>
      </c>
      <c r="D30" s="249">
        <f>'B) D RI'!AA31</f>
        <v>430</v>
      </c>
      <c r="E30" s="250">
        <f>'B) D RI'!S31</f>
        <v>79</v>
      </c>
      <c r="F30" s="14">
        <f>'B) D RI'!R31</f>
        <v>835280.04999999993</v>
      </c>
      <c r="G30" s="14">
        <f>'B) D RI'!U31</f>
        <v>10573.165189873416</v>
      </c>
      <c r="H30" s="49">
        <f>'B) D RI'!T31</f>
        <v>754922.1</v>
      </c>
      <c r="I30" s="14">
        <f t="shared" si="3"/>
        <v>19111.951898734176</v>
      </c>
      <c r="J30" s="39">
        <f t="shared" si="0"/>
        <v>37294.462719536736</v>
      </c>
      <c r="K30" s="14">
        <f t="shared" si="1"/>
        <v>19111.951898734176</v>
      </c>
      <c r="L30" s="14">
        <f t="shared" si="4"/>
        <v>18182.510820802559</v>
      </c>
      <c r="M30" s="14">
        <f>'D) Ecrêtage'!M29</f>
        <v>10573.165189873416</v>
      </c>
      <c r="N30" s="14">
        <f t="shared" si="2"/>
        <v>13765.472074251235</v>
      </c>
      <c r="O30" s="66">
        <f t="shared" si="5"/>
        <v>32877.423972985409</v>
      </c>
      <c r="P30" s="251"/>
      <c r="Q30" s="252"/>
      <c r="R30" s="248"/>
      <c r="S30" s="248"/>
      <c r="T30" s="253"/>
    </row>
    <row r="31" spans="1:20" s="247" customFormat="1" x14ac:dyDescent="0.25">
      <c r="A31" s="369">
        <f>'A) Base RI'!A32</f>
        <v>5431</v>
      </c>
      <c r="B31" s="260" t="str">
        <f>'A) Base RI'!B32</f>
        <v>Mollens</v>
      </c>
      <c r="C31" s="276">
        <v>0</v>
      </c>
      <c r="D31" s="249">
        <f>'B) D RI'!AA32</f>
        <v>295</v>
      </c>
      <c r="E31" s="250">
        <f>'B) D RI'!S32</f>
        <v>74</v>
      </c>
      <c r="F31" s="14">
        <f>'B) D RI'!R32</f>
        <v>829246.3</v>
      </c>
      <c r="G31" s="14">
        <f>'B) D RI'!U32</f>
        <v>11206.031081081082</v>
      </c>
      <c r="H31" s="49">
        <f>'B) D RI'!T32</f>
        <v>780614</v>
      </c>
      <c r="I31" s="14">
        <f t="shared" si="3"/>
        <v>21097.675675675677</v>
      </c>
      <c r="J31" s="39">
        <f t="shared" si="0"/>
        <v>25585.736051775206</v>
      </c>
      <c r="K31" s="14">
        <f t="shared" si="1"/>
        <v>21097.675675675677</v>
      </c>
      <c r="L31" s="14">
        <f t="shared" si="4"/>
        <v>4488.0603760995291</v>
      </c>
      <c r="M31" s="14">
        <f>'D) Ecrêtage'!M30</f>
        <v>11206.031081081082</v>
      </c>
      <c r="N31" s="14">
        <f t="shared" si="2"/>
        <v>14589.416238152975</v>
      </c>
      <c r="O31" s="66">
        <f t="shared" si="5"/>
        <v>35687.091913828655</v>
      </c>
      <c r="P31" s="251"/>
      <c r="Q31" s="252"/>
      <c r="R31" s="248"/>
      <c r="S31" s="248"/>
      <c r="T31" s="253"/>
    </row>
    <row r="32" spans="1:20" s="247" customFormat="1" x14ac:dyDescent="0.25">
      <c r="A32" s="369">
        <f>'A) Base RI'!A33</f>
        <v>5432</v>
      </c>
      <c r="B32" s="260" t="str">
        <f>'A) Base RI'!B33</f>
        <v>Montherod</v>
      </c>
      <c r="C32" s="276">
        <v>0</v>
      </c>
      <c r="D32" s="249">
        <f>'B) D RI'!AA33</f>
        <v>522</v>
      </c>
      <c r="E32" s="250">
        <f>'B) D RI'!S33</f>
        <v>78</v>
      </c>
      <c r="F32" s="14">
        <f>'B) D RI'!R33</f>
        <v>1382582.7000000002</v>
      </c>
      <c r="G32" s="14">
        <f>'B) D RI'!U33</f>
        <v>17725.419230769232</v>
      </c>
      <c r="H32" s="49">
        <f>'B) D RI'!T33</f>
        <v>1285891.8000000003</v>
      </c>
      <c r="I32" s="14">
        <f t="shared" si="3"/>
        <v>32971.584615384621</v>
      </c>
      <c r="J32" s="39">
        <f t="shared" si="0"/>
        <v>45273.743115344601</v>
      </c>
      <c r="K32" s="14">
        <f t="shared" si="1"/>
        <v>32971.584615384621</v>
      </c>
      <c r="L32" s="14">
        <f t="shared" si="4"/>
        <v>12302.15849995998</v>
      </c>
      <c r="M32" s="14">
        <f>'D) Ecrêtage'!M31</f>
        <v>17725.419230769232</v>
      </c>
      <c r="N32" s="14">
        <f t="shared" si="2"/>
        <v>23077.173111722739</v>
      </c>
      <c r="O32" s="66">
        <f t="shared" si="5"/>
        <v>56048.757727107361</v>
      </c>
      <c r="P32" s="251"/>
      <c r="Q32" s="252"/>
      <c r="R32" s="248"/>
      <c r="S32" s="248"/>
      <c r="T32" s="253"/>
    </row>
    <row r="33" spans="1:20" s="247" customFormat="1" x14ac:dyDescent="0.25">
      <c r="A33" s="369">
        <f>'A) Base RI'!A34</f>
        <v>5434</v>
      </c>
      <c r="B33" s="260" t="str">
        <f>'A) Base RI'!B34</f>
        <v>Saint-George</v>
      </c>
      <c r="C33" s="276">
        <v>0</v>
      </c>
      <c r="D33" s="249">
        <f>'B) D RI'!AA34</f>
        <v>991</v>
      </c>
      <c r="E33" s="250">
        <f>'B) D RI'!S34</f>
        <v>68.5</v>
      </c>
      <c r="F33" s="14">
        <f>'B) D RI'!R34</f>
        <v>2458857.5799999996</v>
      </c>
      <c r="G33" s="14">
        <f>'B) D RI'!U34</f>
        <v>35895.731094890507</v>
      </c>
      <c r="H33" s="49">
        <f>'B) D RI'!T34</f>
        <v>2258271.1799999997</v>
      </c>
      <c r="I33" s="14">
        <f t="shared" si="3"/>
        <v>65934.924963503639</v>
      </c>
      <c r="J33" s="39">
        <f t="shared" si="0"/>
        <v>85950.726872234663</v>
      </c>
      <c r="K33" s="14">
        <f t="shared" si="1"/>
        <v>65934.924963503639</v>
      </c>
      <c r="L33" s="14">
        <f t="shared" si="4"/>
        <v>20015.801908731024</v>
      </c>
      <c r="M33" s="14">
        <f>'D) Ecrêtage'!M32</f>
        <v>35895.731094890507</v>
      </c>
      <c r="N33" s="14">
        <f t="shared" si="2"/>
        <v>46733.563232777095</v>
      </c>
      <c r="O33" s="66">
        <f t="shared" si="5"/>
        <v>112668.48819628073</v>
      </c>
      <c r="P33" s="251"/>
      <c r="Q33" s="252"/>
      <c r="R33" s="248"/>
      <c r="S33" s="248"/>
      <c r="T33" s="253"/>
    </row>
    <row r="34" spans="1:20" s="247" customFormat="1" x14ac:dyDescent="0.25">
      <c r="A34" s="369">
        <f>'A) Base RI'!A35</f>
        <v>5435</v>
      </c>
      <c r="B34" s="260" t="str">
        <f>'A) Base RI'!B35</f>
        <v>Saint-Livres</v>
      </c>
      <c r="C34" s="276">
        <v>0</v>
      </c>
      <c r="D34" s="249">
        <f>'B) D RI'!AA35</f>
        <v>689</v>
      </c>
      <c r="E34" s="250">
        <f>'B) D RI'!S35</f>
        <v>69</v>
      </c>
      <c r="F34" s="14">
        <f>'B) D RI'!R35</f>
        <v>1545470.94</v>
      </c>
      <c r="G34" s="14">
        <f>'B) D RI'!U35</f>
        <v>22398.12956521739</v>
      </c>
      <c r="H34" s="49">
        <f>'B) D RI'!T35</f>
        <v>1428073.74</v>
      </c>
      <c r="I34" s="14">
        <f t="shared" si="3"/>
        <v>41393.441739130438</v>
      </c>
      <c r="J34" s="39">
        <f t="shared" si="0"/>
        <v>59757.871659908866</v>
      </c>
      <c r="K34" s="14">
        <f t="shared" si="1"/>
        <v>41393.441739130438</v>
      </c>
      <c r="L34" s="14">
        <f t="shared" si="4"/>
        <v>18364.429920778428</v>
      </c>
      <c r="M34" s="14">
        <f>'D) Ecrêtage'!M33</f>
        <v>22398.12956521739</v>
      </c>
      <c r="N34" s="14">
        <f t="shared" si="2"/>
        <v>29160.693274778219</v>
      </c>
      <c r="O34" s="66">
        <f t="shared" si="5"/>
        <v>70554.135013908657</v>
      </c>
      <c r="P34" s="251"/>
      <c r="Q34" s="252"/>
      <c r="R34" s="248"/>
      <c r="S34" s="248"/>
      <c r="T34" s="253"/>
    </row>
    <row r="35" spans="1:20" s="247" customFormat="1" x14ac:dyDescent="0.25">
      <c r="A35" s="369">
        <f>'A) Base RI'!A36</f>
        <v>5436</v>
      </c>
      <c r="B35" s="260" t="str">
        <f>'A) Base RI'!B36</f>
        <v>Saint-Oyens</v>
      </c>
      <c r="C35" s="276">
        <v>0</v>
      </c>
      <c r="D35" s="249">
        <f>'B) D RI'!AA36</f>
        <v>350</v>
      </c>
      <c r="E35" s="250">
        <f>'B) D RI'!S36</f>
        <v>81</v>
      </c>
      <c r="F35" s="14">
        <f>'B) D RI'!R36</f>
        <v>848442.99</v>
      </c>
      <c r="G35" s="14">
        <f>'B) D RI'!U36</f>
        <v>10474.604814814815</v>
      </c>
      <c r="H35" s="49">
        <f>'B) D RI'!T36</f>
        <v>787549.74</v>
      </c>
      <c r="I35" s="14">
        <f t="shared" si="3"/>
        <v>19445.672592592593</v>
      </c>
      <c r="J35" s="39">
        <f t="shared" si="0"/>
        <v>30355.958027529905</v>
      </c>
      <c r="K35" s="14">
        <f t="shared" si="1"/>
        <v>19445.672592592593</v>
      </c>
      <c r="L35" s="14">
        <f t="shared" si="4"/>
        <v>10910.285434937312</v>
      </c>
      <c r="M35" s="14">
        <f>'D) Ecrêtage'!M34</f>
        <v>10474.604814814815</v>
      </c>
      <c r="N35" s="14">
        <f t="shared" si="2"/>
        <v>13637.153820811258</v>
      </c>
      <c r="O35" s="66">
        <f t="shared" si="5"/>
        <v>33082.826413403847</v>
      </c>
      <c r="P35" s="251"/>
      <c r="Q35" s="252"/>
      <c r="R35" s="248"/>
      <c r="S35" s="248"/>
      <c r="T35" s="253"/>
    </row>
    <row r="36" spans="1:20" s="247" customFormat="1" x14ac:dyDescent="0.25">
      <c r="A36" s="369">
        <f>'A) Base RI'!A37</f>
        <v>5437</v>
      </c>
      <c r="B36" s="260" t="str">
        <f>'A) Base RI'!B37</f>
        <v>Saubraz</v>
      </c>
      <c r="C36" s="276">
        <v>0</v>
      </c>
      <c r="D36" s="249">
        <f>'B) D RI'!AA37</f>
        <v>420</v>
      </c>
      <c r="E36" s="250">
        <f>'B) D RI'!S37</f>
        <v>80</v>
      </c>
      <c r="F36" s="14">
        <f>'B) D RI'!R37</f>
        <v>811103.45</v>
      </c>
      <c r="G36" s="14">
        <f>'B) D RI'!U37</f>
        <v>10138.793125</v>
      </c>
      <c r="H36" s="49">
        <f>'B) D RI'!T37</f>
        <v>751033.2</v>
      </c>
      <c r="I36" s="14">
        <f t="shared" si="3"/>
        <v>18775.829999999998</v>
      </c>
      <c r="J36" s="39">
        <f t="shared" si="0"/>
        <v>36427.149633035886</v>
      </c>
      <c r="K36" s="14">
        <f t="shared" si="1"/>
        <v>18775.829999999998</v>
      </c>
      <c r="L36" s="14">
        <f t="shared" si="4"/>
        <v>17651.319633035888</v>
      </c>
      <c r="M36" s="14">
        <f>'D) Ecrêtage'!M35</f>
        <v>10138.793125</v>
      </c>
      <c r="N36" s="14">
        <f t="shared" si="2"/>
        <v>13199.952060000758</v>
      </c>
      <c r="O36" s="66">
        <f t="shared" si="5"/>
        <v>31975.782060000754</v>
      </c>
      <c r="P36" s="251"/>
      <c r="Q36" s="252"/>
      <c r="R36" s="248"/>
      <c r="S36" s="248"/>
      <c r="T36" s="253"/>
    </row>
    <row r="37" spans="1:20" s="247" customFormat="1" x14ac:dyDescent="0.25">
      <c r="A37" s="369">
        <f>'A) Base RI'!A38</f>
        <v>5451</v>
      </c>
      <c r="B37" s="260" t="str">
        <f>'A) Base RI'!B38</f>
        <v>Avenches</v>
      </c>
      <c r="C37" s="276">
        <v>0</v>
      </c>
      <c r="D37" s="249">
        <f>'B) D RI'!AA38</f>
        <v>4129</v>
      </c>
      <c r="E37" s="250">
        <f>'B) D RI'!S38</f>
        <v>68</v>
      </c>
      <c r="F37" s="14">
        <f>'B) D RI'!R38</f>
        <v>7426132.0199999996</v>
      </c>
      <c r="G37" s="14">
        <f>'B) D RI'!U38</f>
        <v>109207.82382352941</v>
      </c>
      <c r="H37" s="49">
        <f>'B) D RI'!T38</f>
        <v>6531329.0199999996</v>
      </c>
      <c r="I37" s="14">
        <f t="shared" si="3"/>
        <v>192097.91235294117</v>
      </c>
      <c r="J37" s="39">
        <f t="shared" si="0"/>
        <v>358113.57341620279</v>
      </c>
      <c r="K37" s="14">
        <f t="shared" si="1"/>
        <v>192097.91235294117</v>
      </c>
      <c r="L37" s="14">
        <f t="shared" si="4"/>
        <v>166015.66106326162</v>
      </c>
      <c r="M37" s="14">
        <f>'D) Ecrêtage'!M36</f>
        <v>109207.82382352941</v>
      </c>
      <c r="N37" s="14">
        <f t="shared" si="2"/>
        <v>142180.4371856731</v>
      </c>
      <c r="O37" s="66">
        <f t="shared" si="5"/>
        <v>334278.34953861427</v>
      </c>
      <c r="P37" s="251"/>
      <c r="Q37" s="252"/>
      <c r="R37" s="248"/>
      <c r="S37" s="248"/>
      <c r="T37" s="253"/>
    </row>
    <row r="38" spans="1:20" s="247" customFormat="1" x14ac:dyDescent="0.25">
      <c r="A38" s="369">
        <f>'A) Base RI'!A39</f>
        <v>5456</v>
      </c>
      <c r="B38" s="260" t="str">
        <f>'A) Base RI'!B39</f>
        <v>Cudrefin</v>
      </c>
      <c r="C38" s="276">
        <v>0</v>
      </c>
      <c r="D38" s="249">
        <f>'B) D RI'!AA39</f>
        <v>1555</v>
      </c>
      <c r="E38" s="250">
        <f>'B) D RI'!S39</f>
        <v>59</v>
      </c>
      <c r="F38" s="14">
        <f>'B) D RI'!R39</f>
        <v>3031055.3000000003</v>
      </c>
      <c r="G38" s="14">
        <f>'B) D RI'!U39</f>
        <v>51373.818644067804</v>
      </c>
      <c r="H38" s="49">
        <f>'B) D RI'!T39</f>
        <v>2748974.4000000004</v>
      </c>
      <c r="I38" s="14">
        <f t="shared" si="3"/>
        <v>93185.57288135594</v>
      </c>
      <c r="J38" s="39">
        <f t="shared" ref="J38:J69" si="6">+$I$315/$D$315*D38</f>
        <v>134867.18495088286</v>
      </c>
      <c r="K38" s="14">
        <f t="shared" si="1"/>
        <v>93185.57288135594</v>
      </c>
      <c r="L38" s="14">
        <f t="shared" si="4"/>
        <v>41681.61206952692</v>
      </c>
      <c r="M38" s="14">
        <f>'D) Ecrêtage'!M37</f>
        <v>51373.818644067804</v>
      </c>
      <c r="N38" s="14">
        <f t="shared" ref="N38:N69" si="7">+$N$5*M38</f>
        <v>66884.878198051621</v>
      </c>
      <c r="O38" s="66">
        <f t="shared" si="5"/>
        <v>160070.45107940756</v>
      </c>
      <c r="P38" s="251"/>
      <c r="Q38" s="252"/>
      <c r="R38" s="248"/>
      <c r="S38" s="248"/>
      <c r="T38" s="253"/>
    </row>
    <row r="39" spans="1:20" s="247" customFormat="1" x14ac:dyDescent="0.25">
      <c r="A39" s="369">
        <f>'A) Base RI'!A40</f>
        <v>5458</v>
      </c>
      <c r="B39" s="260" t="str">
        <f>'A) Base RI'!B40</f>
        <v>Faoug</v>
      </c>
      <c r="C39" s="276">
        <v>0</v>
      </c>
      <c r="D39" s="249">
        <f>'B) D RI'!AA40</f>
        <v>870</v>
      </c>
      <c r="E39" s="250">
        <f>'B) D RI'!S40</f>
        <v>64</v>
      </c>
      <c r="F39" s="14">
        <f>'B) D RI'!R40</f>
        <v>2028293.9500000002</v>
      </c>
      <c r="G39" s="14">
        <f>'B) D RI'!U40</f>
        <v>31692.092968750003</v>
      </c>
      <c r="H39" s="49">
        <f>'B) D RI'!T40</f>
        <v>1860295.6</v>
      </c>
      <c r="I39" s="14">
        <f t="shared" si="3"/>
        <v>58134.237500000003</v>
      </c>
      <c r="J39" s="39">
        <f t="shared" si="6"/>
        <v>75456.238525574328</v>
      </c>
      <c r="K39" s="14">
        <f t="shared" si="1"/>
        <v>58134.237500000003</v>
      </c>
      <c r="L39" s="14">
        <f t="shared" si="4"/>
        <v>17322.001025574325</v>
      </c>
      <c r="M39" s="14">
        <f>'D) Ecrêtage'!M38</f>
        <v>31692.092968750003</v>
      </c>
      <c r="N39" s="14">
        <f t="shared" si="7"/>
        <v>41260.740081289223</v>
      </c>
      <c r="O39" s="66">
        <f t="shared" si="5"/>
        <v>99394.977581289219</v>
      </c>
      <c r="P39" s="251"/>
      <c r="Q39" s="252"/>
      <c r="R39" s="248"/>
      <c r="S39" s="248"/>
      <c r="T39" s="253"/>
    </row>
    <row r="40" spans="1:20" s="247" customFormat="1" x14ac:dyDescent="0.25">
      <c r="A40" s="369">
        <f>'A) Base RI'!A41</f>
        <v>5464</v>
      </c>
      <c r="B40" s="260" t="str">
        <f>'A) Base RI'!B41</f>
        <v>Vully-les-Lacs</v>
      </c>
      <c r="C40" s="276">
        <v>0</v>
      </c>
      <c r="D40" s="249">
        <f>'B) D RI'!AA41</f>
        <v>2935</v>
      </c>
      <c r="E40" s="250">
        <f>'B) D RI'!S41</f>
        <v>67</v>
      </c>
      <c r="F40" s="14">
        <f>'B) D RI'!R41</f>
        <v>6452795.8033333328</v>
      </c>
      <c r="G40" s="14">
        <f>'B) D RI'!U41</f>
        <v>96310.385124378095</v>
      </c>
      <c r="H40" s="49">
        <f>'B) D RI'!T41</f>
        <v>5877993.2699999996</v>
      </c>
      <c r="I40" s="14">
        <f t="shared" si="3"/>
        <v>175462.48567164177</v>
      </c>
      <c r="J40" s="39">
        <f t="shared" si="6"/>
        <v>254556.39088800075</v>
      </c>
      <c r="K40" s="14">
        <f t="shared" si="1"/>
        <v>175462.48567164177</v>
      </c>
      <c r="L40" s="14">
        <f t="shared" si="4"/>
        <v>79093.90521635898</v>
      </c>
      <c r="M40" s="14">
        <f>'D) Ecrêtage'!M39</f>
        <v>96310.385124378095</v>
      </c>
      <c r="N40" s="14">
        <f t="shared" si="7"/>
        <v>125388.9344469686</v>
      </c>
      <c r="O40" s="66">
        <f t="shared" si="5"/>
        <v>300851.42011861037</v>
      </c>
      <c r="P40" s="251"/>
      <c r="Q40" s="252"/>
      <c r="R40" s="248"/>
      <c r="S40" s="248"/>
      <c r="T40" s="253"/>
    </row>
    <row r="41" spans="1:20" s="247" customFormat="1" x14ac:dyDescent="0.25">
      <c r="A41" s="369">
        <f>'A) Base RI'!A42</f>
        <v>5471</v>
      </c>
      <c r="B41" s="260" t="str">
        <f>'A) Base RI'!B42</f>
        <v>Bettens</v>
      </c>
      <c r="C41" s="276">
        <v>0</v>
      </c>
      <c r="D41" s="249">
        <f>'B) D RI'!AA42</f>
        <v>584</v>
      </c>
      <c r="E41" s="250">
        <f>'B) D RI'!S42</f>
        <v>70</v>
      </c>
      <c r="F41" s="14">
        <f>'B) D RI'!R42</f>
        <v>1151436.061111111</v>
      </c>
      <c r="G41" s="14">
        <f>'B) D RI'!U42</f>
        <v>16449.086587301586</v>
      </c>
      <c r="H41" s="49">
        <f>'B) D RI'!T42</f>
        <v>1058255.95</v>
      </c>
      <c r="I41" s="14">
        <f t="shared" si="3"/>
        <v>30235.884285714284</v>
      </c>
      <c r="J41" s="39">
        <f t="shared" si="6"/>
        <v>50651.084251649896</v>
      </c>
      <c r="K41" s="14">
        <f t="shared" si="1"/>
        <v>30235.884285714284</v>
      </c>
      <c r="L41" s="14">
        <f t="shared" si="4"/>
        <v>20415.199965935612</v>
      </c>
      <c r="M41" s="14">
        <f>'D) Ecrêtage'!M40</f>
        <v>16449.086587301586</v>
      </c>
      <c r="N41" s="14">
        <f t="shared" si="7"/>
        <v>21415.483253898863</v>
      </c>
      <c r="O41" s="66">
        <f t="shared" si="5"/>
        <v>51651.367539613144</v>
      </c>
      <c r="P41" s="251"/>
      <c r="Q41" s="252"/>
      <c r="R41" s="248"/>
      <c r="S41" s="248"/>
      <c r="T41" s="253"/>
    </row>
    <row r="42" spans="1:20" s="247" customFormat="1" x14ac:dyDescent="0.25">
      <c r="A42" s="369">
        <f>'A) Base RI'!A43</f>
        <v>5472</v>
      </c>
      <c r="B42" s="260" t="str">
        <f>'A) Base RI'!B43</f>
        <v>Bournens</v>
      </c>
      <c r="C42" s="276">
        <v>0</v>
      </c>
      <c r="D42" s="249">
        <f>'B) D RI'!AA43</f>
        <v>370</v>
      </c>
      <c r="E42" s="250">
        <f>'B) D RI'!S43</f>
        <v>80</v>
      </c>
      <c r="F42" s="14">
        <f>'B) D RI'!R43</f>
        <v>1135344.0899999999</v>
      </c>
      <c r="G42" s="14">
        <f>'B) D RI'!U43</f>
        <v>14191.801124999998</v>
      </c>
      <c r="H42" s="49">
        <f>'B) D RI'!T43</f>
        <v>1064726.94</v>
      </c>
      <c r="I42" s="14">
        <f t="shared" si="3"/>
        <v>26618.173499999997</v>
      </c>
      <c r="J42" s="39">
        <f t="shared" si="6"/>
        <v>32090.584200531612</v>
      </c>
      <c r="K42" s="14">
        <f t="shared" si="1"/>
        <v>26618.173499999997</v>
      </c>
      <c r="L42" s="14">
        <f t="shared" si="4"/>
        <v>5472.4107005316146</v>
      </c>
      <c r="M42" s="14">
        <f>'D) Ecrêtage'!M41</f>
        <v>14191.801124999998</v>
      </c>
      <c r="N42" s="14">
        <f t="shared" si="7"/>
        <v>18476.666027749216</v>
      </c>
      <c r="O42" s="66">
        <f t="shared" si="5"/>
        <v>45094.839527749209</v>
      </c>
      <c r="P42" s="251"/>
      <c r="Q42" s="252"/>
      <c r="R42" s="248"/>
      <c r="S42" s="248"/>
      <c r="T42" s="253"/>
    </row>
    <row r="43" spans="1:20" s="247" customFormat="1" x14ac:dyDescent="0.25">
      <c r="A43" s="369">
        <f>'A) Base RI'!A44</f>
        <v>5473</v>
      </c>
      <c r="B43" s="260" t="str">
        <f>'A) Base RI'!B44</f>
        <v>Boussens</v>
      </c>
      <c r="C43" s="276">
        <v>0</v>
      </c>
      <c r="D43" s="249">
        <f>'B) D RI'!AA44</f>
        <v>980</v>
      </c>
      <c r="E43" s="250">
        <f>'B) D RI'!S44</f>
        <v>69</v>
      </c>
      <c r="F43" s="14">
        <f>'B) D RI'!R44</f>
        <v>2260236.65</v>
      </c>
      <c r="G43" s="14">
        <f>'B) D RI'!U44</f>
        <v>32757.052898550723</v>
      </c>
      <c r="H43" s="49">
        <f>'B) D RI'!T44</f>
        <v>2090643.45</v>
      </c>
      <c r="I43" s="14">
        <f t="shared" si="3"/>
        <v>60598.360869565215</v>
      </c>
      <c r="J43" s="39">
        <f t="shared" si="6"/>
        <v>84996.682477083727</v>
      </c>
      <c r="K43" s="14">
        <f t="shared" si="1"/>
        <v>60598.360869565215</v>
      </c>
      <c r="L43" s="14">
        <f t="shared" si="4"/>
        <v>24398.321607518512</v>
      </c>
      <c r="M43" s="14">
        <f>'D) Ecrêtage'!M42</f>
        <v>32757.052898550723</v>
      </c>
      <c r="N43" s="14">
        <f t="shared" si="7"/>
        <v>42647.238439217923</v>
      </c>
      <c r="O43" s="66">
        <f t="shared" si="5"/>
        <v>103245.59930878313</v>
      </c>
      <c r="P43" s="251"/>
      <c r="Q43" s="252"/>
      <c r="R43" s="248"/>
      <c r="S43" s="248"/>
      <c r="T43" s="253"/>
    </row>
    <row r="44" spans="1:20" s="247" customFormat="1" x14ac:dyDescent="0.25">
      <c r="A44" s="369">
        <f>'A) Base RI'!A45</f>
        <v>5474</v>
      </c>
      <c r="B44" s="260" t="str">
        <f>'A) Base RI'!B45</f>
        <v>La Chaux (Cossonay)</v>
      </c>
      <c r="C44" s="276">
        <v>0</v>
      </c>
      <c r="D44" s="249">
        <f>'B) D RI'!AA45</f>
        <v>421</v>
      </c>
      <c r="E44" s="250">
        <f>'B) D RI'!S45</f>
        <v>77</v>
      </c>
      <c r="F44" s="14">
        <f>'B) D RI'!R45</f>
        <v>995214.1316666666</v>
      </c>
      <c r="G44" s="14">
        <f>'B) D RI'!U45</f>
        <v>12924.858852813852</v>
      </c>
      <c r="H44" s="49">
        <f>'B) D RI'!T45</f>
        <v>929056.34</v>
      </c>
      <c r="I44" s="14">
        <f t="shared" si="3"/>
        <v>24131.333506493505</v>
      </c>
      <c r="J44" s="39">
        <f t="shared" si="6"/>
        <v>36513.880941685973</v>
      </c>
      <c r="K44" s="14">
        <f t="shared" si="1"/>
        <v>24131.333506493505</v>
      </c>
      <c r="L44" s="14">
        <f t="shared" si="4"/>
        <v>12382.547435192468</v>
      </c>
      <c r="M44" s="14">
        <f>'D) Ecrêtage'!M43</f>
        <v>12924.858852813852</v>
      </c>
      <c r="N44" s="14">
        <f t="shared" si="7"/>
        <v>16827.201732594698</v>
      </c>
      <c r="O44" s="66">
        <f t="shared" si="5"/>
        <v>40958.535239088204</v>
      </c>
      <c r="P44" s="251"/>
      <c r="Q44" s="252"/>
      <c r="R44" s="248"/>
      <c r="S44" s="248"/>
      <c r="T44" s="253"/>
    </row>
    <row r="45" spans="1:20" s="247" customFormat="1" x14ac:dyDescent="0.25">
      <c r="A45" s="369">
        <f>'A) Base RI'!A46</f>
        <v>5475</v>
      </c>
      <c r="B45" s="260" t="str">
        <f>'A) Base RI'!B46</f>
        <v>Chavannes-le-Veyron</v>
      </c>
      <c r="C45" s="276">
        <v>0</v>
      </c>
      <c r="D45" s="249">
        <f>'B) D RI'!AA46</f>
        <v>143</v>
      </c>
      <c r="E45" s="250">
        <f>'B) D RI'!S46</f>
        <v>77</v>
      </c>
      <c r="F45" s="14">
        <f>'B) D RI'!R46</f>
        <v>205805.17999999996</v>
      </c>
      <c r="G45" s="14">
        <f>'B) D RI'!U46</f>
        <v>2672.7945454545452</v>
      </c>
      <c r="H45" s="49">
        <f>'B) D RI'!T46</f>
        <v>186301.87999999998</v>
      </c>
      <c r="I45" s="14">
        <f t="shared" si="3"/>
        <v>4839.0098701298693</v>
      </c>
      <c r="J45" s="39">
        <f t="shared" si="6"/>
        <v>12402.577136962218</v>
      </c>
      <c r="K45" s="14">
        <f t="shared" si="1"/>
        <v>4839.0098701298693</v>
      </c>
      <c r="L45" s="14">
        <f t="shared" si="4"/>
        <v>7563.5672668323487</v>
      </c>
      <c r="M45" s="14">
        <f>'D) Ecrêtage'!M44</f>
        <v>2672.7945454545452</v>
      </c>
      <c r="N45" s="14">
        <f t="shared" si="7"/>
        <v>3479.7790458153286</v>
      </c>
      <c r="O45" s="66">
        <f t="shared" si="5"/>
        <v>8318.7889159451988</v>
      </c>
      <c r="P45" s="251"/>
      <c r="Q45" s="252"/>
      <c r="R45" s="248"/>
      <c r="S45" s="248"/>
      <c r="T45" s="253"/>
    </row>
    <row r="46" spans="1:20" s="247" customFormat="1" x14ac:dyDescent="0.25">
      <c r="A46" s="369">
        <f>'A) Base RI'!A47</f>
        <v>5476</v>
      </c>
      <c r="B46" s="260" t="str">
        <f>'A) Base RI'!B47</f>
        <v>Chevilly</v>
      </c>
      <c r="C46" s="276">
        <v>0</v>
      </c>
      <c r="D46" s="249">
        <f>'B) D RI'!AA47</f>
        <v>299</v>
      </c>
      <c r="E46" s="250">
        <f>'B) D RI'!S47</f>
        <v>74</v>
      </c>
      <c r="F46" s="14">
        <f>'B) D RI'!R47</f>
        <v>758348.46</v>
      </c>
      <c r="G46" s="14">
        <f>'B) D RI'!U47</f>
        <v>10247.952162162162</v>
      </c>
      <c r="H46" s="49">
        <f>'B) D RI'!T47</f>
        <v>709377.76</v>
      </c>
      <c r="I46" s="14">
        <f t="shared" si="3"/>
        <v>19172.371891891893</v>
      </c>
      <c r="J46" s="39">
        <f t="shared" si="6"/>
        <v>25932.661286375547</v>
      </c>
      <c r="K46" s="14">
        <f t="shared" si="1"/>
        <v>19172.371891891893</v>
      </c>
      <c r="L46" s="14">
        <f t="shared" si="4"/>
        <v>6760.2893944836542</v>
      </c>
      <c r="M46" s="14">
        <f>'D) Ecrêtage'!M45</f>
        <v>10247.952162162162</v>
      </c>
      <c r="N46" s="14">
        <f t="shared" si="7"/>
        <v>13342.068980593946</v>
      </c>
      <c r="O46" s="66">
        <f t="shared" si="5"/>
        <v>32514.440872485837</v>
      </c>
      <c r="P46" s="251"/>
      <c r="Q46" s="252"/>
      <c r="R46" s="248"/>
      <c r="S46" s="248"/>
      <c r="T46" s="253"/>
    </row>
    <row r="47" spans="1:20" s="247" customFormat="1" x14ac:dyDescent="0.25">
      <c r="A47" s="369">
        <f>'A) Base RI'!A48</f>
        <v>5477</v>
      </c>
      <c r="B47" s="260" t="str">
        <f>'A) Base RI'!B48</f>
        <v>Cossonay</v>
      </c>
      <c r="C47" s="276">
        <v>0</v>
      </c>
      <c r="D47" s="249">
        <f>'B) D RI'!AA48</f>
        <v>3632</v>
      </c>
      <c r="E47" s="250">
        <f>'B) D RI'!S48</f>
        <v>69.3</v>
      </c>
      <c r="F47" s="14">
        <f>'B) D RI'!R48</f>
        <v>8727440.0099999998</v>
      </c>
      <c r="G47" s="14">
        <f>'B) D RI'!U48</f>
        <v>125937.08528138528</v>
      </c>
      <c r="H47" s="49">
        <f>'B) D RI'!T48</f>
        <v>8167333.9100000001</v>
      </c>
      <c r="I47" s="14">
        <f t="shared" si="3"/>
        <v>235709.49235209238</v>
      </c>
      <c r="J47" s="39">
        <f t="shared" si="6"/>
        <v>315008.11301711033</v>
      </c>
      <c r="K47" s="14">
        <f t="shared" si="1"/>
        <v>235709.49235209238</v>
      </c>
      <c r="L47" s="14">
        <f t="shared" si="4"/>
        <v>79298.620665017952</v>
      </c>
      <c r="M47" s="14">
        <f>'D) Ecrêtage'!M46</f>
        <v>125937.08528138528</v>
      </c>
      <c r="N47" s="14">
        <f t="shared" si="7"/>
        <v>163960.68721350035</v>
      </c>
      <c r="O47" s="66">
        <f t="shared" si="5"/>
        <v>399670.17956559273</v>
      </c>
      <c r="P47" s="251"/>
      <c r="Q47" s="252"/>
      <c r="R47" s="248"/>
      <c r="S47" s="248"/>
      <c r="T47" s="253"/>
    </row>
    <row r="48" spans="1:20" s="247" customFormat="1" x14ac:dyDescent="0.25">
      <c r="A48" s="369">
        <f>'A) Base RI'!A49</f>
        <v>5478</v>
      </c>
      <c r="B48" s="260" t="str">
        <f>'A) Base RI'!B49</f>
        <v>Cottens</v>
      </c>
      <c r="C48" s="276">
        <v>0</v>
      </c>
      <c r="D48" s="249">
        <f>'B) D RI'!AA49</f>
        <v>483</v>
      </c>
      <c r="E48" s="250">
        <f>'B) D RI'!S49</f>
        <v>74</v>
      </c>
      <c r="F48" s="14">
        <f>'B) D RI'!R49</f>
        <v>1070433.51</v>
      </c>
      <c r="G48" s="14">
        <f>'B) D RI'!U49</f>
        <v>14465.317702702703</v>
      </c>
      <c r="H48" s="49">
        <f>'B) D RI'!T49</f>
        <v>994203.21</v>
      </c>
      <c r="I48" s="14">
        <f t="shared" si="3"/>
        <v>26870.357027027025</v>
      </c>
      <c r="J48" s="39">
        <f t="shared" si="6"/>
        <v>41891.222077991268</v>
      </c>
      <c r="K48" s="14">
        <f t="shared" si="1"/>
        <v>26870.357027027025</v>
      </c>
      <c r="L48" s="14">
        <f t="shared" si="4"/>
        <v>15020.865050964243</v>
      </c>
      <c r="M48" s="14">
        <f>'D) Ecrêtage'!M47</f>
        <v>14465.317702702703</v>
      </c>
      <c r="N48" s="14">
        <f t="shared" si="7"/>
        <v>18832.764201247668</v>
      </c>
      <c r="O48" s="66">
        <f t="shared" si="5"/>
        <v>45703.121228274693</v>
      </c>
      <c r="P48" s="251"/>
      <c r="Q48" s="252"/>
      <c r="R48" s="248"/>
      <c r="S48" s="248"/>
      <c r="T48" s="253"/>
    </row>
    <row r="49" spans="1:20" s="247" customFormat="1" x14ac:dyDescent="0.25">
      <c r="A49" s="369">
        <f>'A) Base RI'!A50</f>
        <v>5479</v>
      </c>
      <c r="B49" s="260" t="str">
        <f>'A) Base RI'!B50</f>
        <v>Cuarnens</v>
      </c>
      <c r="C49" s="276">
        <v>0</v>
      </c>
      <c r="D49" s="249">
        <f>'B) D RI'!AA50</f>
        <v>481</v>
      </c>
      <c r="E49" s="250">
        <f>'B) D RI'!S50</f>
        <v>77</v>
      </c>
      <c r="F49" s="14">
        <f>'B) D RI'!R50</f>
        <v>890337.09000000008</v>
      </c>
      <c r="G49" s="14">
        <f>'B) D RI'!U50</f>
        <v>11562.819350649352</v>
      </c>
      <c r="H49" s="49">
        <f>'B) D RI'!T50</f>
        <v>822544.34000000008</v>
      </c>
      <c r="I49" s="14">
        <f t="shared" si="3"/>
        <v>21364.788051948053</v>
      </c>
      <c r="J49" s="39">
        <f t="shared" si="6"/>
        <v>41717.759460691093</v>
      </c>
      <c r="K49" s="14">
        <f t="shared" si="1"/>
        <v>21364.788051948053</v>
      </c>
      <c r="L49" s="14">
        <f t="shared" si="4"/>
        <v>20352.97140874304</v>
      </c>
      <c r="M49" s="14">
        <f>'D) Ecrêtage'!M48</f>
        <v>11562.819350649352</v>
      </c>
      <c r="N49" s="14">
        <f t="shared" si="7"/>
        <v>15053.927940463873</v>
      </c>
      <c r="O49" s="66">
        <f t="shared" si="5"/>
        <v>36418.715992411926</v>
      </c>
      <c r="P49" s="251"/>
      <c r="Q49" s="252"/>
      <c r="R49" s="248"/>
      <c r="S49" s="248"/>
      <c r="T49" s="253"/>
    </row>
    <row r="50" spans="1:20" s="247" customFormat="1" x14ac:dyDescent="0.25">
      <c r="A50" s="369">
        <f>'A) Base RI'!A51</f>
        <v>5480</v>
      </c>
      <c r="B50" s="260" t="str">
        <f>'A) Base RI'!B51</f>
        <v>Daillens</v>
      </c>
      <c r="C50" s="276">
        <v>0</v>
      </c>
      <c r="D50" s="249">
        <f>'B) D RI'!AA51</f>
        <v>958</v>
      </c>
      <c r="E50" s="250">
        <f>'B) D RI'!S51</f>
        <v>71</v>
      </c>
      <c r="F50" s="14">
        <f>'B) D RI'!R51</f>
        <v>2474498.63</v>
      </c>
      <c r="G50" s="14">
        <f>'B) D RI'!U51</f>
        <v>34852.093380281687</v>
      </c>
      <c r="H50" s="49">
        <f>'B) D RI'!T51</f>
        <v>2196933.5299999998</v>
      </c>
      <c r="I50" s="14">
        <f t="shared" si="3"/>
        <v>61885.451549295765</v>
      </c>
      <c r="J50" s="39">
        <f t="shared" si="6"/>
        <v>83088.593686781853</v>
      </c>
      <c r="K50" s="14">
        <f t="shared" si="1"/>
        <v>61885.451549295765</v>
      </c>
      <c r="L50" s="14">
        <f t="shared" si="4"/>
        <v>21203.142137486087</v>
      </c>
      <c r="M50" s="14">
        <f>'D) Ecrêtage'!M49</f>
        <v>34852.093380281687</v>
      </c>
      <c r="N50" s="14">
        <f t="shared" si="7"/>
        <v>45374.824807897247</v>
      </c>
      <c r="O50" s="66">
        <f t="shared" si="5"/>
        <v>107260.27635719301</v>
      </c>
      <c r="P50" s="251"/>
      <c r="Q50" s="252"/>
      <c r="R50" s="248"/>
      <c r="S50" s="248"/>
      <c r="T50" s="253"/>
    </row>
    <row r="51" spans="1:20" s="247" customFormat="1" x14ac:dyDescent="0.25">
      <c r="A51" s="369">
        <f>'A) Base RI'!A52</f>
        <v>5481</v>
      </c>
      <c r="B51" s="260" t="str">
        <f>'A) Base RI'!B52</f>
        <v>Dizy</v>
      </c>
      <c r="C51" s="276">
        <v>0</v>
      </c>
      <c r="D51" s="249">
        <f>'B) D RI'!AA52</f>
        <v>222</v>
      </c>
      <c r="E51" s="250">
        <f>'B) D RI'!S52</f>
        <v>79</v>
      </c>
      <c r="F51" s="14">
        <f>'B) D RI'!R52</f>
        <v>703119.96</v>
      </c>
      <c r="G51" s="14">
        <f>'B) D RI'!U52</f>
        <v>8900.2526582278479</v>
      </c>
      <c r="H51" s="49">
        <f>'B) D RI'!T52</f>
        <v>668128.80999999994</v>
      </c>
      <c r="I51" s="14">
        <f t="shared" si="3"/>
        <v>16914.653417721518</v>
      </c>
      <c r="J51" s="39">
        <f t="shared" si="6"/>
        <v>19254.350520318967</v>
      </c>
      <c r="K51" s="14">
        <f t="shared" si="1"/>
        <v>16914.653417721518</v>
      </c>
      <c r="L51" s="14">
        <f t="shared" si="4"/>
        <v>2339.697102597449</v>
      </c>
      <c r="M51" s="14">
        <f>'D) Ecrêtage'!M50</f>
        <v>8900.2526582278479</v>
      </c>
      <c r="N51" s="14">
        <f t="shared" si="7"/>
        <v>11587.464796062884</v>
      </c>
      <c r="O51" s="66">
        <f t="shared" si="5"/>
        <v>28502.118213784401</v>
      </c>
      <c r="P51" s="251"/>
      <c r="Q51" s="252"/>
      <c r="R51" s="248"/>
      <c r="S51" s="248"/>
      <c r="T51" s="253"/>
    </row>
    <row r="52" spans="1:20" s="247" customFormat="1" x14ac:dyDescent="0.25">
      <c r="A52" s="369">
        <f>'A) Base RI'!A53</f>
        <v>5482</v>
      </c>
      <c r="B52" s="260" t="str">
        <f>'A) Base RI'!B53</f>
        <v>Eclépens</v>
      </c>
      <c r="C52" s="276">
        <v>0</v>
      </c>
      <c r="D52" s="249">
        <f>'B) D RI'!AA53</f>
        <v>1043</v>
      </c>
      <c r="E52" s="250">
        <f>'B) D RI'!S53</f>
        <v>46</v>
      </c>
      <c r="F52" s="14">
        <f>'B) D RI'!R53</f>
        <v>1232432.3400000001</v>
      </c>
      <c r="G52" s="14">
        <f>'B) D RI'!U53</f>
        <v>26792.007391304349</v>
      </c>
      <c r="H52" s="49">
        <f>'B) D RI'!T53</f>
        <v>812164.74000000011</v>
      </c>
      <c r="I52" s="14">
        <f t="shared" si="3"/>
        <v>35311.510434782613</v>
      </c>
      <c r="J52" s="39">
        <f t="shared" si="6"/>
        <v>90460.754922039108</v>
      </c>
      <c r="K52" s="14">
        <f t="shared" si="1"/>
        <v>35311.510434782613</v>
      </c>
      <c r="L52" s="14">
        <f t="shared" si="4"/>
        <v>55149.244487256496</v>
      </c>
      <c r="M52" s="14">
        <f>'D) Ecrêtage'!M51</f>
        <v>26792.007391304349</v>
      </c>
      <c r="N52" s="14">
        <f t="shared" si="7"/>
        <v>34881.194319309419</v>
      </c>
      <c r="O52" s="66">
        <f t="shared" si="5"/>
        <v>70192.704754092032</v>
      </c>
      <c r="P52" s="251"/>
      <c r="Q52" s="252"/>
      <c r="R52" s="248"/>
      <c r="S52" s="248"/>
      <c r="T52" s="253"/>
    </row>
    <row r="53" spans="1:20" s="247" customFormat="1" x14ac:dyDescent="0.25">
      <c r="A53" s="369">
        <f>'A) Base RI'!A54</f>
        <v>5483</v>
      </c>
      <c r="B53" s="260" t="str">
        <f>'A) Base RI'!B54</f>
        <v>Ferreyres</v>
      </c>
      <c r="C53" s="276">
        <v>0</v>
      </c>
      <c r="D53" s="249">
        <f>'B) D RI'!AA54</f>
        <v>316</v>
      </c>
      <c r="E53" s="250">
        <f>'B) D RI'!S54</f>
        <v>76</v>
      </c>
      <c r="F53" s="14">
        <f>'B) D RI'!R54</f>
        <v>742813.0199999999</v>
      </c>
      <c r="G53" s="14">
        <f>'B) D RI'!U54</f>
        <v>9773.8555263157887</v>
      </c>
      <c r="H53" s="49">
        <f>'B) D RI'!T54</f>
        <v>694653.0199999999</v>
      </c>
      <c r="I53" s="14">
        <f t="shared" si="3"/>
        <v>18280.342631578944</v>
      </c>
      <c r="J53" s="39">
        <f t="shared" si="6"/>
        <v>27407.093533427</v>
      </c>
      <c r="K53" s="14">
        <f t="shared" si="1"/>
        <v>18280.342631578944</v>
      </c>
      <c r="L53" s="14">
        <f t="shared" si="4"/>
        <v>9126.7509018480559</v>
      </c>
      <c r="M53" s="14">
        <f>'D) Ecrêtage'!M52</f>
        <v>9773.8555263157887</v>
      </c>
      <c r="N53" s="14">
        <f t="shared" si="7"/>
        <v>12724.830539309567</v>
      </c>
      <c r="O53" s="66">
        <f t="shared" si="5"/>
        <v>31005.173170888513</v>
      </c>
      <c r="P53" s="251"/>
      <c r="Q53" s="252"/>
      <c r="R53" s="248"/>
      <c r="S53" s="248"/>
      <c r="T53" s="253"/>
    </row>
    <row r="54" spans="1:20" s="247" customFormat="1" x14ac:dyDescent="0.25">
      <c r="A54" s="369">
        <f>'A) Base RI'!A55</f>
        <v>5484</v>
      </c>
      <c r="B54" s="260" t="str">
        <f>'A) Base RI'!B55</f>
        <v>Gollion</v>
      </c>
      <c r="C54" s="276">
        <v>0</v>
      </c>
      <c r="D54" s="249">
        <f>'B) D RI'!AA55</f>
        <v>902</v>
      </c>
      <c r="E54" s="250">
        <f>'B) D RI'!S55</f>
        <v>74</v>
      </c>
      <c r="F54" s="14">
        <f>'B) D RI'!R55</f>
        <v>2150715.3800000004</v>
      </c>
      <c r="G54" s="14">
        <f>'B) D RI'!U55</f>
        <v>29063.721351351356</v>
      </c>
      <c r="H54" s="49">
        <f>'B) D RI'!T55</f>
        <v>2002952.5800000003</v>
      </c>
      <c r="I54" s="14">
        <f t="shared" si="3"/>
        <v>54133.853513513524</v>
      </c>
      <c r="J54" s="39">
        <f t="shared" si="6"/>
        <v>78231.640402377059</v>
      </c>
      <c r="K54" s="14">
        <f t="shared" si="1"/>
        <v>54133.853513513524</v>
      </c>
      <c r="L54" s="14">
        <f t="shared" si="4"/>
        <v>24097.786888863535</v>
      </c>
      <c r="M54" s="14">
        <f>'D) Ecrêtage'!M53</f>
        <v>29063.721351351356</v>
      </c>
      <c r="N54" s="14">
        <f t="shared" si="7"/>
        <v>37838.796372823548</v>
      </c>
      <c r="O54" s="66">
        <f t="shared" si="5"/>
        <v>91972.64988633708</v>
      </c>
      <c r="P54" s="251"/>
      <c r="Q54" s="252"/>
      <c r="R54" s="248"/>
      <c r="S54" s="248"/>
      <c r="T54" s="253"/>
    </row>
    <row r="55" spans="1:20" s="247" customFormat="1" x14ac:dyDescent="0.25">
      <c r="A55" s="369">
        <f>'A) Base RI'!A56</f>
        <v>5485</v>
      </c>
      <c r="B55" s="260" t="str">
        <f>'A) Base RI'!B56</f>
        <v>Grancy</v>
      </c>
      <c r="C55" s="276">
        <v>0</v>
      </c>
      <c r="D55" s="249">
        <f>'B) D RI'!AA56</f>
        <v>408</v>
      </c>
      <c r="E55" s="250">
        <f>'B) D RI'!S56</f>
        <v>70</v>
      </c>
      <c r="F55" s="14">
        <f>'B) D RI'!R56</f>
        <v>1055176.3599999999</v>
      </c>
      <c r="G55" s="14">
        <f>'B) D RI'!U56</f>
        <v>15073.947999999999</v>
      </c>
      <c r="H55" s="49">
        <f>'B) D RI'!T56</f>
        <v>988441.30999999994</v>
      </c>
      <c r="I55" s="14">
        <f t="shared" si="3"/>
        <v>28241.180285714283</v>
      </c>
      <c r="J55" s="39">
        <f t="shared" si="6"/>
        <v>35386.373929234862</v>
      </c>
      <c r="K55" s="14">
        <f t="shared" si="1"/>
        <v>28241.180285714283</v>
      </c>
      <c r="L55" s="14">
        <f t="shared" si="4"/>
        <v>7145.1936435205789</v>
      </c>
      <c r="M55" s="14">
        <f>'D) Ecrêtage'!M54</f>
        <v>15073.947999999999</v>
      </c>
      <c r="N55" s="14">
        <f t="shared" si="7"/>
        <v>19625.15543041463</v>
      </c>
      <c r="O55" s="66">
        <f t="shared" si="5"/>
        <v>47866.335716128917</v>
      </c>
      <c r="P55" s="251"/>
      <c r="Q55" s="252"/>
      <c r="R55" s="248"/>
      <c r="S55" s="248"/>
      <c r="T55" s="253"/>
    </row>
    <row r="56" spans="1:20" s="247" customFormat="1" x14ac:dyDescent="0.25">
      <c r="A56" s="369">
        <f>'A) Base RI'!A57</f>
        <v>5486</v>
      </c>
      <c r="B56" s="260" t="str">
        <f>'A) Base RI'!B57</f>
        <v>L'Isle</v>
      </c>
      <c r="C56" s="276">
        <v>0</v>
      </c>
      <c r="D56" s="249">
        <f>'B) D RI'!AA57</f>
        <v>1033</v>
      </c>
      <c r="E56" s="250">
        <f>'B) D RI'!S57</f>
        <v>76</v>
      </c>
      <c r="F56" s="14">
        <f>'B) D RI'!R57</f>
        <v>2267428.54</v>
      </c>
      <c r="G56" s="14">
        <f>'B) D RI'!U57</f>
        <v>29834.586052631581</v>
      </c>
      <c r="H56" s="49">
        <f>'B) D RI'!T57</f>
        <v>2089876.8900000001</v>
      </c>
      <c r="I56" s="14">
        <f t="shared" si="3"/>
        <v>54996.760263157899</v>
      </c>
      <c r="J56" s="39">
        <f t="shared" si="6"/>
        <v>89593.441835538251</v>
      </c>
      <c r="K56" s="14">
        <f t="shared" si="1"/>
        <v>54996.760263157899</v>
      </c>
      <c r="L56" s="14">
        <f t="shared" si="4"/>
        <v>34596.681572380352</v>
      </c>
      <c r="M56" s="14">
        <f>'D) Ecrêtage'!M55</f>
        <v>29834.586052631581</v>
      </c>
      <c r="N56" s="14">
        <f t="shared" si="7"/>
        <v>38842.404689532916</v>
      </c>
      <c r="O56" s="66">
        <f t="shared" si="5"/>
        <v>93839.164952690815</v>
      </c>
      <c r="P56" s="251"/>
      <c r="Q56" s="252"/>
      <c r="R56" s="248"/>
      <c r="S56" s="248"/>
      <c r="T56" s="253"/>
    </row>
    <row r="57" spans="1:20" s="247" customFormat="1" x14ac:dyDescent="0.25">
      <c r="A57" s="369">
        <f>'A) Base RI'!A58</f>
        <v>5487</v>
      </c>
      <c r="B57" s="260" t="str">
        <f>'A) Base RI'!B58</f>
        <v>Lussery-Villars</v>
      </c>
      <c r="C57" s="276">
        <v>0</v>
      </c>
      <c r="D57" s="249">
        <f>'B) D RI'!AA58</f>
        <v>462</v>
      </c>
      <c r="E57" s="250">
        <f>'B) D RI'!S58</f>
        <v>68</v>
      </c>
      <c r="F57" s="14">
        <f>'B) D RI'!R58</f>
        <v>893778.32999999984</v>
      </c>
      <c r="G57" s="14">
        <f>'B) D RI'!U58</f>
        <v>13143.798970588234</v>
      </c>
      <c r="H57" s="49">
        <f>'B) D RI'!T58</f>
        <v>824232.72999999986</v>
      </c>
      <c r="I57" s="14">
        <f t="shared" si="3"/>
        <v>24242.139117647053</v>
      </c>
      <c r="J57" s="39">
        <f t="shared" si="6"/>
        <v>40069.864596339474</v>
      </c>
      <c r="K57" s="14">
        <f t="shared" si="1"/>
        <v>24242.139117647053</v>
      </c>
      <c r="L57" s="14">
        <f t="shared" si="4"/>
        <v>15827.72547869242</v>
      </c>
      <c r="M57" s="14">
        <f>'D) Ecrêtage'!M56</f>
        <v>13143.798970588234</v>
      </c>
      <c r="N57" s="14">
        <f t="shared" si="7"/>
        <v>17112.245427934206</v>
      </c>
      <c r="O57" s="66">
        <f t="shared" si="5"/>
        <v>41354.384545581255</v>
      </c>
      <c r="P57" s="251"/>
      <c r="Q57" s="252"/>
      <c r="R57" s="248"/>
      <c r="S57" s="248"/>
      <c r="T57" s="253"/>
    </row>
    <row r="58" spans="1:20" s="247" customFormat="1" x14ac:dyDescent="0.25">
      <c r="A58" s="369">
        <f>'A) Base RI'!A59</f>
        <v>5488</v>
      </c>
      <c r="B58" s="260" t="str">
        <f>'A) Base RI'!B59</f>
        <v>Mauraz</v>
      </c>
      <c r="C58" s="276">
        <v>0</v>
      </c>
      <c r="D58" s="249">
        <f>'B) D RI'!AA59</f>
        <v>53</v>
      </c>
      <c r="E58" s="250">
        <f>'B) D RI'!S59</f>
        <v>74</v>
      </c>
      <c r="F58" s="14">
        <f>'B) D RI'!R59</f>
        <v>118762.37000000002</v>
      </c>
      <c r="G58" s="14">
        <f>'B) D RI'!U59</f>
        <v>1604.8968918918922</v>
      </c>
      <c r="H58" s="49">
        <f>'B) D RI'!T59</f>
        <v>110288.37000000002</v>
      </c>
      <c r="I58" s="14">
        <f t="shared" si="3"/>
        <v>2980.7667567567573</v>
      </c>
      <c r="J58" s="39">
        <f t="shared" si="6"/>
        <v>4596.7593584545284</v>
      </c>
      <c r="K58" s="14">
        <f t="shared" si="1"/>
        <v>2980.7667567567573</v>
      </c>
      <c r="L58" s="14">
        <f t="shared" si="4"/>
        <v>1615.9926016977711</v>
      </c>
      <c r="M58" s="14">
        <f>'D) Ecrêtage'!M57</f>
        <v>1604.8968918918922</v>
      </c>
      <c r="N58" s="14">
        <f t="shared" si="7"/>
        <v>2089.4559907708144</v>
      </c>
      <c r="O58" s="66">
        <f t="shared" si="5"/>
        <v>5070.2227475275722</v>
      </c>
      <c r="P58" s="251"/>
      <c r="Q58" s="252"/>
      <c r="R58" s="248"/>
      <c r="S58" s="248"/>
      <c r="T58" s="253"/>
    </row>
    <row r="59" spans="1:20" s="247" customFormat="1" x14ac:dyDescent="0.25">
      <c r="A59" s="369">
        <f>'A) Base RI'!A60</f>
        <v>5489</v>
      </c>
      <c r="B59" s="260" t="str">
        <f>'A) Base RI'!B60</f>
        <v>Mex</v>
      </c>
      <c r="C59" s="276">
        <v>0</v>
      </c>
      <c r="D59" s="249">
        <f>'B) D RI'!AA60</f>
        <v>710</v>
      </c>
      <c r="E59" s="250">
        <f>'B) D RI'!S60</f>
        <v>61</v>
      </c>
      <c r="F59" s="14">
        <f>'B) D RI'!R60</f>
        <v>2861020.2</v>
      </c>
      <c r="G59" s="14">
        <f>'B) D RI'!U60</f>
        <v>46901.97049180328</v>
      </c>
      <c r="H59" s="49">
        <f>'B) D RI'!T60</f>
        <v>2591843</v>
      </c>
      <c r="I59" s="14">
        <f t="shared" si="3"/>
        <v>84978.459016393448</v>
      </c>
      <c r="J59" s="39">
        <f t="shared" si="6"/>
        <v>61579.22914156066</v>
      </c>
      <c r="K59" s="14">
        <f t="shared" si="1"/>
        <v>61579.22914156066</v>
      </c>
      <c r="L59" s="14">
        <f t="shared" si="4"/>
        <v>0</v>
      </c>
      <c r="M59" s="14">
        <f>'D) Ecrêtage'!M58</f>
        <v>45606.023081106548</v>
      </c>
      <c r="N59" s="14">
        <f t="shared" si="7"/>
        <v>59375.638786188814</v>
      </c>
      <c r="O59" s="66">
        <f t="shared" si="5"/>
        <v>120954.86792774947</v>
      </c>
      <c r="P59" s="251"/>
      <c r="Q59" s="252"/>
      <c r="R59" s="248"/>
      <c r="S59" s="248"/>
      <c r="T59" s="253"/>
    </row>
    <row r="60" spans="1:20" s="247" customFormat="1" x14ac:dyDescent="0.25">
      <c r="A60" s="369">
        <f>'A) Base RI'!A61</f>
        <v>5490</v>
      </c>
      <c r="B60" s="260" t="str">
        <f>'A) Base RI'!B61</f>
        <v>Moiry</v>
      </c>
      <c r="C60" s="276">
        <v>0</v>
      </c>
      <c r="D60" s="249">
        <f>'B) D RI'!AA61</f>
        <v>304</v>
      </c>
      <c r="E60" s="250">
        <f>'B) D RI'!S61</f>
        <v>81</v>
      </c>
      <c r="F60" s="14">
        <f>'B) D RI'!R61</f>
        <v>603120.11</v>
      </c>
      <c r="G60" s="14">
        <f>'B) D RI'!U61</f>
        <v>7445.9272839506175</v>
      </c>
      <c r="H60" s="49">
        <f>'B) D RI'!T61</f>
        <v>565052.41</v>
      </c>
      <c r="I60" s="14">
        <f t="shared" si="3"/>
        <v>13951.911358024692</v>
      </c>
      <c r="J60" s="39">
        <f t="shared" si="6"/>
        <v>26366.317829625972</v>
      </c>
      <c r="K60" s="14">
        <f t="shared" si="1"/>
        <v>13951.911358024692</v>
      </c>
      <c r="L60" s="14">
        <f t="shared" si="4"/>
        <v>12414.40647160128</v>
      </c>
      <c r="M60" s="14">
        <f>'D) Ecrêtage'!M59</f>
        <v>7445.9272839506175</v>
      </c>
      <c r="N60" s="14">
        <f t="shared" si="7"/>
        <v>9694.0416851043901</v>
      </c>
      <c r="O60" s="66">
        <f t="shared" si="5"/>
        <v>23645.953043129084</v>
      </c>
      <c r="P60" s="251"/>
      <c r="Q60" s="252"/>
      <c r="R60" s="248"/>
      <c r="S60" s="248"/>
      <c r="T60" s="253"/>
    </row>
    <row r="61" spans="1:20" s="247" customFormat="1" x14ac:dyDescent="0.25">
      <c r="A61" s="369">
        <f>'A) Base RI'!A62</f>
        <v>5491</v>
      </c>
      <c r="B61" s="260" t="str">
        <f>'A) Base RI'!B62</f>
        <v>Mont-la-Ville</v>
      </c>
      <c r="C61" s="276">
        <v>0</v>
      </c>
      <c r="D61" s="249">
        <f>'B) D RI'!AA62</f>
        <v>402</v>
      </c>
      <c r="E61" s="250">
        <f>'B) D RI'!S62</f>
        <v>76</v>
      </c>
      <c r="F61" s="14">
        <f>'B) D RI'!R62</f>
        <v>665488.86</v>
      </c>
      <c r="G61" s="14">
        <f>'B) D RI'!U62</f>
        <v>8756.4323684210522</v>
      </c>
      <c r="H61" s="49">
        <f>'B) D RI'!T62</f>
        <v>602976.26</v>
      </c>
      <c r="I61" s="14">
        <f t="shared" si="3"/>
        <v>15867.796315789474</v>
      </c>
      <c r="J61" s="39">
        <f t="shared" si="6"/>
        <v>34865.986077334346</v>
      </c>
      <c r="K61" s="14">
        <f t="shared" si="1"/>
        <v>15867.796315789474</v>
      </c>
      <c r="L61" s="14">
        <f t="shared" si="4"/>
        <v>18998.189761544872</v>
      </c>
      <c r="M61" s="14">
        <f>'D) Ecrêtage'!M60</f>
        <v>8756.4323684210522</v>
      </c>
      <c r="N61" s="14">
        <f t="shared" si="7"/>
        <v>11400.221511058475</v>
      </c>
      <c r="O61" s="66">
        <f t="shared" si="5"/>
        <v>27268.01782684795</v>
      </c>
      <c r="P61" s="251"/>
      <c r="Q61" s="252"/>
      <c r="R61" s="248"/>
      <c r="S61" s="248"/>
      <c r="T61" s="253"/>
    </row>
    <row r="62" spans="1:20" s="247" customFormat="1" x14ac:dyDescent="0.25">
      <c r="A62" s="369">
        <f>'A) Base RI'!A63</f>
        <v>5492</v>
      </c>
      <c r="B62" s="260" t="str">
        <f>'A) Base RI'!B63</f>
        <v>Montricher</v>
      </c>
      <c r="C62" s="276">
        <v>0</v>
      </c>
      <c r="D62" s="249">
        <f>'B) D RI'!AA63</f>
        <v>951</v>
      </c>
      <c r="E62" s="250">
        <f>'B) D RI'!S63</f>
        <v>64</v>
      </c>
      <c r="F62" s="14">
        <f>'B) D RI'!R63</f>
        <v>12918053.520000001</v>
      </c>
      <c r="G62" s="14">
        <f>'B) D RI'!U63</f>
        <v>201844.58625000002</v>
      </c>
      <c r="H62" s="49">
        <f>'B) D RI'!T63</f>
        <v>12669737.020000001</v>
      </c>
      <c r="I62" s="14">
        <f t="shared" si="3"/>
        <v>395929.28187500004</v>
      </c>
      <c r="J62" s="39">
        <f t="shared" si="6"/>
        <v>82481.47452623125</v>
      </c>
      <c r="K62" s="14">
        <f t="shared" si="1"/>
        <v>82481.47452623125</v>
      </c>
      <c r="L62" s="14">
        <f t="shared" si="4"/>
        <v>0</v>
      </c>
      <c r="M62" s="14">
        <f>'D) Ecrêtage'!M61</f>
        <v>159210.58735959791</v>
      </c>
      <c r="N62" s="14">
        <f t="shared" si="7"/>
        <v>207280.30394556996</v>
      </c>
      <c r="O62" s="66">
        <f t="shared" si="5"/>
        <v>289761.7784718012</v>
      </c>
      <c r="P62" s="251"/>
      <c r="Q62" s="252"/>
      <c r="R62" s="248"/>
      <c r="S62" s="248"/>
      <c r="T62" s="253"/>
    </row>
    <row r="63" spans="1:20" s="247" customFormat="1" x14ac:dyDescent="0.25">
      <c r="A63" s="369">
        <f>'A) Base RI'!A64</f>
        <v>5493</v>
      </c>
      <c r="B63" s="260" t="str">
        <f>'A) Base RI'!B64</f>
        <v>Orny</v>
      </c>
      <c r="C63" s="276">
        <v>0</v>
      </c>
      <c r="D63" s="249">
        <f>'B) D RI'!AA64</f>
        <v>371</v>
      </c>
      <c r="E63" s="250">
        <f>'B) D RI'!S64</f>
        <v>73</v>
      </c>
      <c r="F63" s="14">
        <f>'B) D RI'!R64</f>
        <v>662775.21846153855</v>
      </c>
      <c r="G63" s="14">
        <f>'B) D RI'!U64</f>
        <v>9079.112581664911</v>
      </c>
      <c r="H63" s="49">
        <f>'B) D RI'!T64</f>
        <v>612770.68000000005</v>
      </c>
      <c r="I63" s="14">
        <f t="shared" si="3"/>
        <v>16788.237808219179</v>
      </c>
      <c r="J63" s="39">
        <f t="shared" si="6"/>
        <v>32177.315509181699</v>
      </c>
      <c r="K63" s="14">
        <f t="shared" si="1"/>
        <v>16788.237808219179</v>
      </c>
      <c r="L63" s="14">
        <f t="shared" si="4"/>
        <v>15389.07770096252</v>
      </c>
      <c r="M63" s="14">
        <f>'D) Ecrêtage'!M62</f>
        <v>9079.112581664911</v>
      </c>
      <c r="N63" s="14">
        <f t="shared" si="7"/>
        <v>11820.327069285826</v>
      </c>
      <c r="O63" s="66">
        <f t="shared" si="5"/>
        <v>28608.564877505007</v>
      </c>
      <c r="P63" s="251"/>
      <c r="Q63" s="252"/>
      <c r="R63" s="248"/>
      <c r="S63" s="248"/>
      <c r="T63" s="253"/>
    </row>
    <row r="64" spans="1:20" s="247" customFormat="1" x14ac:dyDescent="0.25">
      <c r="A64" s="369">
        <f>'A) Base RI'!A65</f>
        <v>5494</v>
      </c>
      <c r="B64" s="260" t="str">
        <f>'A) Base RI'!B65</f>
        <v>Pampigny</v>
      </c>
      <c r="C64" s="276">
        <v>0</v>
      </c>
      <c r="D64" s="249">
        <f>'B) D RI'!AA65</f>
        <v>1116</v>
      </c>
      <c r="E64" s="250">
        <f>'B) D RI'!S65</f>
        <v>75</v>
      </c>
      <c r="F64" s="14">
        <f>'B) D RI'!R65</f>
        <v>2759849.4319047621</v>
      </c>
      <c r="G64" s="14">
        <f>'B) D RI'!U65</f>
        <v>36797.992425396827</v>
      </c>
      <c r="H64" s="49">
        <f>'B) D RI'!T65</f>
        <v>2558101.67</v>
      </c>
      <c r="I64" s="14">
        <f t="shared" si="3"/>
        <v>68216.044533333334</v>
      </c>
      <c r="J64" s="39">
        <f t="shared" si="6"/>
        <v>96792.140453495347</v>
      </c>
      <c r="K64" s="14">
        <f t="shared" si="1"/>
        <v>68216.044533333334</v>
      </c>
      <c r="L64" s="14">
        <f t="shared" si="4"/>
        <v>28576.095920162013</v>
      </c>
      <c r="M64" s="14">
        <f>'D) Ecrêtage'!M63</f>
        <v>36797.992425396827</v>
      </c>
      <c r="N64" s="14">
        <f t="shared" si="7"/>
        <v>47908.240155507578</v>
      </c>
      <c r="O64" s="66">
        <f t="shared" si="5"/>
        <v>116124.28468884091</v>
      </c>
      <c r="P64" s="251"/>
      <c r="Q64" s="252"/>
      <c r="R64" s="248"/>
      <c r="S64" s="248"/>
      <c r="T64" s="253"/>
    </row>
    <row r="65" spans="1:20" s="247" customFormat="1" x14ac:dyDescent="0.25">
      <c r="A65" s="369">
        <f>'A) Base RI'!A66</f>
        <v>5495</v>
      </c>
      <c r="B65" s="260" t="str">
        <f>'A) Base RI'!B66</f>
        <v>Penthalaz</v>
      </c>
      <c r="C65" s="276">
        <v>0</v>
      </c>
      <c r="D65" s="249">
        <f>'B) D RI'!AA66</f>
        <v>3252</v>
      </c>
      <c r="E65" s="250">
        <f>'B) D RI'!S66</f>
        <v>74</v>
      </c>
      <c r="F65" s="14">
        <f>'B) D RI'!R66</f>
        <v>7358266.0799999991</v>
      </c>
      <c r="G65" s="14">
        <f>'B) D RI'!U66</f>
        <v>99436.02810810809</v>
      </c>
      <c r="H65" s="49">
        <f>'B) D RI'!T66</f>
        <v>6798130.7799999993</v>
      </c>
      <c r="I65" s="14">
        <f t="shared" si="3"/>
        <v>183733.26432432429</v>
      </c>
      <c r="J65" s="39">
        <f t="shared" si="6"/>
        <v>282050.21573007782</v>
      </c>
      <c r="K65" s="14">
        <f t="shared" si="1"/>
        <v>183733.26432432429</v>
      </c>
      <c r="L65" s="14">
        <f t="shared" si="4"/>
        <v>98316.951405753527</v>
      </c>
      <c r="M65" s="14">
        <f>'D) Ecrêtage'!M64</f>
        <v>99436.02810810809</v>
      </c>
      <c r="N65" s="14">
        <f t="shared" si="7"/>
        <v>129458.28836643854</v>
      </c>
      <c r="O65" s="66">
        <f t="shared" si="5"/>
        <v>313191.55269076285</v>
      </c>
      <c r="P65" s="251"/>
      <c r="Q65" s="252"/>
      <c r="R65" s="248"/>
      <c r="S65" s="248"/>
      <c r="T65" s="253"/>
    </row>
    <row r="66" spans="1:20" s="247" customFormat="1" x14ac:dyDescent="0.25">
      <c r="A66" s="369">
        <f>'A) Base RI'!A67</f>
        <v>5496</v>
      </c>
      <c r="B66" s="260" t="str">
        <f>'A) Base RI'!B67</f>
        <v>Penthaz</v>
      </c>
      <c r="C66" s="276">
        <v>0</v>
      </c>
      <c r="D66" s="249">
        <f>'B) D RI'!AA67</f>
        <v>1703</v>
      </c>
      <c r="E66" s="250">
        <f>'B) D RI'!S67</f>
        <v>71</v>
      </c>
      <c r="F66" s="14">
        <f>'B) D RI'!R67</f>
        <v>3756300.96</v>
      </c>
      <c r="G66" s="14">
        <f>'B) D RI'!U67</f>
        <v>52905.64732394366</v>
      </c>
      <c r="H66" s="49">
        <f>'B) D RI'!T67</f>
        <v>3452548.71</v>
      </c>
      <c r="I66" s="14">
        <f t="shared" si="3"/>
        <v>97254.893239436613</v>
      </c>
      <c r="J66" s="39">
        <f t="shared" si="6"/>
        <v>147703.4186310955</v>
      </c>
      <c r="K66" s="14">
        <f t="shared" si="1"/>
        <v>97254.893239436613</v>
      </c>
      <c r="L66" s="14">
        <f t="shared" si="4"/>
        <v>50448.525391658884</v>
      </c>
      <c r="M66" s="14">
        <f>'D) Ecrêtage'!M65</f>
        <v>52905.64732394366</v>
      </c>
      <c r="N66" s="14">
        <f t="shared" si="7"/>
        <v>68879.20482935819</v>
      </c>
      <c r="O66" s="66">
        <f t="shared" si="5"/>
        <v>166134.09806879482</v>
      </c>
      <c r="P66" s="251"/>
      <c r="Q66" s="252"/>
      <c r="R66" s="248"/>
      <c r="S66" s="248"/>
      <c r="T66" s="253"/>
    </row>
    <row r="67" spans="1:20" s="247" customFormat="1" x14ac:dyDescent="0.25">
      <c r="A67" s="369">
        <f>'A) Base RI'!A68</f>
        <v>5497</v>
      </c>
      <c r="B67" s="260" t="str">
        <f>'A) Base RI'!B68</f>
        <v>Pompaples</v>
      </c>
      <c r="C67" s="276">
        <v>0</v>
      </c>
      <c r="D67" s="249">
        <f>'B) D RI'!AA68</f>
        <v>859</v>
      </c>
      <c r="E67" s="250">
        <f>'B) D RI'!S68</f>
        <v>66</v>
      </c>
      <c r="F67" s="14">
        <f>'B) D RI'!R68</f>
        <v>1469992.1400000004</v>
      </c>
      <c r="G67" s="14">
        <f>'B) D RI'!U68</f>
        <v>22272.608181818188</v>
      </c>
      <c r="H67" s="49">
        <f>'B) D RI'!T68</f>
        <v>1341654.5400000003</v>
      </c>
      <c r="I67" s="14">
        <f t="shared" si="3"/>
        <v>40656.198181818188</v>
      </c>
      <c r="J67" s="39">
        <f t="shared" si="6"/>
        <v>74502.194130423391</v>
      </c>
      <c r="K67" s="14">
        <f t="shared" si="1"/>
        <v>40656.198181818188</v>
      </c>
      <c r="L67" s="14">
        <f t="shared" si="4"/>
        <v>33845.995948605203</v>
      </c>
      <c r="M67" s="14">
        <f>'D) Ecrêtage'!M66</f>
        <v>22272.608181818188</v>
      </c>
      <c r="N67" s="14">
        <f t="shared" si="7"/>
        <v>28997.273800394338</v>
      </c>
      <c r="O67" s="66">
        <f t="shared" si="5"/>
        <v>69653.471982212533</v>
      </c>
      <c r="P67" s="251"/>
      <c r="Q67" s="252"/>
      <c r="R67" s="248"/>
      <c r="S67" s="248"/>
      <c r="T67" s="253"/>
    </row>
    <row r="68" spans="1:20" s="247" customFormat="1" x14ac:dyDescent="0.25">
      <c r="A68" s="369">
        <f>'A) Base RI'!A69</f>
        <v>5498</v>
      </c>
      <c r="B68" s="260" t="str">
        <f>'A) Base RI'!B69</f>
        <v>La Sarraz</v>
      </c>
      <c r="C68" s="276">
        <v>0</v>
      </c>
      <c r="D68" s="249">
        <f>'B) D RI'!AA69</f>
        <v>2567</v>
      </c>
      <c r="E68" s="250">
        <f>'B) D RI'!S69</f>
        <v>66</v>
      </c>
      <c r="F68" s="14">
        <f>'B) D RI'!R69</f>
        <v>4871104.8599999994</v>
      </c>
      <c r="G68" s="14">
        <f>'B) D RI'!U69</f>
        <v>73804.61909090908</v>
      </c>
      <c r="H68" s="49">
        <f>'B) D RI'!T69</f>
        <v>4499551.8099999996</v>
      </c>
      <c r="I68" s="14">
        <f t="shared" si="3"/>
        <v>136350.05484848484</v>
      </c>
      <c r="J68" s="39">
        <f t="shared" si="6"/>
        <v>222639.26930476932</v>
      </c>
      <c r="K68" s="14">
        <f t="shared" si="1"/>
        <v>136350.05484848484</v>
      </c>
      <c r="L68" s="14">
        <f t="shared" si="4"/>
        <v>86289.214456284477</v>
      </c>
      <c r="M68" s="14">
        <f>'D) Ecrêtage'!M67</f>
        <v>73804.61909090908</v>
      </c>
      <c r="N68" s="14">
        <f t="shared" si="7"/>
        <v>96088.106522699818</v>
      </c>
      <c r="O68" s="66">
        <f t="shared" si="5"/>
        <v>232438.16137118466</v>
      </c>
      <c r="P68" s="251"/>
      <c r="Q68" s="252"/>
      <c r="R68" s="248"/>
      <c r="S68" s="248"/>
      <c r="T68" s="253"/>
    </row>
    <row r="69" spans="1:20" s="247" customFormat="1" x14ac:dyDescent="0.25">
      <c r="A69" s="369">
        <f>'A) Base RI'!A70</f>
        <v>5499</v>
      </c>
      <c r="B69" s="260" t="str">
        <f>'A) Base RI'!B70</f>
        <v>Senarclens</v>
      </c>
      <c r="C69" s="276">
        <v>0</v>
      </c>
      <c r="D69" s="249">
        <f>'B) D RI'!AA70</f>
        <v>459</v>
      </c>
      <c r="E69" s="250">
        <f>'B) D RI'!S70</f>
        <v>68.5</v>
      </c>
      <c r="F69" s="14">
        <f>'B) D RI'!R70</f>
        <v>1273136.67</v>
      </c>
      <c r="G69" s="14">
        <f>'B) D RI'!U70</f>
        <v>18585.936788321167</v>
      </c>
      <c r="H69" s="49">
        <f>'B) D RI'!T70</f>
        <v>1190318.0699999998</v>
      </c>
      <c r="I69" s="14">
        <f t="shared" si="3"/>
        <v>34753.812262773718</v>
      </c>
      <c r="J69" s="39">
        <f t="shared" si="6"/>
        <v>39809.67067038922</v>
      </c>
      <c r="K69" s="14">
        <f t="shared" si="1"/>
        <v>34753.812262773718</v>
      </c>
      <c r="L69" s="14">
        <f t="shared" si="4"/>
        <v>5055.8584076155021</v>
      </c>
      <c r="M69" s="14">
        <f>'D) Ecrêtage'!M68</f>
        <v>18585.936788321167</v>
      </c>
      <c r="N69" s="14">
        <f t="shared" si="7"/>
        <v>24197.502757118724</v>
      </c>
      <c r="O69" s="66">
        <f t="shared" si="5"/>
        <v>58951.315019892441</v>
      </c>
      <c r="P69" s="251"/>
      <c r="Q69" s="252"/>
      <c r="R69" s="248"/>
      <c r="S69" s="248"/>
      <c r="T69" s="253"/>
    </row>
    <row r="70" spans="1:20" s="247" customFormat="1" x14ac:dyDescent="0.25">
      <c r="A70" s="369">
        <f>'A) Base RI'!A71</f>
        <v>5500</v>
      </c>
      <c r="B70" s="260" t="str">
        <f>'A) Base RI'!B71</f>
        <v>Sévery</v>
      </c>
      <c r="C70" s="276">
        <v>0</v>
      </c>
      <c r="D70" s="249">
        <f>'B) D RI'!AA71</f>
        <v>243</v>
      </c>
      <c r="E70" s="250">
        <f>'B) D RI'!S71</f>
        <v>76</v>
      </c>
      <c r="F70" s="14">
        <f>'B) D RI'!R71</f>
        <v>610185.20499999996</v>
      </c>
      <c r="G70" s="14">
        <f>'B) D RI'!U71</f>
        <v>8028.7526973684207</v>
      </c>
      <c r="H70" s="49">
        <f>'B) D RI'!T71</f>
        <v>570648.57999999996</v>
      </c>
      <c r="I70" s="14">
        <f t="shared" si="3"/>
        <v>15017.067894736841</v>
      </c>
      <c r="J70" s="39">
        <f t="shared" ref="J70:J101" si="8">+$I$315/$D$315*D70</f>
        <v>21075.708001970761</v>
      </c>
      <c r="K70" s="14">
        <f t="shared" ref="K70:K133" si="9">IF(C70=1,0,IF(J70&gt;I70,I70,J70))</f>
        <v>15017.067894736841</v>
      </c>
      <c r="L70" s="14">
        <f t="shared" si="4"/>
        <v>6058.6401072339195</v>
      </c>
      <c r="M70" s="14">
        <f>'D) Ecrêtage'!M69</f>
        <v>8028.7526973684207</v>
      </c>
      <c r="N70" s="14">
        <f t="shared" ref="N70:N133" si="10">+$N$5*M70</f>
        <v>10452.83688110215</v>
      </c>
      <c r="O70" s="66">
        <f t="shared" ref="O70:O133" si="11">+N70+K70</f>
        <v>25469.904775838993</v>
      </c>
      <c r="P70" s="251"/>
      <c r="Q70" s="252"/>
      <c r="R70" s="248"/>
      <c r="S70" s="248"/>
      <c r="T70" s="253"/>
    </row>
    <row r="71" spans="1:20" s="247" customFormat="1" x14ac:dyDescent="0.25">
      <c r="A71" s="369">
        <f>'A) Base RI'!A72</f>
        <v>5501</v>
      </c>
      <c r="B71" s="260" t="str">
        <f>'A) Base RI'!B72</f>
        <v>Sullens</v>
      </c>
      <c r="C71" s="276">
        <v>0</v>
      </c>
      <c r="D71" s="249">
        <f>'B) D RI'!AA72</f>
        <v>978</v>
      </c>
      <c r="E71" s="250">
        <f>'B) D RI'!S72</f>
        <v>70</v>
      </c>
      <c r="F71" s="14">
        <f>'B) D RI'!R72</f>
        <v>2501635.5100000002</v>
      </c>
      <c r="G71" s="14">
        <f>'B) D RI'!U72</f>
        <v>35737.650142857143</v>
      </c>
      <c r="H71" s="49">
        <f>'B) D RI'!T72</f>
        <v>2318943.81</v>
      </c>
      <c r="I71" s="14">
        <f t="shared" ref="I71:I134" si="12">+H71/E71*$I$5</f>
        <v>66255.537428571435</v>
      </c>
      <c r="J71" s="39">
        <f t="shared" si="8"/>
        <v>84823.219859783552</v>
      </c>
      <c r="K71" s="14">
        <f t="shared" si="9"/>
        <v>66255.537428571435</v>
      </c>
      <c r="L71" s="14">
        <f t="shared" ref="L71:L134" si="13">+J71-K71</f>
        <v>18567.682431212117</v>
      </c>
      <c r="M71" s="14">
        <f>'D) Ecrêtage'!M70</f>
        <v>35737.650142857143</v>
      </c>
      <c r="N71" s="14">
        <f t="shared" si="10"/>
        <v>46527.753629729326</v>
      </c>
      <c r="O71" s="66">
        <f t="shared" si="11"/>
        <v>112783.29105830076</v>
      </c>
      <c r="P71" s="251"/>
      <c r="Q71" s="252"/>
      <c r="R71" s="248"/>
      <c r="S71" s="248"/>
      <c r="T71" s="253"/>
    </row>
    <row r="72" spans="1:20" s="247" customFormat="1" x14ac:dyDescent="0.25">
      <c r="A72" s="369">
        <f>'A) Base RI'!A73</f>
        <v>5503</v>
      </c>
      <c r="B72" s="260" t="str">
        <f>'A) Base RI'!B73</f>
        <v>Vufflens-la-Ville</v>
      </c>
      <c r="C72" s="276">
        <v>0</v>
      </c>
      <c r="D72" s="249">
        <f>'B) D RI'!AA73</f>
        <v>1252</v>
      </c>
      <c r="E72" s="250">
        <f>'B) D RI'!S73</f>
        <v>67</v>
      </c>
      <c r="F72" s="14">
        <f>'B) D RI'!R73</f>
        <v>4350153.583333333</v>
      </c>
      <c r="G72" s="14">
        <f>'B) D RI'!U73</f>
        <v>64927.66542288557</v>
      </c>
      <c r="H72" s="49">
        <f>'B) D RI'!T73</f>
        <v>4017417</v>
      </c>
      <c r="I72" s="14">
        <f t="shared" si="12"/>
        <v>119922.89552238806</v>
      </c>
      <c r="J72" s="39">
        <f t="shared" si="8"/>
        <v>108587.59842990697</v>
      </c>
      <c r="K72" s="14">
        <f t="shared" si="9"/>
        <v>108587.59842990697</v>
      </c>
      <c r="L72" s="14">
        <f t="shared" si="13"/>
        <v>0</v>
      </c>
      <c r="M72" s="14">
        <f>'D) Ecrêtage'!M71</f>
        <v>64927.66542288557</v>
      </c>
      <c r="N72" s="14">
        <f t="shared" si="10"/>
        <v>84530.975273238786</v>
      </c>
      <c r="O72" s="66">
        <f t="shared" si="11"/>
        <v>193118.57370314575</v>
      </c>
      <c r="P72" s="251"/>
      <c r="Q72" s="252"/>
      <c r="R72" s="248"/>
      <c r="S72" s="248"/>
      <c r="T72" s="253"/>
    </row>
    <row r="73" spans="1:20" s="247" customFormat="1" x14ac:dyDescent="0.25">
      <c r="A73" s="369">
        <f>'A) Base RI'!A74</f>
        <v>5511</v>
      </c>
      <c r="B73" s="260" t="str">
        <f>'A) Base RI'!B74</f>
        <v>Assens</v>
      </c>
      <c r="C73" s="276">
        <v>0</v>
      </c>
      <c r="D73" s="249">
        <f>'B) D RI'!AA74</f>
        <v>1060</v>
      </c>
      <c r="E73" s="250">
        <f>'B) D RI'!S74</f>
        <v>70</v>
      </c>
      <c r="F73" s="14">
        <f>'B) D RI'!R74</f>
        <v>2799534.25</v>
      </c>
      <c r="G73" s="14">
        <f>'B) D RI'!U74</f>
        <v>39993.346428571429</v>
      </c>
      <c r="H73" s="49">
        <f>'B) D RI'!T74</f>
        <v>2585019.6</v>
      </c>
      <c r="I73" s="14">
        <f t="shared" si="12"/>
        <v>73857.702857142853</v>
      </c>
      <c r="J73" s="39">
        <f t="shared" si="8"/>
        <v>91935.187169090568</v>
      </c>
      <c r="K73" s="14">
        <f t="shared" si="9"/>
        <v>73857.702857142853</v>
      </c>
      <c r="L73" s="14">
        <f t="shared" si="13"/>
        <v>18077.484311947715</v>
      </c>
      <c r="M73" s="14">
        <f>'D) Ecrêtage'!M72</f>
        <v>39993.346428571429</v>
      </c>
      <c r="N73" s="14">
        <f t="shared" si="10"/>
        <v>52068.35262023806</v>
      </c>
      <c r="O73" s="66">
        <f t="shared" si="11"/>
        <v>125926.05547738091</v>
      </c>
      <c r="P73" s="251"/>
      <c r="Q73" s="252"/>
      <c r="R73" s="248"/>
      <c r="S73" s="248"/>
      <c r="T73" s="253"/>
    </row>
    <row r="74" spans="1:20" s="247" customFormat="1" x14ac:dyDescent="0.25">
      <c r="A74" s="369">
        <f>'A) Base RI'!A75</f>
        <v>5512</v>
      </c>
      <c r="B74" s="260" t="str">
        <f>'A) Base RI'!B75</f>
        <v>Bercher</v>
      </c>
      <c r="C74" s="276">
        <v>0</v>
      </c>
      <c r="D74" s="249">
        <f>'B) D RI'!AA75</f>
        <v>1157</v>
      </c>
      <c r="E74" s="250">
        <f>'B) D RI'!S75</f>
        <v>79</v>
      </c>
      <c r="F74" s="14">
        <f>'B) D RI'!R75</f>
        <v>2772604.72</v>
      </c>
      <c r="G74" s="14">
        <f>'B) D RI'!U75</f>
        <v>35096.262278481016</v>
      </c>
      <c r="H74" s="49">
        <f>'B) D RI'!T75</f>
        <v>2543743.52</v>
      </c>
      <c r="I74" s="14">
        <f t="shared" si="12"/>
        <v>64398.570126582279</v>
      </c>
      <c r="J74" s="39">
        <f t="shared" si="8"/>
        <v>100348.12410814886</v>
      </c>
      <c r="K74" s="14">
        <f t="shared" si="9"/>
        <v>64398.570126582279</v>
      </c>
      <c r="L74" s="14">
        <f t="shared" si="13"/>
        <v>35949.553981566576</v>
      </c>
      <c r="M74" s="14">
        <f>'D) Ecrêtage'!M73</f>
        <v>35096.262278481016</v>
      </c>
      <c r="N74" s="14">
        <f t="shared" si="10"/>
        <v>45692.714492698789</v>
      </c>
      <c r="O74" s="66">
        <f t="shared" si="11"/>
        <v>110091.28461928107</v>
      </c>
      <c r="P74" s="251"/>
      <c r="Q74" s="252"/>
      <c r="R74" s="248"/>
      <c r="S74" s="248"/>
      <c r="T74" s="253"/>
    </row>
    <row r="75" spans="1:20" s="247" customFormat="1" x14ac:dyDescent="0.25">
      <c r="A75" s="369">
        <f>'A) Base RI'!A76</f>
        <v>5513</v>
      </c>
      <c r="B75" s="260" t="str">
        <f>'A) Base RI'!B76</f>
        <v>Bioley-Orjulaz</v>
      </c>
      <c r="C75" s="276">
        <v>0</v>
      </c>
      <c r="D75" s="249">
        <f>'B) D RI'!AA76</f>
        <v>483</v>
      </c>
      <c r="E75" s="250">
        <f>'B) D RI'!S76</f>
        <v>66</v>
      </c>
      <c r="F75" s="14">
        <f>'B) D RI'!R76</f>
        <v>1481121.05</v>
      </c>
      <c r="G75" s="14">
        <f>'B) D RI'!U76</f>
        <v>22441.228030303031</v>
      </c>
      <c r="H75" s="49">
        <f>'B) D RI'!T76</f>
        <v>1378946.55</v>
      </c>
      <c r="I75" s="14">
        <f t="shared" si="12"/>
        <v>41786.259090909094</v>
      </c>
      <c r="J75" s="39">
        <f t="shared" si="8"/>
        <v>41891.222077991268</v>
      </c>
      <c r="K75" s="14">
        <f t="shared" si="9"/>
        <v>41786.259090909094</v>
      </c>
      <c r="L75" s="14">
        <f t="shared" si="13"/>
        <v>104.96298708217364</v>
      </c>
      <c r="M75" s="14">
        <f>'D) Ecrêtage'!M74</f>
        <v>22441.228030303031</v>
      </c>
      <c r="N75" s="14">
        <f t="shared" si="10"/>
        <v>29216.804260176206</v>
      </c>
      <c r="O75" s="66">
        <f t="shared" si="11"/>
        <v>71003.063351085293</v>
      </c>
      <c r="P75" s="251"/>
      <c r="Q75" s="252"/>
      <c r="R75" s="248"/>
      <c r="S75" s="248"/>
      <c r="T75" s="253"/>
    </row>
    <row r="76" spans="1:20" s="247" customFormat="1" x14ac:dyDescent="0.25">
      <c r="A76" s="369">
        <f>'A) Base RI'!A77</f>
        <v>5514</v>
      </c>
      <c r="B76" s="260" t="str">
        <f>'A) Base RI'!B77</f>
        <v>Bottens</v>
      </c>
      <c r="C76" s="276">
        <v>0</v>
      </c>
      <c r="D76" s="249">
        <f>'B) D RI'!AA77</f>
        <v>1240</v>
      </c>
      <c r="E76" s="250">
        <f>'B) D RI'!S77</f>
        <v>69</v>
      </c>
      <c r="F76" s="14">
        <f>'B) D RI'!R77</f>
        <v>2800016.2</v>
      </c>
      <c r="G76" s="14">
        <f>'B) D RI'!U77</f>
        <v>40579.944927536235</v>
      </c>
      <c r="H76" s="49">
        <f>'B) D RI'!T77</f>
        <v>2582073.1500000004</v>
      </c>
      <c r="I76" s="14">
        <f t="shared" si="12"/>
        <v>74842.700000000012</v>
      </c>
      <c r="J76" s="39">
        <f t="shared" si="8"/>
        <v>107546.82272610594</v>
      </c>
      <c r="K76" s="14">
        <f t="shared" si="9"/>
        <v>74842.700000000012</v>
      </c>
      <c r="L76" s="14">
        <f t="shared" si="13"/>
        <v>32704.122726105925</v>
      </c>
      <c r="M76" s="14">
        <f>'D) Ecrêtage'!M75</f>
        <v>40579.944927536235</v>
      </c>
      <c r="N76" s="14">
        <f t="shared" si="10"/>
        <v>52832.060092058462</v>
      </c>
      <c r="O76" s="66">
        <f t="shared" si="11"/>
        <v>127674.76009205848</v>
      </c>
      <c r="P76" s="251"/>
      <c r="Q76" s="252"/>
      <c r="R76" s="248"/>
      <c r="S76" s="248"/>
      <c r="T76" s="253"/>
    </row>
    <row r="77" spans="1:20" s="247" customFormat="1" x14ac:dyDescent="0.25">
      <c r="A77" s="369">
        <f>'A) Base RI'!A78</f>
        <v>5515</v>
      </c>
      <c r="B77" s="260" t="str">
        <f>'A) Base RI'!B78</f>
        <v>Bretigny-sur-Morrens</v>
      </c>
      <c r="C77" s="276">
        <v>0</v>
      </c>
      <c r="D77" s="249">
        <f>'B) D RI'!AA78</f>
        <v>817</v>
      </c>
      <c r="E77" s="250">
        <f>'B) D RI'!S78</f>
        <v>73</v>
      </c>
      <c r="F77" s="14">
        <f>'B) D RI'!R78</f>
        <v>1872813.57</v>
      </c>
      <c r="G77" s="14">
        <f>'B) D RI'!U78</f>
        <v>25654.980410958906</v>
      </c>
      <c r="H77" s="49">
        <f>'B) D RI'!T78</f>
        <v>1732652.72</v>
      </c>
      <c r="I77" s="14">
        <f t="shared" si="12"/>
        <v>47469.937534246572</v>
      </c>
      <c r="J77" s="39">
        <f t="shared" si="8"/>
        <v>70859.479167119804</v>
      </c>
      <c r="K77" s="14">
        <f t="shared" si="9"/>
        <v>47469.937534246572</v>
      </c>
      <c r="L77" s="14">
        <f t="shared" si="13"/>
        <v>23389.541632873232</v>
      </c>
      <c r="M77" s="14">
        <f>'D) Ecrêtage'!M76</f>
        <v>25654.980410958906</v>
      </c>
      <c r="N77" s="14">
        <f t="shared" si="10"/>
        <v>33400.870039442299</v>
      </c>
      <c r="O77" s="66">
        <f t="shared" si="11"/>
        <v>80870.807573688871</v>
      </c>
      <c r="P77" s="251"/>
      <c r="Q77" s="252"/>
      <c r="R77" s="248"/>
      <c r="S77" s="248"/>
      <c r="T77" s="253"/>
    </row>
    <row r="78" spans="1:20" s="247" customFormat="1" x14ac:dyDescent="0.25">
      <c r="A78" s="369">
        <f>'A) Base RI'!A79</f>
        <v>5516</v>
      </c>
      <c r="B78" s="260" t="str">
        <f>'A) Base RI'!B79</f>
        <v>Cugy</v>
      </c>
      <c r="C78" s="276">
        <v>0</v>
      </c>
      <c r="D78" s="249">
        <f>'B) D RI'!AA79</f>
        <v>2739</v>
      </c>
      <c r="E78" s="250">
        <f>'B) D RI'!S79</f>
        <v>70</v>
      </c>
      <c r="F78" s="14">
        <f>'B) D RI'!R79</f>
        <v>7539878.839999998</v>
      </c>
      <c r="G78" s="14">
        <f>'B) D RI'!U79</f>
        <v>107712.55485714282</v>
      </c>
      <c r="H78" s="49">
        <f>'B) D RI'!T79</f>
        <v>6954844.2399999984</v>
      </c>
      <c r="I78" s="14">
        <f t="shared" si="12"/>
        <v>198709.83542857139</v>
      </c>
      <c r="J78" s="39">
        <f t="shared" si="8"/>
        <v>237557.05439258402</v>
      </c>
      <c r="K78" s="14">
        <f t="shared" si="9"/>
        <v>198709.83542857139</v>
      </c>
      <c r="L78" s="14">
        <f t="shared" si="13"/>
        <v>38847.218964012631</v>
      </c>
      <c r="M78" s="14">
        <f>'D) Ecrêtage'!M77</f>
        <v>107712.55485714282</v>
      </c>
      <c r="N78" s="14">
        <f t="shared" si="10"/>
        <v>140233.70857312833</v>
      </c>
      <c r="O78" s="66">
        <f t="shared" si="11"/>
        <v>338943.54400169972</v>
      </c>
      <c r="P78" s="251"/>
      <c r="Q78" s="252"/>
      <c r="R78" s="248"/>
      <c r="S78" s="248"/>
      <c r="T78" s="253"/>
    </row>
    <row r="79" spans="1:20" s="247" customFormat="1" x14ac:dyDescent="0.25">
      <c r="A79" s="369">
        <f>'A) Base RI'!A80</f>
        <v>5518</v>
      </c>
      <c r="B79" s="260" t="str">
        <f>'A) Base RI'!B80</f>
        <v>Echallens</v>
      </c>
      <c r="C79" s="276">
        <v>0</v>
      </c>
      <c r="D79" s="249">
        <f>'B) D RI'!AA80</f>
        <v>5677</v>
      </c>
      <c r="E79" s="250">
        <f>'B) D RI'!S80</f>
        <v>74</v>
      </c>
      <c r="F79" s="14">
        <f>'B) D RI'!R80</f>
        <v>13857791.540000003</v>
      </c>
      <c r="G79" s="14">
        <f>'B) D RI'!U80</f>
        <v>187267.45324324328</v>
      </c>
      <c r="H79" s="49">
        <f>'B) D RI'!T80</f>
        <v>12874481.240000002</v>
      </c>
      <c r="I79" s="14">
        <f t="shared" si="12"/>
        <v>347958.9524324325</v>
      </c>
      <c r="J79" s="39">
        <f t="shared" si="8"/>
        <v>492373.63920653501</v>
      </c>
      <c r="K79" s="14">
        <f t="shared" si="9"/>
        <v>347958.9524324325</v>
      </c>
      <c r="L79" s="14">
        <f t="shared" si="13"/>
        <v>144414.68677410251</v>
      </c>
      <c r="M79" s="14">
        <f>'D) Ecrêtage'!M78</f>
        <v>187267.45324324328</v>
      </c>
      <c r="N79" s="14">
        <f t="shared" si="10"/>
        <v>243808.24963417376</v>
      </c>
      <c r="O79" s="66">
        <f t="shared" si="11"/>
        <v>591767.20206660626</v>
      </c>
      <c r="P79" s="251"/>
      <c r="Q79" s="252"/>
      <c r="R79" s="248"/>
      <c r="S79" s="248"/>
      <c r="T79" s="253"/>
    </row>
    <row r="80" spans="1:20" s="247" customFormat="1" x14ac:dyDescent="0.25">
      <c r="A80" s="369">
        <f>'A) Base RI'!A81</f>
        <v>5520</v>
      </c>
      <c r="B80" s="260" t="str">
        <f>'A) Base RI'!B81</f>
        <v>Essertines-sur-Yverdon</v>
      </c>
      <c r="C80" s="276">
        <v>0</v>
      </c>
      <c r="D80" s="249">
        <f>'B) D RI'!AA81</f>
        <v>943</v>
      </c>
      <c r="E80" s="250">
        <f>'B) D RI'!S81</f>
        <v>73</v>
      </c>
      <c r="F80" s="14">
        <f>'B) D RI'!R81</f>
        <v>2051044.25</v>
      </c>
      <c r="G80" s="14">
        <f>'B) D RI'!U81</f>
        <v>28096.496575342466</v>
      </c>
      <c r="H80" s="49">
        <f>'B) D RI'!T81</f>
        <v>1884516.55</v>
      </c>
      <c r="I80" s="14">
        <f t="shared" si="12"/>
        <v>51630.590410958903</v>
      </c>
      <c r="J80" s="39">
        <f t="shared" si="8"/>
        <v>81787.624057030567</v>
      </c>
      <c r="K80" s="14">
        <f t="shared" si="9"/>
        <v>51630.590410958903</v>
      </c>
      <c r="L80" s="14">
        <f t="shared" si="13"/>
        <v>30157.033646071664</v>
      </c>
      <c r="M80" s="14">
        <f>'D) Ecrêtage'!M79</f>
        <v>28096.496575342466</v>
      </c>
      <c r="N80" s="14">
        <f t="shared" si="10"/>
        <v>36579.541891826106</v>
      </c>
      <c r="O80" s="66">
        <f t="shared" si="11"/>
        <v>88210.132302785001</v>
      </c>
      <c r="P80" s="251"/>
      <c r="Q80" s="252"/>
      <c r="R80" s="248"/>
      <c r="S80" s="248"/>
      <c r="T80" s="253"/>
    </row>
    <row r="81" spans="1:20" s="247" customFormat="1" x14ac:dyDescent="0.25">
      <c r="A81" s="369">
        <f>'A) Base RI'!A82</f>
        <v>5521</v>
      </c>
      <c r="B81" s="260" t="str">
        <f>'A) Base RI'!B82</f>
        <v>Etagnières</v>
      </c>
      <c r="C81" s="276">
        <v>0</v>
      </c>
      <c r="D81" s="249">
        <f>'B) D RI'!AA82</f>
        <v>1118</v>
      </c>
      <c r="E81" s="250">
        <f>'B) D RI'!S82</f>
        <v>73</v>
      </c>
      <c r="F81" s="14">
        <f>'B) D RI'!R82</f>
        <v>2968037.4499999997</v>
      </c>
      <c r="G81" s="14">
        <f>'B) D RI'!U82</f>
        <v>40658.047260273968</v>
      </c>
      <c r="H81" s="49">
        <f>'B) D RI'!T82</f>
        <v>2727671.55</v>
      </c>
      <c r="I81" s="14">
        <f t="shared" si="12"/>
        <v>74730.727397260271</v>
      </c>
      <c r="J81" s="39">
        <f t="shared" si="8"/>
        <v>96965.603070795521</v>
      </c>
      <c r="K81" s="14">
        <f t="shared" si="9"/>
        <v>74730.727397260271</v>
      </c>
      <c r="L81" s="14">
        <f t="shared" si="13"/>
        <v>22234.875673535251</v>
      </c>
      <c r="M81" s="14">
        <f>'D) Ecrêtage'!M80</f>
        <v>40658.047260273968</v>
      </c>
      <c r="N81" s="14">
        <f t="shared" si="10"/>
        <v>52933.743501040371</v>
      </c>
      <c r="O81" s="66">
        <f t="shared" si="11"/>
        <v>127664.47089830064</v>
      </c>
      <c r="P81" s="251"/>
      <c r="Q81" s="252"/>
      <c r="R81" s="248"/>
      <c r="S81" s="248"/>
      <c r="T81" s="253"/>
    </row>
    <row r="82" spans="1:20" s="247" customFormat="1" x14ac:dyDescent="0.25">
      <c r="A82" s="369">
        <f>'A) Base RI'!A83</f>
        <v>5522</v>
      </c>
      <c r="B82" s="260" t="str">
        <f>'A) Base RI'!B83</f>
        <v>Fey</v>
      </c>
      <c r="C82" s="276">
        <v>0</v>
      </c>
      <c r="D82" s="249">
        <f>'B) D RI'!AA83</f>
        <v>696</v>
      </c>
      <c r="E82" s="250">
        <f>'B) D RI'!S83</f>
        <v>75</v>
      </c>
      <c r="F82" s="14">
        <f>'B) D RI'!R83</f>
        <v>1433186.95</v>
      </c>
      <c r="G82" s="14">
        <f>'B) D RI'!U83</f>
        <v>19109.159333333333</v>
      </c>
      <c r="H82" s="49">
        <f>'B) D RI'!T83</f>
        <v>1317659.3</v>
      </c>
      <c r="I82" s="14">
        <f t="shared" si="12"/>
        <v>35137.581333333335</v>
      </c>
      <c r="J82" s="39">
        <f t="shared" si="8"/>
        <v>60364.990820459469</v>
      </c>
      <c r="K82" s="14">
        <f t="shared" si="9"/>
        <v>35137.581333333335</v>
      </c>
      <c r="L82" s="14">
        <f t="shared" si="13"/>
        <v>25227.409487126133</v>
      </c>
      <c r="M82" s="14">
        <f>'D) Ecrêtage'!M81</f>
        <v>19109.159333333333</v>
      </c>
      <c r="N82" s="14">
        <f t="shared" si="10"/>
        <v>24878.699466206541</v>
      </c>
      <c r="O82" s="66">
        <f t="shared" si="11"/>
        <v>60016.280799539876</v>
      </c>
      <c r="P82" s="251"/>
      <c r="Q82" s="252"/>
      <c r="R82" s="248"/>
      <c r="S82" s="248"/>
      <c r="T82" s="253"/>
    </row>
    <row r="83" spans="1:20" s="247" customFormat="1" x14ac:dyDescent="0.25">
      <c r="A83" s="369">
        <f>'A) Base RI'!A84</f>
        <v>5523</v>
      </c>
      <c r="B83" s="260" t="str">
        <f>'A) Base RI'!B84</f>
        <v>Froideville</v>
      </c>
      <c r="C83" s="276">
        <v>0</v>
      </c>
      <c r="D83" s="249">
        <f>'B) D RI'!AA84</f>
        <v>2459</v>
      </c>
      <c r="E83" s="250">
        <f>'B) D RI'!S84</f>
        <v>76</v>
      </c>
      <c r="F83" s="14">
        <f>'B) D RI'!R84</f>
        <v>5867052.3500000006</v>
      </c>
      <c r="G83" s="14">
        <f>'B) D RI'!U84</f>
        <v>77198.057236842113</v>
      </c>
      <c r="H83" s="49">
        <f>'B) D RI'!T84</f>
        <v>5381988.1500000004</v>
      </c>
      <c r="I83" s="14">
        <f t="shared" si="12"/>
        <v>141631.26710526316</v>
      </c>
      <c r="J83" s="39">
        <f t="shared" si="8"/>
        <v>213272.28797056008</v>
      </c>
      <c r="K83" s="14">
        <f t="shared" si="9"/>
        <v>141631.26710526316</v>
      </c>
      <c r="L83" s="14">
        <f t="shared" si="13"/>
        <v>71641.020865296916</v>
      </c>
      <c r="M83" s="14">
        <f>'D) Ecrêtage'!M82</f>
        <v>77198.057236842113</v>
      </c>
      <c r="N83" s="14">
        <f t="shared" si="10"/>
        <v>100506.10975963774</v>
      </c>
      <c r="O83" s="66">
        <f t="shared" si="11"/>
        <v>242137.3768649009</v>
      </c>
      <c r="P83" s="251"/>
      <c r="Q83" s="252"/>
      <c r="R83" s="248"/>
      <c r="S83" s="248"/>
      <c r="T83" s="253"/>
    </row>
    <row r="84" spans="1:20" s="247" customFormat="1" x14ac:dyDescent="0.25">
      <c r="A84" s="369">
        <f>'A) Base RI'!A85</f>
        <v>5527</v>
      </c>
      <c r="B84" s="260" t="str">
        <f>'A) Base RI'!B85</f>
        <v>Morrens</v>
      </c>
      <c r="C84" s="276">
        <v>0</v>
      </c>
      <c r="D84" s="249">
        <f>'B) D RI'!AA85</f>
        <v>1074</v>
      </c>
      <c r="E84" s="250">
        <f>'B) D RI'!S85</f>
        <v>71</v>
      </c>
      <c r="F84" s="14">
        <f>'B) D RI'!R85</f>
        <v>2666810.9300000002</v>
      </c>
      <c r="G84" s="14">
        <f>'B) D RI'!U85</f>
        <v>37560.717323943667</v>
      </c>
      <c r="H84" s="49">
        <f>'B) D RI'!T85</f>
        <v>2456458.3800000004</v>
      </c>
      <c r="I84" s="14">
        <f t="shared" si="12"/>
        <v>69196.010704225366</v>
      </c>
      <c r="J84" s="39">
        <f t="shared" si="8"/>
        <v>93149.425490191759</v>
      </c>
      <c r="K84" s="14">
        <f t="shared" si="9"/>
        <v>69196.010704225366</v>
      </c>
      <c r="L84" s="14">
        <f t="shared" si="13"/>
        <v>23953.414785966394</v>
      </c>
      <c r="M84" s="14">
        <f>'D) Ecrêtage'!M83</f>
        <v>37560.717323943667</v>
      </c>
      <c r="N84" s="14">
        <f t="shared" si="10"/>
        <v>48901.251056475849</v>
      </c>
      <c r="O84" s="66">
        <f t="shared" si="11"/>
        <v>118097.26176070122</v>
      </c>
      <c r="P84" s="251"/>
      <c r="Q84" s="252"/>
      <c r="R84" s="248"/>
      <c r="S84" s="248"/>
      <c r="T84" s="253"/>
    </row>
    <row r="85" spans="1:20" s="247" customFormat="1" x14ac:dyDescent="0.25">
      <c r="A85" s="369">
        <f>'A) Base RI'!A86</f>
        <v>5529</v>
      </c>
      <c r="B85" s="260" t="str">
        <f>'A) Base RI'!B86</f>
        <v>Oulens-sous-Echallens</v>
      </c>
      <c r="C85" s="276">
        <v>0</v>
      </c>
      <c r="D85" s="249">
        <f>'B) D RI'!AA86</f>
        <v>560</v>
      </c>
      <c r="E85" s="250">
        <f>'B) D RI'!S86</f>
        <v>71</v>
      </c>
      <c r="F85" s="14">
        <f>'B) D RI'!R86</f>
        <v>1411115.23</v>
      </c>
      <c r="G85" s="14">
        <f>'B) D RI'!U86</f>
        <v>19874.862394366199</v>
      </c>
      <c r="H85" s="49">
        <f>'B) D RI'!T86</f>
        <v>1307058.73</v>
      </c>
      <c r="I85" s="14">
        <f t="shared" si="12"/>
        <v>36818.555774647888</v>
      </c>
      <c r="J85" s="39">
        <f t="shared" si="8"/>
        <v>48569.532844047848</v>
      </c>
      <c r="K85" s="14">
        <f t="shared" si="9"/>
        <v>36818.555774647888</v>
      </c>
      <c r="L85" s="14">
        <f t="shared" si="13"/>
        <v>11750.97706939996</v>
      </c>
      <c r="M85" s="14">
        <f>'D) Ecrêtage'!M84</f>
        <v>19874.862394366199</v>
      </c>
      <c r="N85" s="14">
        <f t="shared" si="10"/>
        <v>25875.587712491735</v>
      </c>
      <c r="O85" s="66">
        <f t="shared" si="11"/>
        <v>62694.14348713962</v>
      </c>
      <c r="P85" s="251"/>
      <c r="Q85" s="252"/>
      <c r="R85" s="248"/>
      <c r="S85" s="248"/>
      <c r="T85" s="253"/>
    </row>
    <row r="86" spans="1:20" s="247" customFormat="1" x14ac:dyDescent="0.25">
      <c r="A86" s="369">
        <f>'A) Base RI'!A87</f>
        <v>5530</v>
      </c>
      <c r="B86" s="260" t="str">
        <f>'A) Base RI'!B87</f>
        <v>Pailly</v>
      </c>
      <c r="C86" s="276">
        <v>0</v>
      </c>
      <c r="D86" s="249">
        <f>'B) D RI'!AA87</f>
        <v>534</v>
      </c>
      <c r="E86" s="250">
        <f>'B) D RI'!S87</f>
        <v>77.5</v>
      </c>
      <c r="F86" s="14">
        <f>'B) D RI'!R87</f>
        <v>1183582.1433333335</v>
      </c>
      <c r="G86" s="14">
        <f>'B) D RI'!U87</f>
        <v>15272.027655913982</v>
      </c>
      <c r="H86" s="49">
        <f>'B) D RI'!T87</f>
        <v>1092524.3100000003</v>
      </c>
      <c r="I86" s="14">
        <f t="shared" si="12"/>
        <v>28194.175741935491</v>
      </c>
      <c r="J86" s="39">
        <f t="shared" si="8"/>
        <v>46314.518819145625</v>
      </c>
      <c r="K86" s="14">
        <f t="shared" si="9"/>
        <v>28194.175741935491</v>
      </c>
      <c r="L86" s="14">
        <f t="shared" si="13"/>
        <v>18120.343077210135</v>
      </c>
      <c r="M86" s="14">
        <f>'D) Ecrêtage'!M85</f>
        <v>15272.027655913982</v>
      </c>
      <c r="N86" s="14">
        <f t="shared" si="10"/>
        <v>19883.040361085412</v>
      </c>
      <c r="O86" s="66">
        <f t="shared" si="11"/>
        <v>48077.216103020903</v>
      </c>
      <c r="P86" s="251"/>
      <c r="Q86" s="252"/>
      <c r="R86" s="248"/>
      <c r="S86" s="248"/>
      <c r="T86" s="253"/>
    </row>
    <row r="87" spans="1:20" s="247" customFormat="1" x14ac:dyDescent="0.25">
      <c r="A87" s="369">
        <f>'A) Base RI'!A88</f>
        <v>5531</v>
      </c>
      <c r="B87" s="260" t="str">
        <f>'A) Base RI'!B88</f>
        <v>Penthéréaz</v>
      </c>
      <c r="C87" s="276">
        <v>0</v>
      </c>
      <c r="D87" s="249">
        <f>'B) D RI'!AA88</f>
        <v>411</v>
      </c>
      <c r="E87" s="250">
        <f>'B) D RI'!S88</f>
        <v>78</v>
      </c>
      <c r="F87" s="14">
        <f>'B) D RI'!R88</f>
        <v>943932.60999999987</v>
      </c>
      <c r="G87" s="14">
        <f>'B) D RI'!U88</f>
        <v>12101.700128205126</v>
      </c>
      <c r="H87" s="49">
        <f>'B) D RI'!T88</f>
        <v>874688.25999999989</v>
      </c>
      <c r="I87" s="14">
        <f t="shared" si="12"/>
        <v>22427.904102564098</v>
      </c>
      <c r="J87" s="39">
        <f t="shared" si="8"/>
        <v>35646.567855185116</v>
      </c>
      <c r="K87" s="14">
        <f t="shared" si="9"/>
        <v>22427.904102564098</v>
      </c>
      <c r="L87" s="14">
        <f t="shared" si="13"/>
        <v>13218.663752621018</v>
      </c>
      <c r="M87" s="14">
        <f>'D) Ecrêtage'!M86</f>
        <v>12101.700128205126</v>
      </c>
      <c r="N87" s="14">
        <f t="shared" si="10"/>
        <v>15755.510499856726</v>
      </c>
      <c r="O87" s="66">
        <f t="shared" si="11"/>
        <v>38183.414602420824</v>
      </c>
      <c r="P87" s="251"/>
      <c r="Q87" s="252"/>
      <c r="R87" s="248"/>
      <c r="S87" s="248"/>
      <c r="T87" s="253"/>
    </row>
    <row r="88" spans="1:20" s="247" customFormat="1" x14ac:dyDescent="0.25">
      <c r="A88" s="369">
        <f>'A) Base RI'!A89</f>
        <v>5533</v>
      </c>
      <c r="B88" s="260" t="str">
        <f>'A) Base RI'!B89</f>
        <v>Poliez-Pittet</v>
      </c>
      <c r="C88" s="276">
        <v>0</v>
      </c>
      <c r="D88" s="249">
        <f>'B) D RI'!AA89</f>
        <v>844</v>
      </c>
      <c r="E88" s="250">
        <f>'B) D RI'!S89</f>
        <v>71</v>
      </c>
      <c r="F88" s="14">
        <f>'B) D RI'!R89</f>
        <v>1920207.14</v>
      </c>
      <c r="G88" s="14">
        <f>'B) D RI'!U89</f>
        <v>27045.170985915491</v>
      </c>
      <c r="H88" s="49">
        <f>'B) D RI'!T89</f>
        <v>1785745.39</v>
      </c>
      <c r="I88" s="14">
        <f t="shared" si="12"/>
        <v>50302.687042253521</v>
      </c>
      <c r="J88" s="39">
        <f t="shared" si="8"/>
        <v>73201.224500672106</v>
      </c>
      <c r="K88" s="14">
        <f t="shared" si="9"/>
        <v>50302.687042253521</v>
      </c>
      <c r="L88" s="14">
        <f t="shared" si="13"/>
        <v>22898.537458418585</v>
      </c>
      <c r="M88" s="14">
        <f>'D) Ecrêtage'!M87</f>
        <v>27045.170985915491</v>
      </c>
      <c r="N88" s="14">
        <f t="shared" si="10"/>
        <v>35210.794427626504</v>
      </c>
      <c r="O88" s="66">
        <f t="shared" si="11"/>
        <v>85513.481469880033</v>
      </c>
      <c r="P88" s="251"/>
      <c r="Q88" s="252"/>
      <c r="R88" s="248"/>
      <c r="S88" s="248"/>
      <c r="T88" s="253"/>
    </row>
    <row r="89" spans="1:20" s="247" customFormat="1" x14ac:dyDescent="0.25">
      <c r="A89" s="369">
        <f>'A) Base RI'!A90</f>
        <v>5534</v>
      </c>
      <c r="B89" s="260" t="str">
        <f>'A) Base RI'!B90</f>
        <v>Rueyres</v>
      </c>
      <c r="C89" s="276">
        <v>0</v>
      </c>
      <c r="D89" s="249">
        <f>'B) D RI'!AA90</f>
        <v>271</v>
      </c>
      <c r="E89" s="250">
        <f>'B) D RI'!S90</f>
        <v>73</v>
      </c>
      <c r="F89" s="14">
        <f>'B) D RI'!R90</f>
        <v>798193.53</v>
      </c>
      <c r="G89" s="14">
        <f>'B) D RI'!U90</f>
        <v>10934.157945205479</v>
      </c>
      <c r="H89" s="49">
        <f>'B) D RI'!T90</f>
        <v>726509.63</v>
      </c>
      <c r="I89" s="14">
        <f t="shared" si="12"/>
        <v>19904.373424657533</v>
      </c>
      <c r="J89" s="39">
        <f t="shared" si="8"/>
        <v>23504.184644173154</v>
      </c>
      <c r="K89" s="14">
        <f t="shared" si="9"/>
        <v>19904.373424657533</v>
      </c>
      <c r="L89" s="14">
        <f t="shared" si="13"/>
        <v>3599.8112195156209</v>
      </c>
      <c r="M89" s="14">
        <f>'D) Ecrêtage'!M88</f>
        <v>10934.157945205479</v>
      </c>
      <c r="N89" s="14">
        <f t="shared" si="10"/>
        <v>14235.457703274591</v>
      </c>
      <c r="O89" s="66">
        <f t="shared" si="11"/>
        <v>34139.831127932121</v>
      </c>
      <c r="P89" s="251"/>
      <c r="Q89" s="252"/>
      <c r="R89" s="248"/>
      <c r="S89" s="248"/>
      <c r="T89" s="253"/>
    </row>
    <row r="90" spans="1:20" s="247" customFormat="1" x14ac:dyDescent="0.25">
      <c r="A90" s="369">
        <f>'A) Base RI'!A91</f>
        <v>5535</v>
      </c>
      <c r="B90" s="260" t="str">
        <f>'A) Base RI'!B91</f>
        <v>Saint-Barthélemy</v>
      </c>
      <c r="C90" s="276">
        <v>0</v>
      </c>
      <c r="D90" s="249">
        <f>'B) D RI'!AA91</f>
        <v>777</v>
      </c>
      <c r="E90" s="250">
        <f>'B) D RI'!S91</f>
        <v>75</v>
      </c>
      <c r="F90" s="14">
        <f>'B) D RI'!R91</f>
        <v>1552316.04</v>
      </c>
      <c r="G90" s="14">
        <f>'B) D RI'!U91</f>
        <v>20697.547200000001</v>
      </c>
      <c r="H90" s="49">
        <f>'B) D RI'!T91</f>
        <v>1421004.24</v>
      </c>
      <c r="I90" s="14">
        <f t="shared" si="12"/>
        <v>37893.446400000001</v>
      </c>
      <c r="J90" s="39">
        <f t="shared" si="8"/>
        <v>67390.22682111639</v>
      </c>
      <c r="K90" s="14">
        <f t="shared" si="9"/>
        <v>37893.446400000001</v>
      </c>
      <c r="L90" s="14">
        <f t="shared" si="13"/>
        <v>29496.780421116389</v>
      </c>
      <c r="M90" s="14">
        <f>'D) Ecrêtage'!M89</f>
        <v>20697.547200000001</v>
      </c>
      <c r="N90" s="14">
        <f t="shared" si="10"/>
        <v>26946.661938089688</v>
      </c>
      <c r="O90" s="66">
        <f t="shared" si="11"/>
        <v>64840.108338089689</v>
      </c>
      <c r="P90" s="251"/>
      <c r="Q90" s="252"/>
      <c r="R90" s="248"/>
      <c r="S90" s="248"/>
      <c r="T90" s="253"/>
    </row>
    <row r="91" spans="1:20" s="247" customFormat="1" x14ac:dyDescent="0.25">
      <c r="A91" s="369">
        <f>'A) Base RI'!A92</f>
        <v>5537</v>
      </c>
      <c r="B91" s="260" t="str">
        <f>'A) Base RI'!B92</f>
        <v>Villars-le-Terroir</v>
      </c>
      <c r="C91" s="276">
        <v>0</v>
      </c>
      <c r="D91" s="249">
        <f>'B) D RI'!AA92</f>
        <v>1066</v>
      </c>
      <c r="E91" s="250">
        <f>'B) D RI'!S92</f>
        <v>73</v>
      </c>
      <c r="F91" s="14">
        <f>'B) D RI'!R92</f>
        <v>2193003.0949999997</v>
      </c>
      <c r="G91" s="14">
        <f>'B) D RI'!U92</f>
        <v>30041.138287671231</v>
      </c>
      <c r="H91" s="49">
        <f>'B) D RI'!T92</f>
        <v>1996766.52</v>
      </c>
      <c r="I91" s="14">
        <f t="shared" si="12"/>
        <v>54705.932054794524</v>
      </c>
      <c r="J91" s="39">
        <f t="shared" si="8"/>
        <v>92455.575020991077</v>
      </c>
      <c r="K91" s="14">
        <f t="shared" si="9"/>
        <v>54705.932054794524</v>
      </c>
      <c r="L91" s="14">
        <f t="shared" si="13"/>
        <v>37749.642966196552</v>
      </c>
      <c r="M91" s="14">
        <f>'D) Ecrêtage'!M90</f>
        <v>30041.138287671231</v>
      </c>
      <c r="N91" s="14">
        <f t="shared" si="10"/>
        <v>39111.320285974718</v>
      </c>
      <c r="O91" s="66">
        <f t="shared" si="11"/>
        <v>93817.25234076925</v>
      </c>
      <c r="P91" s="251"/>
      <c r="Q91" s="252"/>
      <c r="R91" s="248"/>
      <c r="S91" s="248"/>
      <c r="T91" s="253"/>
    </row>
    <row r="92" spans="1:20" s="247" customFormat="1" x14ac:dyDescent="0.25">
      <c r="A92" s="369">
        <f>'A) Base RI'!A93</f>
        <v>5539</v>
      </c>
      <c r="B92" s="260" t="str">
        <f>'A) Base RI'!B93</f>
        <v>Vuarrens</v>
      </c>
      <c r="C92" s="276">
        <v>0</v>
      </c>
      <c r="D92" s="249">
        <f>'B) D RI'!AA93</f>
        <v>993</v>
      </c>
      <c r="E92" s="250">
        <f>'B) D RI'!S93</f>
        <v>75</v>
      </c>
      <c r="F92" s="14">
        <f>'B) D RI'!R93</f>
        <v>1704527.3674999997</v>
      </c>
      <c r="G92" s="14">
        <f>'B) D RI'!U93</f>
        <v>22727.031566666661</v>
      </c>
      <c r="H92" s="49">
        <f>'B) D RI'!T93</f>
        <v>1537282.1799999997</v>
      </c>
      <c r="I92" s="14">
        <f t="shared" si="12"/>
        <v>40994.191466666656</v>
      </c>
      <c r="J92" s="39">
        <f t="shared" si="8"/>
        <v>86124.189489534838</v>
      </c>
      <c r="K92" s="14">
        <f t="shared" si="9"/>
        <v>40994.191466666656</v>
      </c>
      <c r="L92" s="14">
        <f t="shared" si="13"/>
        <v>45129.998022868182</v>
      </c>
      <c r="M92" s="14">
        <f>'D) Ecrêtage'!M91</f>
        <v>22727.031566666661</v>
      </c>
      <c r="N92" s="14">
        <f t="shared" si="10"/>
        <v>29588.899136959542</v>
      </c>
      <c r="O92" s="66">
        <f t="shared" si="11"/>
        <v>70583.090603626202</v>
      </c>
      <c r="P92" s="251"/>
      <c r="Q92" s="252"/>
      <c r="R92" s="248"/>
      <c r="S92" s="248"/>
      <c r="T92" s="253"/>
    </row>
    <row r="93" spans="1:20" s="247" customFormat="1" x14ac:dyDescent="0.25">
      <c r="A93" s="369">
        <f>'A) Base RI'!A94</f>
        <v>5540</v>
      </c>
      <c r="B93" s="260" t="str">
        <f>'A) Base RI'!B94</f>
        <v>Montilliez</v>
      </c>
      <c r="C93" s="276">
        <v>0</v>
      </c>
      <c r="D93" s="249">
        <f>'B) D RI'!AA94</f>
        <v>1698</v>
      </c>
      <c r="E93" s="250">
        <f>'B) D RI'!S94</f>
        <v>74</v>
      </c>
      <c r="F93" s="14">
        <f>'B) D RI'!R94</f>
        <v>4060799.9050000003</v>
      </c>
      <c r="G93" s="14">
        <f>'B) D RI'!U94</f>
        <v>54875.674391891895</v>
      </c>
      <c r="H93" s="49">
        <f>'B) D RI'!T94</f>
        <v>3760525.7800000003</v>
      </c>
      <c r="I93" s="14">
        <f t="shared" si="12"/>
        <v>101635.8318918919</v>
      </c>
      <c r="J93" s="39">
        <f t="shared" si="8"/>
        <v>147269.76208784507</v>
      </c>
      <c r="K93" s="14">
        <f t="shared" si="9"/>
        <v>101635.8318918919</v>
      </c>
      <c r="L93" s="14">
        <f t="shared" si="13"/>
        <v>45633.930195953173</v>
      </c>
      <c r="M93" s="14">
        <f>'D) Ecrêtage'!M92</f>
        <v>54875.674391891895</v>
      </c>
      <c r="N93" s="14">
        <f t="shared" si="10"/>
        <v>71444.033062187984</v>
      </c>
      <c r="O93" s="66">
        <f t="shared" si="11"/>
        <v>173079.86495407988</v>
      </c>
      <c r="P93" s="251"/>
      <c r="Q93" s="252"/>
      <c r="R93" s="248"/>
      <c r="S93" s="248"/>
      <c r="T93" s="253"/>
    </row>
    <row r="94" spans="1:20" s="247" customFormat="1" x14ac:dyDescent="0.25">
      <c r="A94" s="369">
        <f>'A) Base RI'!A95</f>
        <v>5541</v>
      </c>
      <c r="B94" s="260" t="str">
        <f>'A) Base RI'!B95</f>
        <v>Goumoëns</v>
      </c>
      <c r="C94" s="276">
        <v>0</v>
      </c>
      <c r="D94" s="249">
        <f>'B) D RI'!AA95</f>
        <v>1051</v>
      </c>
      <c r="E94" s="250">
        <f>'B) D RI'!S95</f>
        <v>77</v>
      </c>
      <c r="F94" s="14">
        <f>'B) D RI'!R95</f>
        <v>2502351.4299999992</v>
      </c>
      <c r="G94" s="14">
        <f>'B) D RI'!U95</f>
        <v>32498.070519480509</v>
      </c>
      <c r="H94" s="49">
        <f>'B) D RI'!T95</f>
        <v>2323512.0799999991</v>
      </c>
      <c r="I94" s="14">
        <f t="shared" si="12"/>
        <v>60350.963116883097</v>
      </c>
      <c r="J94" s="39">
        <f t="shared" si="8"/>
        <v>91154.605391239791</v>
      </c>
      <c r="K94" s="14">
        <f t="shared" si="9"/>
        <v>60350.963116883097</v>
      </c>
      <c r="L94" s="14">
        <f t="shared" si="13"/>
        <v>30803.642274356695</v>
      </c>
      <c r="M94" s="14">
        <f>'D) Ecrêtage'!M93</f>
        <v>32498.070519480509</v>
      </c>
      <c r="N94" s="14">
        <f t="shared" si="10"/>
        <v>42310.062707751189</v>
      </c>
      <c r="O94" s="66">
        <f t="shared" si="11"/>
        <v>102661.02582463429</v>
      </c>
      <c r="P94" s="251"/>
      <c r="Q94" s="252"/>
      <c r="R94" s="248"/>
      <c r="S94" s="248"/>
      <c r="T94" s="253"/>
    </row>
    <row r="95" spans="1:20" s="247" customFormat="1" x14ac:dyDescent="0.25">
      <c r="A95" s="369">
        <f>'A) Base RI'!A96</f>
        <v>5551</v>
      </c>
      <c r="B95" s="260" t="str">
        <f>'A) Base RI'!B96</f>
        <v>Bonvillars</v>
      </c>
      <c r="C95" s="276">
        <v>0</v>
      </c>
      <c r="D95" s="249">
        <f>'B) D RI'!AA96</f>
        <v>495</v>
      </c>
      <c r="E95" s="250">
        <f>'B) D RI'!S96</f>
        <v>55</v>
      </c>
      <c r="F95" s="14">
        <f>'B) D RI'!R96</f>
        <v>1061058.1242857142</v>
      </c>
      <c r="G95" s="14">
        <f>'B) D RI'!U96</f>
        <v>19291.965896103895</v>
      </c>
      <c r="H95" s="49">
        <f>'B) D RI'!T96</f>
        <v>940054.01</v>
      </c>
      <c r="I95" s="14">
        <f t="shared" si="12"/>
        <v>34183.782181818184</v>
      </c>
      <c r="J95" s="39">
        <f t="shared" si="8"/>
        <v>42931.997781792292</v>
      </c>
      <c r="K95" s="14">
        <f t="shared" si="9"/>
        <v>34183.782181818184</v>
      </c>
      <c r="L95" s="14">
        <f t="shared" si="13"/>
        <v>8748.215599974108</v>
      </c>
      <c r="M95" s="14">
        <f>'D) Ecrêtage'!M94</f>
        <v>19291.965896103895</v>
      </c>
      <c r="N95" s="14">
        <f t="shared" si="10"/>
        <v>25116.69996933101</v>
      </c>
      <c r="O95" s="66">
        <f t="shared" si="11"/>
        <v>59300.48215114919</v>
      </c>
      <c r="P95" s="251"/>
      <c r="Q95" s="252"/>
      <c r="R95" s="248"/>
      <c r="S95" s="248"/>
      <c r="T95" s="253"/>
    </row>
    <row r="96" spans="1:20" s="247" customFormat="1" x14ac:dyDescent="0.25">
      <c r="A96" s="369">
        <f>'A) Base RI'!A97</f>
        <v>5552</v>
      </c>
      <c r="B96" s="260" t="str">
        <f>'A) Base RI'!B97</f>
        <v>Bullet</v>
      </c>
      <c r="C96" s="276">
        <v>0</v>
      </c>
      <c r="D96" s="249">
        <f>'B) D RI'!AA97</f>
        <v>629</v>
      </c>
      <c r="E96" s="250">
        <f>'B) D RI'!S97</f>
        <v>70</v>
      </c>
      <c r="F96" s="14">
        <f>'B) D RI'!R97</f>
        <v>1101487.6299999999</v>
      </c>
      <c r="G96" s="14">
        <f>'B) D RI'!U97</f>
        <v>15735.537571428569</v>
      </c>
      <c r="H96" s="49">
        <f>'B) D RI'!T97</f>
        <v>992866.73</v>
      </c>
      <c r="I96" s="14">
        <f t="shared" si="12"/>
        <v>28367.620857142858</v>
      </c>
      <c r="J96" s="39">
        <f t="shared" si="8"/>
        <v>54553.993140903738</v>
      </c>
      <c r="K96" s="14">
        <f t="shared" si="9"/>
        <v>28367.620857142858</v>
      </c>
      <c r="L96" s="14">
        <f t="shared" si="13"/>
        <v>26186.37228376088</v>
      </c>
      <c r="M96" s="14">
        <f>'D) Ecrêtage'!M95</f>
        <v>15735.537571428569</v>
      </c>
      <c r="N96" s="14">
        <f t="shared" si="10"/>
        <v>20486.495682512297</v>
      </c>
      <c r="O96" s="66">
        <f t="shared" si="11"/>
        <v>48854.116539655151</v>
      </c>
      <c r="P96" s="251"/>
      <c r="Q96" s="252"/>
      <c r="R96" s="248"/>
      <c r="S96" s="248"/>
      <c r="T96" s="253"/>
    </row>
    <row r="97" spans="1:20" s="247" customFormat="1" x14ac:dyDescent="0.25">
      <c r="A97" s="369">
        <f>'A) Base RI'!A98</f>
        <v>5553</v>
      </c>
      <c r="B97" s="260" t="str">
        <f>'A) Base RI'!B98</f>
        <v>Champagne</v>
      </c>
      <c r="C97" s="276">
        <v>0</v>
      </c>
      <c r="D97" s="249">
        <f>'B) D RI'!AA98</f>
        <v>1027</v>
      </c>
      <c r="E97" s="250">
        <f>'B) D RI'!S98</f>
        <v>63</v>
      </c>
      <c r="F97" s="14">
        <f>'B) D RI'!R98</f>
        <v>2102296.37</v>
      </c>
      <c r="G97" s="14">
        <f>'B) D RI'!U98</f>
        <v>33369.783650793652</v>
      </c>
      <c r="H97" s="49">
        <f>'B) D RI'!T98</f>
        <v>1900567.67</v>
      </c>
      <c r="I97" s="14">
        <f t="shared" si="12"/>
        <v>60335.481587301583</v>
      </c>
      <c r="J97" s="39">
        <f t="shared" si="8"/>
        <v>89073.053983637743</v>
      </c>
      <c r="K97" s="14">
        <f t="shared" si="9"/>
        <v>60335.481587301583</v>
      </c>
      <c r="L97" s="14">
        <f t="shared" si="13"/>
        <v>28737.57239633616</v>
      </c>
      <c r="M97" s="14">
        <f>'D) Ecrêtage'!M96</f>
        <v>33369.783650793652</v>
      </c>
      <c r="N97" s="14">
        <f t="shared" si="10"/>
        <v>43444.968154735208</v>
      </c>
      <c r="O97" s="66">
        <f t="shared" si="11"/>
        <v>103780.44974203678</v>
      </c>
      <c r="P97" s="251"/>
      <c r="Q97" s="252"/>
      <c r="R97" s="248"/>
      <c r="S97" s="248"/>
      <c r="T97" s="253"/>
    </row>
    <row r="98" spans="1:20" s="247" customFormat="1" x14ac:dyDescent="0.25">
      <c r="A98" s="369">
        <f>'A) Base RI'!A99</f>
        <v>5554</v>
      </c>
      <c r="B98" s="260" t="str">
        <f>'A) Base RI'!B99</f>
        <v>Concise</v>
      </c>
      <c r="C98" s="276">
        <v>0</v>
      </c>
      <c r="D98" s="249">
        <f>'B) D RI'!AA99</f>
        <v>960</v>
      </c>
      <c r="E98" s="250">
        <f>'B) D RI'!S99</f>
        <v>75</v>
      </c>
      <c r="F98" s="14">
        <f>'B) D RI'!R99</f>
        <v>2174003.16</v>
      </c>
      <c r="G98" s="14">
        <f>'B) D RI'!U99</f>
        <v>28986.7088</v>
      </c>
      <c r="H98" s="49">
        <f>'B) D RI'!T99</f>
        <v>2003154.56</v>
      </c>
      <c r="I98" s="14">
        <f t="shared" si="12"/>
        <v>53417.454933333334</v>
      </c>
      <c r="J98" s="39">
        <f t="shared" si="8"/>
        <v>83262.056304082027</v>
      </c>
      <c r="K98" s="14">
        <f t="shared" si="9"/>
        <v>53417.454933333334</v>
      </c>
      <c r="L98" s="14">
        <f t="shared" si="13"/>
        <v>29844.601370748693</v>
      </c>
      <c r="M98" s="14">
        <f>'D) Ecrêtage'!M97</f>
        <v>28986.7088</v>
      </c>
      <c r="N98" s="14">
        <f t="shared" si="10"/>
        <v>37738.531777883778</v>
      </c>
      <c r="O98" s="66">
        <f t="shared" si="11"/>
        <v>91155.98671121712</v>
      </c>
      <c r="P98" s="251"/>
      <c r="Q98" s="252"/>
      <c r="R98" s="248"/>
      <c r="S98" s="248"/>
      <c r="T98" s="253"/>
    </row>
    <row r="99" spans="1:20" s="247" customFormat="1" x14ac:dyDescent="0.25">
      <c r="A99" s="369">
        <f>'A) Base RI'!A100</f>
        <v>5555</v>
      </c>
      <c r="B99" s="260" t="str">
        <f>'A) Base RI'!B100</f>
        <v>Corcelles-près-Concise</v>
      </c>
      <c r="C99" s="276">
        <v>0</v>
      </c>
      <c r="D99" s="249">
        <f>'B) D RI'!AA100</f>
        <v>379</v>
      </c>
      <c r="E99" s="250">
        <f>'B) D RI'!S100</f>
        <v>71</v>
      </c>
      <c r="F99" s="14">
        <f>'B) D RI'!R100</f>
        <v>783866.44000000006</v>
      </c>
      <c r="G99" s="14">
        <f>'B) D RI'!U100</f>
        <v>11040.372394366199</v>
      </c>
      <c r="H99" s="49">
        <f>'B) D RI'!T100</f>
        <v>708566.59</v>
      </c>
      <c r="I99" s="14">
        <f t="shared" si="12"/>
        <v>19959.622253521127</v>
      </c>
      <c r="J99" s="39">
        <f t="shared" si="8"/>
        <v>32871.165978382378</v>
      </c>
      <c r="K99" s="14">
        <f t="shared" si="9"/>
        <v>19959.622253521127</v>
      </c>
      <c r="L99" s="14">
        <f t="shared" si="13"/>
        <v>12911.543724861251</v>
      </c>
      <c r="M99" s="14">
        <f>'D) Ecrêtage'!M98</f>
        <v>11040.372394366199</v>
      </c>
      <c r="N99" s="14">
        <f t="shared" si="10"/>
        <v>14373.740990024353</v>
      </c>
      <c r="O99" s="66">
        <f t="shared" si="11"/>
        <v>34333.363243545478</v>
      </c>
      <c r="P99" s="251"/>
      <c r="Q99" s="252"/>
      <c r="R99" s="248"/>
      <c r="S99" s="248"/>
      <c r="T99" s="253"/>
    </row>
    <row r="100" spans="1:20" s="247" customFormat="1" x14ac:dyDescent="0.25">
      <c r="A100" s="369">
        <f>'A) Base RI'!A101</f>
        <v>5556</v>
      </c>
      <c r="B100" s="260" t="str">
        <f>'A) Base RI'!B101</f>
        <v>Fiez</v>
      </c>
      <c r="C100" s="276">
        <v>0</v>
      </c>
      <c r="D100" s="249">
        <f>'B) D RI'!AA101</f>
        <v>427</v>
      </c>
      <c r="E100" s="250">
        <f>'B) D RI'!S101</f>
        <v>69</v>
      </c>
      <c r="F100" s="14">
        <f>'B) D RI'!R101</f>
        <v>860620.04</v>
      </c>
      <c r="G100" s="14">
        <f>'B) D RI'!U101</f>
        <v>12472.754202898552</v>
      </c>
      <c r="H100" s="49">
        <f>'B) D RI'!T101</f>
        <v>795736.04</v>
      </c>
      <c r="I100" s="14">
        <f t="shared" si="12"/>
        <v>23064.812753623188</v>
      </c>
      <c r="J100" s="39">
        <f t="shared" si="8"/>
        <v>37034.268793586481</v>
      </c>
      <c r="K100" s="14">
        <f t="shared" si="9"/>
        <v>23064.812753623188</v>
      </c>
      <c r="L100" s="14">
        <f t="shared" si="13"/>
        <v>13969.456039963294</v>
      </c>
      <c r="M100" s="14">
        <f>'D) Ecrêtage'!M99</f>
        <v>12472.754202898552</v>
      </c>
      <c r="N100" s="14">
        <f t="shared" si="10"/>
        <v>16238.595215881165</v>
      </c>
      <c r="O100" s="66">
        <f t="shared" si="11"/>
        <v>39303.407969504355</v>
      </c>
      <c r="P100" s="251"/>
      <c r="Q100" s="252"/>
      <c r="R100" s="248"/>
      <c r="S100" s="248"/>
      <c r="T100" s="253"/>
    </row>
    <row r="101" spans="1:20" s="247" customFormat="1" x14ac:dyDescent="0.25">
      <c r="A101" s="369">
        <f>'A) Base RI'!A102</f>
        <v>5557</v>
      </c>
      <c r="B101" s="260" t="str">
        <f>'A) Base RI'!B102</f>
        <v>Fontaines-sur-Grandson</v>
      </c>
      <c r="C101" s="276">
        <v>0</v>
      </c>
      <c r="D101" s="249">
        <f>'B) D RI'!AA102</f>
        <v>200</v>
      </c>
      <c r="E101" s="250">
        <f>'B) D RI'!S102</f>
        <v>69</v>
      </c>
      <c r="F101" s="14">
        <f>'B) D RI'!R102</f>
        <v>278089.82</v>
      </c>
      <c r="G101" s="14">
        <f>'B) D RI'!U102</f>
        <v>4030.2872463768117</v>
      </c>
      <c r="H101" s="49">
        <f>'B) D RI'!T102</f>
        <v>247709.12</v>
      </c>
      <c r="I101" s="14">
        <f t="shared" si="12"/>
        <v>7179.9744927536231</v>
      </c>
      <c r="J101" s="39">
        <f t="shared" si="8"/>
        <v>17346.261730017086</v>
      </c>
      <c r="K101" s="14">
        <f t="shared" si="9"/>
        <v>7179.9744927536231</v>
      </c>
      <c r="L101" s="14">
        <f t="shared" si="13"/>
        <v>10166.287237263463</v>
      </c>
      <c r="M101" s="14">
        <f>'D) Ecrêtage'!M100</f>
        <v>4030.2872463768117</v>
      </c>
      <c r="N101" s="14">
        <f t="shared" si="10"/>
        <v>5247.1332420254284</v>
      </c>
      <c r="O101" s="66">
        <f t="shared" si="11"/>
        <v>12427.107734779052</v>
      </c>
      <c r="P101" s="251"/>
      <c r="Q101" s="252"/>
      <c r="R101" s="248"/>
      <c r="S101" s="248"/>
      <c r="T101" s="253"/>
    </row>
    <row r="102" spans="1:20" s="247" customFormat="1" x14ac:dyDescent="0.25">
      <c r="A102" s="369">
        <f>'A) Base RI'!A103</f>
        <v>5559</v>
      </c>
      <c r="B102" s="260" t="str">
        <f>'A) Base RI'!B103</f>
        <v>Giez</v>
      </c>
      <c r="C102" s="276">
        <v>0</v>
      </c>
      <c r="D102" s="249">
        <f>'B) D RI'!AA103</f>
        <v>408</v>
      </c>
      <c r="E102" s="250">
        <f>'B) D RI'!S103</f>
        <v>66</v>
      </c>
      <c r="F102" s="14">
        <f>'B) D RI'!R103</f>
        <v>1197843.1400000001</v>
      </c>
      <c r="G102" s="14">
        <f>'B) D RI'!U103</f>
        <v>18149.138484848489</v>
      </c>
      <c r="H102" s="49">
        <f>'B) D RI'!T103</f>
        <v>1111282.3400000001</v>
      </c>
      <c r="I102" s="14">
        <f t="shared" si="12"/>
        <v>33675.222424242427</v>
      </c>
      <c r="J102" s="39">
        <f t="shared" ref="J102:J133" si="14">+$I$315/$D$315*D102</f>
        <v>35386.373929234862</v>
      </c>
      <c r="K102" s="14">
        <f t="shared" si="9"/>
        <v>33675.222424242427</v>
      </c>
      <c r="L102" s="14">
        <f t="shared" si="13"/>
        <v>1711.1515049924346</v>
      </c>
      <c r="M102" s="14">
        <f>'D) Ecrêtage'!M101</f>
        <v>18149.138484848489</v>
      </c>
      <c r="N102" s="14">
        <f t="shared" si="10"/>
        <v>23628.823961265589</v>
      </c>
      <c r="O102" s="66">
        <f t="shared" si="11"/>
        <v>57304.046385508016</v>
      </c>
      <c r="P102" s="251"/>
      <c r="Q102" s="252"/>
      <c r="R102" s="248"/>
      <c r="S102" s="248"/>
      <c r="T102" s="253"/>
    </row>
    <row r="103" spans="1:20" s="247" customFormat="1" x14ac:dyDescent="0.25">
      <c r="A103" s="369">
        <f>'A) Base RI'!A104</f>
        <v>5560</v>
      </c>
      <c r="B103" s="260" t="str">
        <f>'A) Base RI'!B104</f>
        <v>Grandevent</v>
      </c>
      <c r="C103" s="276">
        <v>0</v>
      </c>
      <c r="D103" s="249">
        <f>'B) D RI'!AA104</f>
        <v>232</v>
      </c>
      <c r="E103" s="250">
        <f>'B) D RI'!S104</f>
        <v>68</v>
      </c>
      <c r="F103" s="14">
        <f>'B) D RI'!R104</f>
        <v>438370.66</v>
      </c>
      <c r="G103" s="14">
        <f>'B) D RI'!U104</f>
        <v>6446.6273529411765</v>
      </c>
      <c r="H103" s="49">
        <f>'B) D RI'!T104</f>
        <v>398291.31</v>
      </c>
      <c r="I103" s="14">
        <f t="shared" si="12"/>
        <v>11714.450294117647</v>
      </c>
      <c r="J103" s="39">
        <f t="shared" si="14"/>
        <v>20121.66360681982</v>
      </c>
      <c r="K103" s="14">
        <f t="shared" si="9"/>
        <v>11714.450294117647</v>
      </c>
      <c r="L103" s="14">
        <f t="shared" si="13"/>
        <v>8407.2133127021734</v>
      </c>
      <c r="M103" s="14">
        <f>'D) Ecrêtage'!M102</f>
        <v>6446.6273529411765</v>
      </c>
      <c r="N103" s="14">
        <f t="shared" si="10"/>
        <v>8393.0277458455512</v>
      </c>
      <c r="O103" s="66">
        <f t="shared" si="11"/>
        <v>20107.4780399632</v>
      </c>
      <c r="P103" s="251"/>
      <c r="Q103" s="252"/>
      <c r="R103" s="248"/>
      <c r="S103" s="248"/>
      <c r="T103" s="253"/>
    </row>
    <row r="104" spans="1:20" s="247" customFormat="1" x14ac:dyDescent="0.25">
      <c r="A104" s="369">
        <f>'A) Base RI'!A105</f>
        <v>5561</v>
      </c>
      <c r="B104" s="260" t="str">
        <f>'A) Base RI'!B105</f>
        <v>Grandson</v>
      </c>
      <c r="C104" s="276">
        <v>0</v>
      </c>
      <c r="D104" s="249">
        <f>'B) D RI'!AA105</f>
        <v>3313</v>
      </c>
      <c r="E104" s="250">
        <f>'B) D RI'!S105</f>
        <v>69</v>
      </c>
      <c r="F104" s="14">
        <f>'B) D RI'!R105</f>
        <v>7946757.6899999995</v>
      </c>
      <c r="G104" s="14">
        <f>'B) D RI'!U105</f>
        <v>115170.40130434782</v>
      </c>
      <c r="H104" s="49">
        <f>'B) D RI'!T105</f>
        <v>7371183.6899999995</v>
      </c>
      <c r="I104" s="14">
        <f t="shared" si="12"/>
        <v>213657.49826086956</v>
      </c>
      <c r="J104" s="39">
        <f t="shared" si="14"/>
        <v>287340.82555773307</v>
      </c>
      <c r="K104" s="14">
        <f t="shared" si="9"/>
        <v>213657.49826086956</v>
      </c>
      <c r="L104" s="14">
        <f t="shared" si="13"/>
        <v>73683.327296863514</v>
      </c>
      <c r="M104" s="14">
        <f>'D) Ecrêtage'!M103</f>
        <v>115170.40130434782</v>
      </c>
      <c r="N104" s="14">
        <f t="shared" si="10"/>
        <v>149943.26811934431</v>
      </c>
      <c r="O104" s="66">
        <f t="shared" si="11"/>
        <v>363600.7663802139</v>
      </c>
      <c r="P104" s="251"/>
      <c r="Q104" s="252"/>
      <c r="R104" s="248"/>
      <c r="S104" s="248"/>
      <c r="T104" s="253"/>
    </row>
    <row r="105" spans="1:20" s="247" customFormat="1" x14ac:dyDescent="0.25">
      <c r="A105" s="369">
        <f>'A) Base RI'!A106</f>
        <v>5562</v>
      </c>
      <c r="B105" s="260" t="str">
        <f>'A) Base RI'!B106</f>
        <v>Mauborget</v>
      </c>
      <c r="C105" s="276">
        <v>0</v>
      </c>
      <c r="D105" s="249">
        <f>'B) D RI'!AA106</f>
        <v>123</v>
      </c>
      <c r="E105" s="250">
        <f>'B) D RI'!S106</f>
        <v>70</v>
      </c>
      <c r="F105" s="14">
        <f>'B) D RI'!R106</f>
        <v>256378.81999999998</v>
      </c>
      <c r="G105" s="14">
        <f>'B) D RI'!U106</f>
        <v>3662.5545714285713</v>
      </c>
      <c r="H105" s="49">
        <f>'B) D RI'!T106</f>
        <v>225942.81999999998</v>
      </c>
      <c r="I105" s="14">
        <f t="shared" si="12"/>
        <v>6455.5091428571423</v>
      </c>
      <c r="J105" s="39">
        <f t="shared" si="14"/>
        <v>10667.950963960509</v>
      </c>
      <c r="K105" s="14">
        <f t="shared" si="9"/>
        <v>6455.5091428571423</v>
      </c>
      <c r="L105" s="14">
        <f t="shared" si="13"/>
        <v>4212.4418211033671</v>
      </c>
      <c r="M105" s="14">
        <f>'D) Ecrêtage'!M104</f>
        <v>3662.5545714285713</v>
      </c>
      <c r="N105" s="14">
        <f t="shared" si="10"/>
        <v>4768.3727406158869</v>
      </c>
      <c r="O105" s="66">
        <f t="shared" si="11"/>
        <v>11223.88188347303</v>
      </c>
      <c r="P105" s="251"/>
      <c r="Q105" s="252"/>
      <c r="R105" s="248"/>
      <c r="S105" s="248"/>
      <c r="T105" s="253"/>
    </row>
    <row r="106" spans="1:20" s="247" customFormat="1" x14ac:dyDescent="0.25">
      <c r="A106" s="369">
        <f>'A) Base RI'!A107</f>
        <v>5563</v>
      </c>
      <c r="B106" s="260" t="str">
        <f>'A) Base RI'!B107</f>
        <v>Mutrux</v>
      </c>
      <c r="C106" s="276">
        <v>0</v>
      </c>
      <c r="D106" s="249">
        <f>'B) D RI'!AA107</f>
        <v>162</v>
      </c>
      <c r="E106" s="250">
        <f>'B) D RI'!S107</f>
        <v>78.5</v>
      </c>
      <c r="F106" s="14">
        <f>'B) D RI'!R107</f>
        <v>335600.73999999993</v>
      </c>
      <c r="G106" s="14">
        <f>'B) D RI'!U107</f>
        <v>4275.1686624203812</v>
      </c>
      <c r="H106" s="49">
        <f>'B) D RI'!T107</f>
        <v>315391.48999999993</v>
      </c>
      <c r="I106" s="14">
        <f t="shared" si="12"/>
        <v>8035.4519745222915</v>
      </c>
      <c r="J106" s="39">
        <f t="shared" si="14"/>
        <v>14050.472001313841</v>
      </c>
      <c r="K106" s="14">
        <f t="shared" si="9"/>
        <v>8035.4519745222915</v>
      </c>
      <c r="L106" s="14">
        <f t="shared" si="13"/>
        <v>6015.0200267915498</v>
      </c>
      <c r="M106" s="14">
        <f>'D) Ecrêtage'!M105</f>
        <v>4275.1686624203812</v>
      </c>
      <c r="N106" s="14">
        <f t="shared" si="10"/>
        <v>5565.9505718898463</v>
      </c>
      <c r="O106" s="66">
        <f t="shared" si="11"/>
        <v>13601.402546412137</v>
      </c>
      <c r="P106" s="251"/>
      <c r="Q106" s="252"/>
      <c r="R106" s="248"/>
      <c r="S106" s="248"/>
      <c r="T106" s="253"/>
    </row>
    <row r="107" spans="1:20" s="247" customFormat="1" x14ac:dyDescent="0.25">
      <c r="A107" s="369">
        <f>'A) Base RI'!A108</f>
        <v>5564</v>
      </c>
      <c r="B107" s="260" t="str">
        <f>'A) Base RI'!B108</f>
        <v>Novalles</v>
      </c>
      <c r="C107" s="276">
        <v>0</v>
      </c>
      <c r="D107" s="249">
        <f>'B) D RI'!AA108</f>
        <v>101</v>
      </c>
      <c r="E107" s="250">
        <f>'B) D RI'!S108</f>
        <v>76</v>
      </c>
      <c r="F107" s="14">
        <f>'B) D RI'!R108</f>
        <v>156788.5975</v>
      </c>
      <c r="G107" s="14">
        <f>'B) D RI'!U108</f>
        <v>2063.0078618421053</v>
      </c>
      <c r="H107" s="49">
        <f>'B) D RI'!T108</f>
        <v>144521.91</v>
      </c>
      <c r="I107" s="14">
        <f t="shared" si="12"/>
        <v>3803.2081578947368</v>
      </c>
      <c r="J107" s="39">
        <f t="shared" si="14"/>
        <v>8759.8621736586301</v>
      </c>
      <c r="K107" s="14">
        <f t="shared" si="9"/>
        <v>3803.2081578947368</v>
      </c>
      <c r="L107" s="14">
        <f t="shared" si="13"/>
        <v>4956.6540157638938</v>
      </c>
      <c r="M107" s="14">
        <f>'D) Ecrêtage'!M106</f>
        <v>2063.0078618421053</v>
      </c>
      <c r="N107" s="14">
        <f t="shared" si="10"/>
        <v>2685.8822879592444</v>
      </c>
      <c r="O107" s="66">
        <f t="shared" si="11"/>
        <v>6489.0904458539808</v>
      </c>
      <c r="P107" s="251"/>
      <c r="Q107" s="252"/>
      <c r="R107" s="248"/>
      <c r="S107" s="248"/>
      <c r="T107" s="253"/>
    </row>
    <row r="108" spans="1:20" s="247" customFormat="1" x14ac:dyDescent="0.25">
      <c r="A108" s="369">
        <f>'A) Base RI'!A109</f>
        <v>5565</v>
      </c>
      <c r="B108" s="260" t="str">
        <f>'A) Base RI'!B109</f>
        <v>Onnens</v>
      </c>
      <c r="C108" s="276">
        <v>0</v>
      </c>
      <c r="D108" s="249">
        <f>'B) D RI'!AA109</f>
        <v>500</v>
      </c>
      <c r="E108" s="250">
        <f>'B) D RI'!S109</f>
        <v>65</v>
      </c>
      <c r="F108" s="14">
        <f>'B) D RI'!R109</f>
        <v>1163682.4166666667</v>
      </c>
      <c r="G108" s="14">
        <f>'B) D RI'!U109</f>
        <v>17902.806410256413</v>
      </c>
      <c r="H108" s="49">
        <f>'B) D RI'!T109</f>
        <v>1026944.25</v>
      </c>
      <c r="I108" s="14">
        <f t="shared" si="12"/>
        <v>31598.284615384615</v>
      </c>
      <c r="J108" s="39">
        <f t="shared" si="14"/>
        <v>43365.65432504272</v>
      </c>
      <c r="K108" s="14">
        <f t="shared" si="9"/>
        <v>31598.284615384615</v>
      </c>
      <c r="L108" s="14">
        <f t="shared" si="13"/>
        <v>11767.369709658105</v>
      </c>
      <c r="M108" s="14">
        <f>'D) Ecrêtage'!M107</f>
        <v>17902.806410256413</v>
      </c>
      <c r="N108" s="14">
        <f t="shared" si="10"/>
        <v>23308.117982223739</v>
      </c>
      <c r="O108" s="66">
        <f t="shared" si="11"/>
        <v>54906.40259760835</v>
      </c>
      <c r="P108" s="251"/>
      <c r="Q108" s="252"/>
      <c r="R108" s="248"/>
      <c r="S108" s="248"/>
      <c r="T108" s="253"/>
    </row>
    <row r="109" spans="1:20" s="247" customFormat="1" x14ac:dyDescent="0.25">
      <c r="A109" s="369">
        <f>'A) Base RI'!A110</f>
        <v>5566</v>
      </c>
      <c r="B109" s="260" t="str">
        <f>'A) Base RI'!B110</f>
        <v>Provence</v>
      </c>
      <c r="C109" s="276">
        <v>0</v>
      </c>
      <c r="D109" s="249">
        <f>'B) D RI'!AA110</f>
        <v>390</v>
      </c>
      <c r="E109" s="250">
        <f>'B) D RI'!S110</f>
        <v>81</v>
      </c>
      <c r="F109" s="14">
        <f>'B) D RI'!R110</f>
        <v>697012.91333333321</v>
      </c>
      <c r="G109" s="14">
        <f>'B) D RI'!U110</f>
        <v>8605.0976954732487</v>
      </c>
      <c r="H109" s="49">
        <f>'B) D RI'!T110</f>
        <v>644026.77999999991</v>
      </c>
      <c r="I109" s="14">
        <f t="shared" si="12"/>
        <v>15901.895802469133</v>
      </c>
      <c r="J109" s="39">
        <f t="shared" si="14"/>
        <v>33825.210373533322</v>
      </c>
      <c r="K109" s="14">
        <f t="shared" si="9"/>
        <v>15901.895802469133</v>
      </c>
      <c r="L109" s="14">
        <f t="shared" si="13"/>
        <v>17923.314571064191</v>
      </c>
      <c r="M109" s="14">
        <f>'D) Ecrêtage'!M108</f>
        <v>8605.0976954732487</v>
      </c>
      <c r="N109" s="14">
        <f t="shared" si="10"/>
        <v>11203.195059951466</v>
      </c>
      <c r="O109" s="66">
        <f t="shared" si="11"/>
        <v>27105.090862420599</v>
      </c>
      <c r="P109" s="251"/>
      <c r="Q109" s="252"/>
      <c r="R109" s="248"/>
      <c r="S109" s="248"/>
      <c r="T109" s="253"/>
    </row>
    <row r="110" spans="1:20" s="247" customFormat="1" x14ac:dyDescent="0.25">
      <c r="A110" s="369">
        <f>'A) Base RI'!A111</f>
        <v>5568</v>
      </c>
      <c r="B110" s="260" t="str">
        <f>'A) Base RI'!B111</f>
        <v>Sainte-Croix</v>
      </c>
      <c r="C110" s="276">
        <v>0</v>
      </c>
      <c r="D110" s="249">
        <f>'B) D RI'!AA111</f>
        <v>4851</v>
      </c>
      <c r="E110" s="250">
        <f>'B) D RI'!S111</f>
        <v>70</v>
      </c>
      <c r="F110" s="14">
        <f>'B) D RI'!R111</f>
        <v>6736053.7800000003</v>
      </c>
      <c r="G110" s="14">
        <f>'B) D RI'!U111</f>
        <v>96229.339714285714</v>
      </c>
      <c r="H110" s="49">
        <f>'B) D RI'!T111</f>
        <v>6159291.0300000003</v>
      </c>
      <c r="I110" s="14">
        <f t="shared" si="12"/>
        <v>175979.74371428572</v>
      </c>
      <c r="J110" s="39">
        <f t="shared" si="14"/>
        <v>420733.57826156449</v>
      </c>
      <c r="K110" s="14">
        <f t="shared" si="9"/>
        <v>175979.74371428572</v>
      </c>
      <c r="L110" s="14">
        <f t="shared" si="13"/>
        <v>244753.83454727876</v>
      </c>
      <c r="M110" s="14">
        <f>'D) Ecrêtage'!M109</f>
        <v>96229.339714285714</v>
      </c>
      <c r="N110" s="14">
        <f t="shared" si="10"/>
        <v>125283.41937089268</v>
      </c>
      <c r="O110" s="66">
        <f t="shared" si="11"/>
        <v>301263.16308517841</v>
      </c>
      <c r="P110" s="251"/>
      <c r="Q110" s="252"/>
      <c r="R110" s="248"/>
      <c r="S110" s="248"/>
      <c r="T110" s="253"/>
    </row>
    <row r="111" spans="1:20" s="247" customFormat="1" x14ac:dyDescent="0.25">
      <c r="A111" s="369">
        <f>'A) Base RI'!A112</f>
        <v>5571</v>
      </c>
      <c r="B111" s="260" t="str">
        <f>'A) Base RI'!B112</f>
        <v>Tévenon</v>
      </c>
      <c r="C111" s="276">
        <v>0</v>
      </c>
      <c r="D111" s="249">
        <f>'B) D RI'!AA112</f>
        <v>791</v>
      </c>
      <c r="E111" s="250">
        <f>'B) D RI'!S112</f>
        <v>73</v>
      </c>
      <c r="F111" s="14">
        <f>'B) D RI'!R112</f>
        <v>1530333.0033333332</v>
      </c>
      <c r="G111" s="14">
        <f>'B) D RI'!U112</f>
        <v>20963.465799086756</v>
      </c>
      <c r="H111" s="49">
        <f>'B) D RI'!T112</f>
        <v>1392533.42</v>
      </c>
      <c r="I111" s="14">
        <f t="shared" si="12"/>
        <v>38151.600547945207</v>
      </c>
      <c r="J111" s="39">
        <f t="shared" si="14"/>
        <v>68604.465142217581</v>
      </c>
      <c r="K111" s="14">
        <f t="shared" si="9"/>
        <v>38151.600547945207</v>
      </c>
      <c r="L111" s="14">
        <f t="shared" si="13"/>
        <v>30452.864594272374</v>
      </c>
      <c r="M111" s="14">
        <f>'D) Ecrêtage'!M110</f>
        <v>20963.465799086756</v>
      </c>
      <c r="N111" s="14">
        <f t="shared" si="10"/>
        <v>27292.868110415326</v>
      </c>
      <c r="O111" s="66">
        <f t="shared" si="11"/>
        <v>65444.468658360536</v>
      </c>
      <c r="P111" s="251"/>
      <c r="Q111" s="252"/>
      <c r="R111" s="248"/>
      <c r="S111" s="248"/>
      <c r="T111" s="253"/>
    </row>
    <row r="112" spans="1:20" s="247" customFormat="1" x14ac:dyDescent="0.25">
      <c r="A112" s="369">
        <f>'A) Base RI'!A113</f>
        <v>5581</v>
      </c>
      <c r="B112" s="260" t="str">
        <f>'A) Base RI'!B113</f>
        <v>Belmont-sur-Lausanne</v>
      </c>
      <c r="C112" s="276">
        <v>1</v>
      </c>
      <c r="D112" s="249">
        <f>'B) D RI'!AA113</f>
        <v>3564</v>
      </c>
      <c r="E112" s="250">
        <f>'B) D RI'!S113</f>
        <v>69.5</v>
      </c>
      <c r="F112" s="14">
        <f>'B) D RI'!R113</f>
        <v>12999482.886666669</v>
      </c>
      <c r="G112" s="14">
        <f>'B) D RI'!U113</f>
        <v>187042.91923261393</v>
      </c>
      <c r="H112" s="49">
        <f>'B) D RI'!T113</f>
        <v>12087418.720000003</v>
      </c>
      <c r="I112" s="14">
        <f t="shared" si="12"/>
        <v>347839.38762589934</v>
      </c>
      <c r="J112" s="39">
        <f t="shared" si="14"/>
        <v>309110.38402890449</v>
      </c>
      <c r="K112" s="14">
        <f t="shared" si="9"/>
        <v>0</v>
      </c>
      <c r="L112" s="14">
        <f t="shared" si="13"/>
        <v>309110.38402890449</v>
      </c>
      <c r="M112" s="14">
        <f>'D) Ecrêtage'!M111</f>
        <v>187042.91923261393</v>
      </c>
      <c r="N112" s="14">
        <f t="shared" si="10"/>
        <v>243515.92310777103</v>
      </c>
      <c r="O112" s="66">
        <f t="shared" si="11"/>
        <v>243515.92310777103</v>
      </c>
      <c r="P112" s="251"/>
      <c r="Q112" s="252"/>
      <c r="R112" s="248"/>
      <c r="S112" s="248"/>
      <c r="T112" s="253"/>
    </row>
    <row r="113" spans="1:20" s="247" customFormat="1" x14ac:dyDescent="0.25">
      <c r="A113" s="369">
        <f>'A) Base RI'!A114</f>
        <v>5582</v>
      </c>
      <c r="B113" s="260" t="str">
        <f>'A) Base RI'!B114</f>
        <v>Cheseaux-sur-Lausanne</v>
      </c>
      <c r="C113" s="276">
        <v>0</v>
      </c>
      <c r="D113" s="249">
        <f>'B) D RI'!AA114</f>
        <v>4347</v>
      </c>
      <c r="E113" s="250">
        <f>'B) D RI'!S114</f>
        <v>74.5</v>
      </c>
      <c r="F113" s="14">
        <f>'B) D RI'!R114</f>
        <v>15169480.229999999</v>
      </c>
      <c r="G113" s="14">
        <f>'B) D RI'!U114</f>
        <v>203617.184295302</v>
      </c>
      <c r="H113" s="49">
        <f>'B) D RI'!T114</f>
        <v>14282803.029999999</v>
      </c>
      <c r="I113" s="14">
        <f t="shared" si="12"/>
        <v>383430.95382550335</v>
      </c>
      <c r="J113" s="39">
        <f t="shared" si="14"/>
        <v>377020.99870192137</v>
      </c>
      <c r="K113" s="14">
        <f t="shared" si="9"/>
        <v>377020.99870192137</v>
      </c>
      <c r="L113" s="14">
        <f t="shared" si="13"/>
        <v>0</v>
      </c>
      <c r="M113" s="14">
        <f>'D) Ecrêtage'!M112</f>
        <v>203617.184295302</v>
      </c>
      <c r="N113" s="14">
        <f t="shared" si="10"/>
        <v>265094.37939541007</v>
      </c>
      <c r="O113" s="66">
        <f t="shared" si="11"/>
        <v>642115.37809733138</v>
      </c>
      <c r="P113" s="251"/>
      <c r="Q113" s="252"/>
      <c r="R113" s="248"/>
      <c r="S113" s="248"/>
      <c r="T113" s="253"/>
    </row>
    <row r="114" spans="1:20" s="247" customFormat="1" x14ac:dyDescent="0.25">
      <c r="A114" s="369">
        <f>'A) Base RI'!A115</f>
        <v>5583</v>
      </c>
      <c r="B114" s="260" t="str">
        <f>'A) Base RI'!B115</f>
        <v>Crissier</v>
      </c>
      <c r="C114" s="276">
        <v>1</v>
      </c>
      <c r="D114" s="249">
        <f>'B) D RI'!AA115</f>
        <v>7636</v>
      </c>
      <c r="E114" s="250">
        <f>'B) D RI'!S115</f>
        <v>65</v>
      </c>
      <c r="F114" s="14">
        <f>'B) D RI'!R115</f>
        <v>20263179.360000003</v>
      </c>
      <c r="G114" s="14">
        <f>'B) D RI'!U115</f>
        <v>311741.22092307697</v>
      </c>
      <c r="H114" s="49">
        <f>'B) D RI'!T115</f>
        <v>17792553.460000005</v>
      </c>
      <c r="I114" s="14">
        <f t="shared" si="12"/>
        <v>547463.18338461558</v>
      </c>
      <c r="J114" s="39">
        <f t="shared" si="14"/>
        <v>662280.27285205235</v>
      </c>
      <c r="K114" s="14">
        <f t="shared" si="9"/>
        <v>0</v>
      </c>
      <c r="L114" s="14">
        <f t="shared" si="13"/>
        <v>662280.27285205235</v>
      </c>
      <c r="M114" s="14">
        <f>'D) Ecrêtage'!M113</f>
        <v>311741.22092307697</v>
      </c>
      <c r="N114" s="14">
        <f t="shared" si="10"/>
        <v>405863.80652783276</v>
      </c>
      <c r="O114" s="66">
        <f t="shared" si="11"/>
        <v>405863.80652783276</v>
      </c>
      <c r="P114" s="251"/>
      <c r="Q114" s="252"/>
      <c r="R114" s="248"/>
      <c r="S114" s="248"/>
      <c r="T114" s="253"/>
    </row>
    <row r="115" spans="1:20" s="247" customFormat="1" x14ac:dyDescent="0.25">
      <c r="A115" s="369">
        <f>'A) Base RI'!A116</f>
        <v>5584</v>
      </c>
      <c r="B115" s="260" t="str">
        <f>'A) Base RI'!B116</f>
        <v>Epalinges</v>
      </c>
      <c r="C115" s="276">
        <v>0</v>
      </c>
      <c r="D115" s="249">
        <f>'B) D RI'!AA116</f>
        <v>9297</v>
      </c>
      <c r="E115" s="250">
        <f>'B) D RI'!S116</f>
        <v>66</v>
      </c>
      <c r="F115" s="14">
        <f>'B) D RI'!R116</f>
        <v>30075705.66</v>
      </c>
      <c r="G115" s="14">
        <f>'B) D RI'!U116</f>
        <v>455692.51</v>
      </c>
      <c r="H115" s="49">
        <f>'B) D RI'!T116</f>
        <v>27880352.460000001</v>
      </c>
      <c r="I115" s="14">
        <f t="shared" si="12"/>
        <v>844859.16545454552</v>
      </c>
      <c r="J115" s="39">
        <f t="shared" si="14"/>
        <v>806340.97651984426</v>
      </c>
      <c r="K115" s="14">
        <f t="shared" si="9"/>
        <v>806340.97651984426</v>
      </c>
      <c r="L115" s="14">
        <f t="shared" si="13"/>
        <v>0</v>
      </c>
      <c r="M115" s="14">
        <f>'D) Ecrêtage'!M114</f>
        <v>455692.51</v>
      </c>
      <c r="N115" s="14">
        <f t="shared" si="10"/>
        <v>593277.64280636865</v>
      </c>
      <c r="O115" s="66">
        <f t="shared" si="11"/>
        <v>1399618.6193262129</v>
      </c>
      <c r="P115" s="251"/>
      <c r="Q115" s="252"/>
      <c r="R115" s="248"/>
      <c r="S115" s="248"/>
      <c r="T115" s="253"/>
    </row>
    <row r="116" spans="1:20" s="247" customFormat="1" x14ac:dyDescent="0.25">
      <c r="A116" s="369">
        <f>'A) Base RI'!A117</f>
        <v>5585</v>
      </c>
      <c r="B116" s="260" t="str">
        <f>'A) Base RI'!B117</f>
        <v>Jouxtens-Mézery</v>
      </c>
      <c r="C116" s="276">
        <v>0</v>
      </c>
      <c r="D116" s="249">
        <f>'B) D RI'!AA117</f>
        <v>1448</v>
      </c>
      <c r="E116" s="250">
        <f>'B) D RI'!S117</f>
        <v>53</v>
      </c>
      <c r="F116" s="14">
        <f>'B) D RI'!R117</f>
        <v>10681946.659999998</v>
      </c>
      <c r="G116" s="14">
        <f>'B) D RI'!U117</f>
        <v>201546.16339622639</v>
      </c>
      <c r="H116" s="49">
        <f>'B) D RI'!T117</f>
        <v>10193649.159999998</v>
      </c>
      <c r="I116" s="14">
        <f t="shared" si="12"/>
        <v>384666.00603773579</v>
      </c>
      <c r="J116" s="39">
        <f t="shared" si="14"/>
        <v>125586.93492532372</v>
      </c>
      <c r="K116" s="14">
        <f t="shared" si="9"/>
        <v>125586.93492532372</v>
      </c>
      <c r="L116" s="14">
        <f t="shared" si="13"/>
        <v>0</v>
      </c>
      <c r="M116" s="14">
        <f>'D) Ecrêtage'!M115</f>
        <v>171496.04356386178</v>
      </c>
      <c r="N116" s="14">
        <f t="shared" si="10"/>
        <v>223275.05114399668</v>
      </c>
      <c r="O116" s="66">
        <f t="shared" si="11"/>
        <v>348861.98606932041</v>
      </c>
      <c r="P116" s="251"/>
      <c r="Q116" s="252"/>
      <c r="R116" s="248"/>
      <c r="S116" s="248"/>
      <c r="T116" s="253"/>
    </row>
    <row r="117" spans="1:20" s="247" customFormat="1" x14ac:dyDescent="0.25">
      <c r="A117" s="369">
        <f>'A) Base RI'!A118</f>
        <v>5586</v>
      </c>
      <c r="B117" s="260" t="str">
        <f>'A) Base RI'!B118</f>
        <v>Lausanne</v>
      </c>
      <c r="C117" s="276">
        <v>1</v>
      </c>
      <c r="D117" s="249">
        <f>'B) D RI'!AA118</f>
        <v>137053</v>
      </c>
      <c r="E117" s="250">
        <f>'B) D RI'!S118</f>
        <v>79</v>
      </c>
      <c r="F117" s="14">
        <f>'B) D RI'!R118</f>
        <v>479958919.8033334</v>
      </c>
      <c r="G117" s="14">
        <f>'B) D RI'!U118</f>
        <v>6075429.3645991571</v>
      </c>
      <c r="H117" s="49">
        <f>'B) D RI'!T118</f>
        <v>451781731.07000005</v>
      </c>
      <c r="I117" s="14">
        <f t="shared" si="12"/>
        <v>11437512.178987343</v>
      </c>
      <c r="J117" s="39">
        <f t="shared" si="14"/>
        <v>11886786.04442016</v>
      </c>
      <c r="K117" s="14">
        <f t="shared" si="9"/>
        <v>0</v>
      </c>
      <c r="L117" s="14">
        <f t="shared" si="13"/>
        <v>11886786.04442016</v>
      </c>
      <c r="M117" s="14">
        <f>'D) Ecrêtage'!M116</f>
        <v>6075429.3645991571</v>
      </c>
      <c r="N117" s="14">
        <f t="shared" si="10"/>
        <v>7909755.6649899334</v>
      </c>
      <c r="O117" s="66">
        <f t="shared" si="11"/>
        <v>7909755.6649899334</v>
      </c>
      <c r="P117" s="251"/>
      <c r="Q117" s="252"/>
      <c r="R117" s="248"/>
      <c r="S117" s="248"/>
      <c r="T117" s="253"/>
    </row>
    <row r="118" spans="1:20" s="247" customFormat="1" x14ac:dyDescent="0.25">
      <c r="A118" s="369">
        <f>'A) Base RI'!A119</f>
        <v>5587</v>
      </c>
      <c r="B118" s="260" t="str">
        <f>'A) Base RI'!B119</f>
        <v>Le Mont-sur-Lausanne</v>
      </c>
      <c r="C118" s="276">
        <v>0</v>
      </c>
      <c r="D118" s="249">
        <f>'B) D RI'!AA119</f>
        <v>7881</v>
      </c>
      <c r="E118" s="250">
        <f>'B) D RI'!S119</f>
        <v>75</v>
      </c>
      <c r="F118" s="14">
        <f>'B) D RI'!R119</f>
        <v>31000785.205000002</v>
      </c>
      <c r="G118" s="14">
        <f>'B) D RI'!U119</f>
        <v>413343.80273333337</v>
      </c>
      <c r="H118" s="49">
        <f>'B) D RI'!T119</f>
        <v>28826056.330000002</v>
      </c>
      <c r="I118" s="14">
        <f t="shared" si="12"/>
        <v>768694.83546666673</v>
      </c>
      <c r="J118" s="39">
        <f t="shared" si="14"/>
        <v>683529.44347132335</v>
      </c>
      <c r="K118" s="14">
        <f t="shared" si="9"/>
        <v>683529.44347132335</v>
      </c>
      <c r="L118" s="14">
        <f t="shared" si="13"/>
        <v>0</v>
      </c>
      <c r="M118" s="14">
        <f>'D) Ecrêtage'!M117</f>
        <v>413343.80273333337</v>
      </c>
      <c r="N118" s="14">
        <f t="shared" si="10"/>
        <v>538142.78613939183</v>
      </c>
      <c r="O118" s="66">
        <f t="shared" si="11"/>
        <v>1221672.2296107151</v>
      </c>
      <c r="P118" s="251"/>
      <c r="Q118" s="252"/>
      <c r="R118" s="248"/>
      <c r="S118" s="248"/>
      <c r="T118" s="253"/>
    </row>
    <row r="119" spans="1:20" s="247" customFormat="1" x14ac:dyDescent="0.25">
      <c r="A119" s="369">
        <f>'A) Base RI'!A120</f>
        <v>5588</v>
      </c>
      <c r="B119" s="260" t="str">
        <f>'A) Base RI'!B120</f>
        <v>Paudex</v>
      </c>
      <c r="C119" s="276">
        <v>1</v>
      </c>
      <c r="D119" s="249">
        <f>'B) D RI'!AA120</f>
        <v>1473</v>
      </c>
      <c r="E119" s="250">
        <f>'B) D RI'!S120</f>
        <v>61.5</v>
      </c>
      <c r="F119" s="14">
        <f>'B) D RI'!R120</f>
        <v>9840035.4957142845</v>
      </c>
      <c r="G119" s="14">
        <f>'B) D RI'!U120</f>
        <v>160000.57716608592</v>
      </c>
      <c r="H119" s="49">
        <f>'B) D RI'!T120</f>
        <v>9248889.709999999</v>
      </c>
      <c r="I119" s="14">
        <f t="shared" si="12"/>
        <v>300776.90113821137</v>
      </c>
      <c r="J119" s="39">
        <f t="shared" si="14"/>
        <v>127755.21764157584</v>
      </c>
      <c r="K119" s="14">
        <f t="shared" si="9"/>
        <v>0</v>
      </c>
      <c r="L119" s="14">
        <f t="shared" si="13"/>
        <v>127755.21764157584</v>
      </c>
      <c r="M119" s="14">
        <f>'D) Ecrêtage'!M118</f>
        <v>142038.72572399248</v>
      </c>
      <c r="N119" s="14">
        <f t="shared" si="10"/>
        <v>184923.82151453526</v>
      </c>
      <c r="O119" s="66">
        <f t="shared" si="11"/>
        <v>184923.82151453526</v>
      </c>
      <c r="P119" s="251"/>
      <c r="Q119" s="252"/>
      <c r="R119" s="248"/>
      <c r="S119" s="248"/>
      <c r="T119" s="253"/>
    </row>
    <row r="120" spans="1:20" s="247" customFormat="1" x14ac:dyDescent="0.25">
      <c r="A120" s="369">
        <f>'A) Base RI'!A121</f>
        <v>5589</v>
      </c>
      <c r="B120" s="260" t="str">
        <f>'A) Base RI'!B121</f>
        <v>Prilly</v>
      </c>
      <c r="C120" s="276">
        <v>1</v>
      </c>
      <c r="D120" s="249">
        <f>'B) D RI'!AA121</f>
        <v>11871</v>
      </c>
      <c r="E120" s="250">
        <f>'B) D RI'!S121</f>
        <v>73.5</v>
      </c>
      <c r="F120" s="14">
        <f>'B) D RI'!R121</f>
        <v>32161706.080000002</v>
      </c>
      <c r="G120" s="14">
        <f>'B) D RI'!U121</f>
        <v>437574.2323809524</v>
      </c>
      <c r="H120" s="49">
        <f>'B) D RI'!T121</f>
        <v>29914250.23</v>
      </c>
      <c r="I120" s="14">
        <f t="shared" si="12"/>
        <v>813993.20353741501</v>
      </c>
      <c r="J120" s="39">
        <f t="shared" si="14"/>
        <v>1029587.3649851643</v>
      </c>
      <c r="K120" s="14">
        <f t="shared" si="9"/>
        <v>0</v>
      </c>
      <c r="L120" s="14">
        <f t="shared" si="13"/>
        <v>1029587.3649851643</v>
      </c>
      <c r="M120" s="14">
        <f>'D) Ecrêtage'!M119</f>
        <v>437574.2323809524</v>
      </c>
      <c r="N120" s="14">
        <f t="shared" si="10"/>
        <v>569688.99738944054</v>
      </c>
      <c r="O120" s="66">
        <f t="shared" si="11"/>
        <v>569688.99738944054</v>
      </c>
      <c r="P120" s="251"/>
      <c r="Q120" s="252"/>
      <c r="R120" s="248"/>
      <c r="S120" s="248"/>
      <c r="T120" s="253"/>
    </row>
    <row r="121" spans="1:20" s="247" customFormat="1" x14ac:dyDescent="0.25">
      <c r="A121" s="369">
        <f>'A) Base RI'!A122</f>
        <v>5590</v>
      </c>
      <c r="B121" s="260" t="str">
        <f>'A) Base RI'!B122</f>
        <v>Pully</v>
      </c>
      <c r="C121" s="276">
        <v>1</v>
      </c>
      <c r="D121" s="249">
        <f>'B) D RI'!AA122</f>
        <v>17979</v>
      </c>
      <c r="E121" s="250">
        <f>'B) D RI'!S122</f>
        <v>61</v>
      </c>
      <c r="F121" s="14">
        <f>'B) D RI'!R122</f>
        <v>86760191.425714284</v>
      </c>
      <c r="G121" s="14">
        <f>'B) D RI'!U122</f>
        <v>1422298.2200936768</v>
      </c>
      <c r="H121" s="49">
        <f>'B) D RI'!T122</f>
        <v>81877880.140000001</v>
      </c>
      <c r="I121" s="14">
        <f t="shared" si="12"/>
        <v>2684520.660327869</v>
      </c>
      <c r="J121" s="39">
        <f t="shared" si="14"/>
        <v>1559342.198219886</v>
      </c>
      <c r="K121" s="14">
        <f t="shared" si="9"/>
        <v>0</v>
      </c>
      <c r="L121" s="14">
        <f t="shared" si="13"/>
        <v>1559342.198219886</v>
      </c>
      <c r="M121" s="14">
        <f>'D) Ecrêtage'!M120</f>
        <v>1338969.9009013665</v>
      </c>
      <c r="N121" s="14">
        <f t="shared" si="10"/>
        <v>1743238.8928126988</v>
      </c>
      <c r="O121" s="66">
        <f t="shared" si="11"/>
        <v>1743238.8928126988</v>
      </c>
      <c r="P121" s="251"/>
      <c r="Q121" s="252"/>
      <c r="R121" s="248"/>
      <c r="S121" s="248"/>
      <c r="T121" s="253"/>
    </row>
    <row r="122" spans="1:20" s="247" customFormat="1" x14ac:dyDescent="0.25">
      <c r="A122" s="369">
        <f>'A) Base RI'!A123</f>
        <v>5591</v>
      </c>
      <c r="B122" s="260" t="str">
        <f>'A) Base RI'!B123</f>
        <v>Renens</v>
      </c>
      <c r="C122" s="276">
        <v>1</v>
      </c>
      <c r="D122" s="249">
        <f>'B) D RI'!AA123</f>
        <v>20323</v>
      </c>
      <c r="E122" s="250">
        <f>'B) D RI'!S123</f>
        <v>78.5</v>
      </c>
      <c r="F122" s="14">
        <f>'B) D RI'!R123</f>
        <v>41577298.147142857</v>
      </c>
      <c r="G122" s="14">
        <f>'B) D RI'!U123</f>
        <v>529647.11015468603</v>
      </c>
      <c r="H122" s="49">
        <f>'B) D RI'!T123</f>
        <v>37804162.039999999</v>
      </c>
      <c r="I122" s="14">
        <f t="shared" si="12"/>
        <v>963163.36407643312</v>
      </c>
      <c r="J122" s="39">
        <f t="shared" si="14"/>
        <v>1762640.3856956863</v>
      </c>
      <c r="K122" s="14">
        <f t="shared" si="9"/>
        <v>0</v>
      </c>
      <c r="L122" s="14">
        <f t="shared" si="13"/>
        <v>1762640.3856956863</v>
      </c>
      <c r="M122" s="14">
        <f>'D) Ecrêtage'!M121</f>
        <v>529647.11015468603</v>
      </c>
      <c r="N122" s="14">
        <f t="shared" si="10"/>
        <v>689561.01348204562</v>
      </c>
      <c r="O122" s="66">
        <f t="shared" si="11"/>
        <v>689561.01348204562</v>
      </c>
      <c r="P122" s="251"/>
      <c r="Q122" s="252"/>
      <c r="R122" s="248"/>
      <c r="S122" s="248"/>
      <c r="T122" s="253"/>
    </row>
    <row r="123" spans="1:20" s="247" customFormat="1" x14ac:dyDescent="0.25">
      <c r="A123" s="369">
        <f>'A) Base RI'!A124</f>
        <v>5592</v>
      </c>
      <c r="B123" s="260" t="str">
        <f>'A) Base RI'!B124</f>
        <v>Romanel-sur-Lausanne</v>
      </c>
      <c r="C123" s="276">
        <v>0</v>
      </c>
      <c r="D123" s="249">
        <f>'B) D RI'!AA124</f>
        <v>3352</v>
      </c>
      <c r="E123" s="250">
        <f>'B) D RI'!S124</f>
        <v>70</v>
      </c>
      <c r="F123" s="14">
        <f>'B) D RI'!R124</f>
        <v>8158916.0199999996</v>
      </c>
      <c r="G123" s="14">
        <f>'B) D RI'!U124</f>
        <v>116555.94314285714</v>
      </c>
      <c r="H123" s="49">
        <f>'B) D RI'!T124</f>
        <v>7268892.2699999996</v>
      </c>
      <c r="I123" s="14">
        <f t="shared" si="12"/>
        <v>207682.63628571428</v>
      </c>
      <c r="J123" s="39">
        <f t="shared" si="14"/>
        <v>290723.34659508639</v>
      </c>
      <c r="K123" s="14">
        <f t="shared" si="9"/>
        <v>207682.63628571428</v>
      </c>
      <c r="L123" s="14">
        <f t="shared" si="13"/>
        <v>83040.710309372109</v>
      </c>
      <c r="M123" s="14">
        <f>'D) Ecrêtage'!M122</f>
        <v>116555.94314285714</v>
      </c>
      <c r="N123" s="14">
        <f t="shared" si="10"/>
        <v>151747.14019957758</v>
      </c>
      <c r="O123" s="66">
        <f t="shared" si="11"/>
        <v>359429.77648529189</v>
      </c>
      <c r="P123" s="251"/>
      <c r="Q123" s="252"/>
      <c r="R123" s="248"/>
      <c r="S123" s="248"/>
      <c r="T123" s="253"/>
    </row>
    <row r="124" spans="1:20" s="247" customFormat="1" x14ac:dyDescent="0.25">
      <c r="A124" s="369">
        <f>'A) Base RI'!A125</f>
        <v>5601</v>
      </c>
      <c r="B124" s="260" t="str">
        <f>'A) Base RI'!B125</f>
        <v>Chexbres</v>
      </c>
      <c r="C124" s="276">
        <v>1</v>
      </c>
      <c r="D124" s="249">
        <f>'B) D RI'!AA125</f>
        <v>2235</v>
      </c>
      <c r="E124" s="250">
        <f>'B) D RI'!S125</f>
        <v>64</v>
      </c>
      <c r="F124" s="14">
        <f>'B) D RI'!R125</f>
        <v>6383754.2400000012</v>
      </c>
      <c r="G124" s="14">
        <f>'B) D RI'!U125</f>
        <v>99746.160000000018</v>
      </c>
      <c r="H124" s="49">
        <f>'B) D RI'!T125</f>
        <v>5959100.3400000008</v>
      </c>
      <c r="I124" s="14">
        <f t="shared" si="12"/>
        <v>186221.88562500002</v>
      </c>
      <c r="J124" s="39">
        <f t="shared" si="14"/>
        <v>193844.47483294096</v>
      </c>
      <c r="K124" s="14">
        <f t="shared" si="9"/>
        <v>0</v>
      </c>
      <c r="L124" s="14">
        <f t="shared" si="13"/>
        <v>193844.47483294096</v>
      </c>
      <c r="M124" s="14">
        <f>'D) Ecrêtage'!M123</f>
        <v>99746.160000000018</v>
      </c>
      <c r="N124" s="14">
        <f t="shared" si="10"/>
        <v>129862.05694666103</v>
      </c>
      <c r="O124" s="66">
        <f t="shared" si="11"/>
        <v>129862.05694666103</v>
      </c>
      <c r="P124" s="251"/>
      <c r="Q124" s="252"/>
      <c r="R124" s="248"/>
      <c r="S124" s="248"/>
      <c r="T124" s="253"/>
    </row>
    <row r="125" spans="1:20" s="247" customFormat="1" x14ac:dyDescent="0.25">
      <c r="A125" s="369">
        <f>'A) Base RI'!A126</f>
        <v>5604</v>
      </c>
      <c r="B125" s="260" t="str">
        <f>'A) Base RI'!B126</f>
        <v>Forel (Lavaux)</v>
      </c>
      <c r="C125" s="276">
        <v>0</v>
      </c>
      <c r="D125" s="249">
        <f>'B) D RI'!AA126</f>
        <v>2066</v>
      </c>
      <c r="E125" s="250">
        <f>'B) D RI'!S126</f>
        <v>68</v>
      </c>
      <c r="F125" s="14">
        <f>'B) D RI'!R126</f>
        <v>4844343.62</v>
      </c>
      <c r="G125" s="14">
        <f>'B) D RI'!U126</f>
        <v>71240.347352941171</v>
      </c>
      <c r="H125" s="49">
        <f>'B) D RI'!T126</f>
        <v>4476258.67</v>
      </c>
      <c r="I125" s="14">
        <f t="shared" si="12"/>
        <v>131654.66676470588</v>
      </c>
      <c r="J125" s="39">
        <f t="shared" si="14"/>
        <v>179186.8836710765</v>
      </c>
      <c r="K125" s="14">
        <f t="shared" si="9"/>
        <v>131654.66676470588</v>
      </c>
      <c r="L125" s="14">
        <f t="shared" si="13"/>
        <v>47532.216906370624</v>
      </c>
      <c r="M125" s="14">
        <f>'D) Ecrêtage'!M124</f>
        <v>71240.347352941171</v>
      </c>
      <c r="N125" s="14">
        <f t="shared" si="10"/>
        <v>92749.616073917612</v>
      </c>
      <c r="O125" s="66">
        <f t="shared" si="11"/>
        <v>224404.28283862351</v>
      </c>
      <c r="P125" s="251"/>
      <c r="Q125" s="252"/>
      <c r="R125" s="248"/>
      <c r="S125" s="248"/>
      <c r="T125" s="253"/>
    </row>
    <row r="126" spans="1:20" s="247" customFormat="1" x14ac:dyDescent="0.25">
      <c r="A126" s="369">
        <f>'A) Base RI'!A127</f>
        <v>5606</v>
      </c>
      <c r="B126" s="260" t="str">
        <f>'A) Base RI'!B127</f>
        <v>Lutry</v>
      </c>
      <c r="C126" s="276">
        <v>1</v>
      </c>
      <c r="D126" s="249">
        <f>'B) D RI'!AA127</f>
        <v>9888</v>
      </c>
      <c r="E126" s="250">
        <f>'B) D RI'!S127</f>
        <v>55.5</v>
      </c>
      <c r="F126" s="14">
        <f>'B) D RI'!R127</f>
        <v>42770984.954285719</v>
      </c>
      <c r="G126" s="14">
        <f>'B) D RI'!U127</f>
        <v>770648.37755469768</v>
      </c>
      <c r="H126" s="49">
        <f>'B) D RI'!T127</f>
        <v>39902097.740000002</v>
      </c>
      <c r="I126" s="14">
        <f t="shared" si="12"/>
        <v>1437913.4320720721</v>
      </c>
      <c r="J126" s="39">
        <f t="shared" si="14"/>
        <v>857599.17993204482</v>
      </c>
      <c r="K126" s="14">
        <f t="shared" si="9"/>
        <v>0</v>
      </c>
      <c r="L126" s="14">
        <f t="shared" si="13"/>
        <v>857599.17993204482</v>
      </c>
      <c r="M126" s="14">
        <f>'D) Ecrêtage'!M125</f>
        <v>727483.29787726386</v>
      </c>
      <c r="N126" s="14">
        <f t="shared" si="10"/>
        <v>947128.96673598257</v>
      </c>
      <c r="O126" s="66">
        <f t="shared" si="11"/>
        <v>947128.96673598257</v>
      </c>
      <c r="P126" s="251"/>
      <c r="Q126" s="252"/>
      <c r="R126" s="248"/>
      <c r="S126" s="248"/>
      <c r="T126" s="253"/>
    </row>
    <row r="127" spans="1:20" s="247" customFormat="1" x14ac:dyDescent="0.25">
      <c r="A127" s="369">
        <f>'A) Base RI'!A128</f>
        <v>5607</v>
      </c>
      <c r="B127" s="260" t="str">
        <f>'A) Base RI'!B128</f>
        <v>Puidoux</v>
      </c>
      <c r="C127" s="276">
        <v>1</v>
      </c>
      <c r="D127" s="249">
        <f>'B) D RI'!AA128</f>
        <v>2874</v>
      </c>
      <c r="E127" s="250">
        <f>'B) D RI'!S128</f>
        <v>70</v>
      </c>
      <c r="F127" s="14">
        <f>'B) D RI'!R128</f>
        <v>6800327.4456521748</v>
      </c>
      <c r="G127" s="14">
        <f>'B) D RI'!U128</f>
        <v>97147.534937888209</v>
      </c>
      <c r="H127" s="49">
        <f>'B) D RI'!T128</f>
        <v>6195959.7500000009</v>
      </c>
      <c r="I127" s="14">
        <f t="shared" si="12"/>
        <v>177027.42142857146</v>
      </c>
      <c r="J127" s="39">
        <f t="shared" si="14"/>
        <v>249265.78106034556</v>
      </c>
      <c r="K127" s="14">
        <f t="shared" si="9"/>
        <v>0</v>
      </c>
      <c r="L127" s="14">
        <f t="shared" si="13"/>
        <v>249265.78106034556</v>
      </c>
      <c r="M127" s="14">
        <f>'D) Ecrêtage'!M126</f>
        <v>97147.534937888209</v>
      </c>
      <c r="N127" s="14">
        <f t="shared" si="10"/>
        <v>126478.84103339697</v>
      </c>
      <c r="O127" s="66">
        <f t="shared" si="11"/>
        <v>126478.84103339697</v>
      </c>
      <c r="P127" s="251"/>
      <c r="Q127" s="252"/>
      <c r="R127" s="248"/>
      <c r="S127" s="248"/>
      <c r="T127" s="253"/>
    </row>
    <row r="128" spans="1:20" s="247" customFormat="1" x14ac:dyDescent="0.25">
      <c r="A128" s="369">
        <f>'A) Base RI'!A129</f>
        <v>5609</v>
      </c>
      <c r="B128" s="260" t="str">
        <f>'A) Base RI'!B129</f>
        <v>Rivaz</v>
      </c>
      <c r="C128" s="276">
        <v>1</v>
      </c>
      <c r="D128" s="249">
        <f>'B) D RI'!AA129</f>
        <v>357</v>
      </c>
      <c r="E128" s="250">
        <f>'B) D RI'!S129</f>
        <v>63.5</v>
      </c>
      <c r="F128" s="14">
        <f>'B) D RI'!R129</f>
        <v>1072445.8900000001</v>
      </c>
      <c r="G128" s="14">
        <f>'B) D RI'!U129</f>
        <v>16888.91165354331</v>
      </c>
      <c r="H128" s="49">
        <f>'B) D RI'!T129</f>
        <v>1022932.79</v>
      </c>
      <c r="I128" s="14">
        <f t="shared" si="12"/>
        <v>32218.355590551182</v>
      </c>
      <c r="J128" s="39">
        <f t="shared" si="14"/>
        <v>30963.0771880805</v>
      </c>
      <c r="K128" s="14">
        <f t="shared" si="9"/>
        <v>0</v>
      </c>
      <c r="L128" s="14">
        <f t="shared" si="13"/>
        <v>30963.0771880805</v>
      </c>
      <c r="M128" s="14">
        <f>'D) Ecrêtage'!M127</f>
        <v>16888.91165354331</v>
      </c>
      <c r="N128" s="14">
        <f t="shared" si="10"/>
        <v>21988.102669010699</v>
      </c>
      <c r="O128" s="66">
        <f t="shared" si="11"/>
        <v>21988.102669010699</v>
      </c>
      <c r="P128" s="251"/>
      <c r="Q128" s="252"/>
      <c r="R128" s="248"/>
      <c r="S128" s="248"/>
      <c r="T128" s="253"/>
    </row>
    <row r="129" spans="1:20" s="247" customFormat="1" x14ac:dyDescent="0.25">
      <c r="A129" s="369">
        <f>'A) Base RI'!A130</f>
        <v>5610</v>
      </c>
      <c r="B129" s="260" t="str">
        <f>'A) Base RI'!B130</f>
        <v>St-Saphorin (Lavaux)</v>
      </c>
      <c r="C129" s="276">
        <v>1</v>
      </c>
      <c r="D129" s="249">
        <f>'B) D RI'!AA130</f>
        <v>398</v>
      </c>
      <c r="E129" s="250">
        <f>'B) D RI'!S130</f>
        <v>67</v>
      </c>
      <c r="F129" s="14">
        <f>'B) D RI'!R130</f>
        <v>1340516.8500000001</v>
      </c>
      <c r="G129" s="14">
        <f>'B) D RI'!U130</f>
        <v>20007.714179104478</v>
      </c>
      <c r="H129" s="49">
        <f>'B) D RI'!T130</f>
        <v>1256044.3</v>
      </c>
      <c r="I129" s="14">
        <f t="shared" si="12"/>
        <v>37493.85970149254</v>
      </c>
      <c r="J129" s="39">
        <f t="shared" si="14"/>
        <v>34519.060842734005</v>
      </c>
      <c r="K129" s="14">
        <f t="shared" si="9"/>
        <v>0</v>
      </c>
      <c r="L129" s="14">
        <f t="shared" si="13"/>
        <v>34519.060842734005</v>
      </c>
      <c r="M129" s="14">
        <f>'D) Ecrêtage'!M128</f>
        <v>20007.714179104478</v>
      </c>
      <c r="N129" s="14">
        <f t="shared" si="10"/>
        <v>26048.550822401412</v>
      </c>
      <c r="O129" s="66">
        <f t="shared" si="11"/>
        <v>26048.550822401412</v>
      </c>
      <c r="P129" s="251"/>
      <c r="Q129" s="252"/>
      <c r="R129" s="248"/>
      <c r="S129" s="248"/>
      <c r="T129" s="253"/>
    </row>
    <row r="130" spans="1:20" s="247" customFormat="1" x14ac:dyDescent="0.25">
      <c r="A130" s="369">
        <f>'A) Base RI'!A131</f>
        <v>5611</v>
      </c>
      <c r="B130" s="260" t="str">
        <f>'A) Base RI'!B131</f>
        <v>Savigny</v>
      </c>
      <c r="C130" s="276">
        <v>1</v>
      </c>
      <c r="D130" s="249">
        <f>'B) D RI'!AA131</f>
        <v>3276</v>
      </c>
      <c r="E130" s="250">
        <f>'B) D RI'!S131</f>
        <v>69</v>
      </c>
      <c r="F130" s="14">
        <f>'B) D RI'!R131</f>
        <v>7972082.336666666</v>
      </c>
      <c r="G130" s="14">
        <f>'B) D RI'!U131</f>
        <v>115537.42516908211</v>
      </c>
      <c r="H130" s="49">
        <f>'B) D RI'!T131</f>
        <v>7342088.419999999</v>
      </c>
      <c r="I130" s="14">
        <f t="shared" si="12"/>
        <v>212814.15710144924</v>
      </c>
      <c r="J130" s="39">
        <f t="shared" si="14"/>
        <v>284131.76713767991</v>
      </c>
      <c r="K130" s="14">
        <f t="shared" si="9"/>
        <v>0</v>
      </c>
      <c r="L130" s="14">
        <f t="shared" si="13"/>
        <v>284131.76713767991</v>
      </c>
      <c r="M130" s="14">
        <f>'D) Ecrêtage'!M129</f>
        <v>115537.42516908211</v>
      </c>
      <c r="N130" s="14">
        <f t="shared" si="10"/>
        <v>150421.10580274896</v>
      </c>
      <c r="O130" s="66">
        <f t="shared" si="11"/>
        <v>150421.10580274896</v>
      </c>
      <c r="P130" s="251"/>
      <c r="Q130" s="252"/>
      <c r="R130" s="248"/>
      <c r="S130" s="248"/>
      <c r="T130" s="253"/>
    </row>
    <row r="131" spans="1:20" s="247" customFormat="1" x14ac:dyDescent="0.25">
      <c r="A131" s="369">
        <f>'A) Base RI'!A132</f>
        <v>5613</v>
      </c>
      <c r="B131" s="260" t="str">
        <f>'A) Base RI'!B132</f>
        <v>Bourg-en-Lavaux</v>
      </c>
      <c r="C131" s="276">
        <v>1</v>
      </c>
      <c r="D131" s="249">
        <f>'B) D RI'!AA132</f>
        <v>5296</v>
      </c>
      <c r="E131" s="250">
        <f>'B) D RI'!S132</f>
        <v>61</v>
      </c>
      <c r="F131" s="14">
        <f>'B) D RI'!R132</f>
        <v>18414200.120000001</v>
      </c>
      <c r="G131" s="14">
        <f>'B) D RI'!U132</f>
        <v>301872.13311475411</v>
      </c>
      <c r="H131" s="49">
        <f>'B) D RI'!T132</f>
        <v>17149107.52</v>
      </c>
      <c r="I131" s="14">
        <f t="shared" si="12"/>
        <v>562265.8203278688</v>
      </c>
      <c r="J131" s="39">
        <f t="shared" si="14"/>
        <v>459329.01061085251</v>
      </c>
      <c r="K131" s="14">
        <f t="shared" si="9"/>
        <v>0</v>
      </c>
      <c r="L131" s="14">
        <f t="shared" si="13"/>
        <v>459329.01061085251</v>
      </c>
      <c r="M131" s="14">
        <f>'D) Ecrêtage'!M130</f>
        <v>300841.30822927633</v>
      </c>
      <c r="N131" s="14">
        <f t="shared" si="10"/>
        <v>391672.93358639855</v>
      </c>
      <c r="O131" s="66">
        <f t="shared" si="11"/>
        <v>391672.93358639855</v>
      </c>
      <c r="P131" s="251"/>
      <c r="Q131" s="252"/>
      <c r="R131" s="248"/>
      <c r="S131" s="248"/>
      <c r="T131" s="253"/>
    </row>
    <row r="132" spans="1:20" s="247" customFormat="1" x14ac:dyDescent="0.25">
      <c r="A132" s="369">
        <f>'A) Base RI'!A133</f>
        <v>5621</v>
      </c>
      <c r="B132" s="260" t="str">
        <f>'A) Base RI'!B133</f>
        <v>Aclens</v>
      </c>
      <c r="C132" s="276">
        <v>0</v>
      </c>
      <c r="D132" s="249">
        <f>'B) D RI'!AA133</f>
        <v>521</v>
      </c>
      <c r="E132" s="250">
        <f>'B) D RI'!S133</f>
        <v>62</v>
      </c>
      <c r="F132" s="14">
        <f>'B) D RI'!R133</f>
        <v>1662846.5627272727</v>
      </c>
      <c r="G132" s="14">
        <f>'B) D RI'!U133</f>
        <v>26820.105850439882</v>
      </c>
      <c r="H132" s="49">
        <f>'B) D RI'!T133</f>
        <v>1369655.29</v>
      </c>
      <c r="I132" s="14">
        <f t="shared" si="12"/>
        <v>44182.428709677421</v>
      </c>
      <c r="J132" s="39">
        <f t="shared" si="14"/>
        <v>45187.011806694514</v>
      </c>
      <c r="K132" s="14">
        <f t="shared" si="9"/>
        <v>44182.428709677421</v>
      </c>
      <c r="L132" s="14">
        <f t="shared" si="13"/>
        <v>1004.5830970170937</v>
      </c>
      <c r="M132" s="14">
        <f>'D) Ecrêtage'!M131</f>
        <v>26820.105850439882</v>
      </c>
      <c r="N132" s="14">
        <f t="shared" si="10"/>
        <v>34917.776416308159</v>
      </c>
      <c r="O132" s="66">
        <f t="shared" si="11"/>
        <v>79100.20512598558</v>
      </c>
      <c r="P132" s="251"/>
      <c r="Q132" s="252"/>
      <c r="R132" s="248"/>
      <c r="S132" s="248"/>
      <c r="T132" s="253"/>
    </row>
    <row r="133" spans="1:20" s="247" customFormat="1" x14ac:dyDescent="0.25">
      <c r="A133" s="369">
        <f>'A) Base RI'!A134</f>
        <v>5622</v>
      </c>
      <c r="B133" s="260" t="str">
        <f>'A) Base RI'!B134</f>
        <v>Bremblens</v>
      </c>
      <c r="C133" s="276">
        <v>0</v>
      </c>
      <c r="D133" s="249">
        <f>'B) D RI'!AA134</f>
        <v>516</v>
      </c>
      <c r="E133" s="250">
        <f>'B) D RI'!S134</f>
        <v>66</v>
      </c>
      <c r="F133" s="14">
        <f>'B) D RI'!R134</f>
        <v>2156995.9299999997</v>
      </c>
      <c r="G133" s="14">
        <f>'B) D RI'!U134</f>
        <v>32681.756515151512</v>
      </c>
      <c r="H133" s="49">
        <f>'B) D RI'!T134</f>
        <v>2023163.4299999997</v>
      </c>
      <c r="I133" s="14">
        <f t="shared" si="12"/>
        <v>61307.98272727272</v>
      </c>
      <c r="J133" s="39">
        <f t="shared" si="14"/>
        <v>44753.355263444086</v>
      </c>
      <c r="K133" s="14">
        <f t="shared" si="9"/>
        <v>44753.355263444086</v>
      </c>
      <c r="L133" s="14">
        <f t="shared" si="13"/>
        <v>0</v>
      </c>
      <c r="M133" s="14">
        <f>'D) Ecrêtage'!M132</f>
        <v>31992.76732180336</v>
      </c>
      <c r="N133" s="14">
        <f t="shared" si="10"/>
        <v>41652.1956516953</v>
      </c>
      <c r="O133" s="66">
        <f t="shared" si="11"/>
        <v>86405.550915139378</v>
      </c>
      <c r="P133" s="251"/>
      <c r="Q133" s="252"/>
      <c r="R133" s="248"/>
      <c r="S133" s="248"/>
      <c r="T133" s="253"/>
    </row>
    <row r="134" spans="1:20" s="247" customFormat="1" x14ac:dyDescent="0.25">
      <c r="A134" s="369">
        <f>'A) Base RI'!A135</f>
        <v>5623</v>
      </c>
      <c r="B134" s="260" t="str">
        <f>'A) Base RI'!B135</f>
        <v>Buchillon</v>
      </c>
      <c r="C134" s="276">
        <v>1</v>
      </c>
      <c r="D134" s="249">
        <f>'B) D RI'!AA135</f>
        <v>609</v>
      </c>
      <c r="E134" s="250">
        <f>'B) D RI'!S135</f>
        <v>53</v>
      </c>
      <c r="F134" s="14">
        <f>'B) D RI'!R135</f>
        <v>4367327.74</v>
      </c>
      <c r="G134" s="14">
        <f>'B) D RI'!U135</f>
        <v>82402.410188679249</v>
      </c>
      <c r="H134" s="49">
        <f>'B) D RI'!T135</f>
        <v>4065844.8400000003</v>
      </c>
      <c r="I134" s="14">
        <f t="shared" si="12"/>
        <v>153428.10716981132</v>
      </c>
      <c r="J134" s="39">
        <f t="shared" ref="J134:J169" si="15">+$I$315/$D$315*D134</f>
        <v>52819.366967902031</v>
      </c>
      <c r="K134" s="14">
        <f t="shared" ref="K134:K192" si="16">IF(C134=1,0,IF(J134&gt;I134,I134,J134))</f>
        <v>0</v>
      </c>
      <c r="L134" s="14">
        <f t="shared" si="13"/>
        <v>52819.366967902031</v>
      </c>
      <c r="M134" s="14">
        <f>'D) Ecrêtage'!M133</f>
        <v>70425.818764312105</v>
      </c>
      <c r="N134" s="14">
        <f t="shared" ref="N134:N192" si="17">+$N$5*M134</f>
        <v>91689.160634217158</v>
      </c>
      <c r="O134" s="66">
        <f t="shared" ref="O134:O192" si="18">+N134+K134</f>
        <v>91689.160634217158</v>
      </c>
      <c r="P134" s="251"/>
      <c r="Q134" s="252"/>
      <c r="R134" s="248"/>
      <c r="S134" s="248"/>
      <c r="T134" s="253"/>
    </row>
    <row r="135" spans="1:20" s="247" customFormat="1" x14ac:dyDescent="0.25">
      <c r="A135" s="369">
        <f>'A) Base RI'!A136</f>
        <v>5624</v>
      </c>
      <c r="B135" s="260" t="str">
        <f>'A) Base RI'!B136</f>
        <v>Bussigny</v>
      </c>
      <c r="C135" s="276">
        <v>1</v>
      </c>
      <c r="D135" s="249">
        <f>'B) D RI'!AA136</f>
        <v>8227</v>
      </c>
      <c r="E135" s="250">
        <f>'B) D RI'!S136</f>
        <v>62</v>
      </c>
      <c r="F135" s="14">
        <f>'B) D RI'!R136</f>
        <v>20716068.259999998</v>
      </c>
      <c r="G135" s="14">
        <f>'B) D RI'!U136</f>
        <v>334130.13322580641</v>
      </c>
      <c r="H135" s="49">
        <f>'B) D RI'!T136</f>
        <v>18690711.459999997</v>
      </c>
      <c r="I135" s="14">
        <f t="shared" ref="I135:I193" si="19">+H135/E135*$I$5</f>
        <v>602926.17612903216</v>
      </c>
      <c r="J135" s="39">
        <f t="shared" si="15"/>
        <v>713538.47626425291</v>
      </c>
      <c r="K135" s="14">
        <f t="shared" si="16"/>
        <v>0</v>
      </c>
      <c r="L135" s="14">
        <f t="shared" ref="L135:L193" si="20">+J135-K135</f>
        <v>713538.47626425291</v>
      </c>
      <c r="M135" s="14">
        <f>'D) Ecrêtage'!M134</f>
        <v>334130.13322580641</v>
      </c>
      <c r="N135" s="14">
        <f t="shared" si="17"/>
        <v>435012.49961467291</v>
      </c>
      <c r="O135" s="66">
        <f t="shared" si="18"/>
        <v>435012.49961467291</v>
      </c>
      <c r="P135" s="251"/>
      <c r="Q135" s="252"/>
      <c r="R135" s="248"/>
      <c r="S135" s="248"/>
      <c r="T135" s="253"/>
    </row>
    <row r="136" spans="1:20" s="247" customFormat="1" x14ac:dyDescent="0.25">
      <c r="A136" s="369">
        <f>'A) Base RI'!A137</f>
        <v>5625</v>
      </c>
      <c r="B136" s="260" t="str">
        <f>'A) Base RI'!B137</f>
        <v>Bussy-Chardonney</v>
      </c>
      <c r="C136" s="276">
        <v>0</v>
      </c>
      <c r="D136" s="249">
        <f>'B) D RI'!AA137</f>
        <v>369</v>
      </c>
      <c r="E136" s="250">
        <f>'B) D RI'!S137</f>
        <v>78</v>
      </c>
      <c r="F136" s="14">
        <f>'B) D RI'!R137</f>
        <v>1072182.2533333334</v>
      </c>
      <c r="G136" s="14">
        <f>'B) D RI'!U137</f>
        <v>13745.926324786325</v>
      </c>
      <c r="H136" s="49">
        <f>'B) D RI'!T137</f>
        <v>981620.42000000016</v>
      </c>
      <c r="I136" s="14">
        <f t="shared" si="19"/>
        <v>25169.754358974362</v>
      </c>
      <c r="J136" s="39">
        <f t="shared" si="15"/>
        <v>32003.852891881528</v>
      </c>
      <c r="K136" s="14">
        <f t="shared" si="16"/>
        <v>25169.754358974362</v>
      </c>
      <c r="L136" s="14">
        <f t="shared" si="20"/>
        <v>6834.0985329071664</v>
      </c>
      <c r="M136" s="14">
        <f>'D) Ecrêtage'!M135</f>
        <v>13745.926324786325</v>
      </c>
      <c r="N136" s="14">
        <f t="shared" si="17"/>
        <v>17896.170310456146</v>
      </c>
      <c r="O136" s="66">
        <f t="shared" si="18"/>
        <v>43065.924669430504</v>
      </c>
      <c r="P136" s="251"/>
      <c r="Q136" s="252"/>
      <c r="R136" s="248"/>
      <c r="S136" s="248"/>
      <c r="T136" s="253"/>
    </row>
    <row r="137" spans="1:20" s="247" customFormat="1" x14ac:dyDescent="0.25">
      <c r="A137" s="369">
        <f>'A) Base RI'!A138</f>
        <v>5627</v>
      </c>
      <c r="B137" s="260" t="str">
        <f>'A) Base RI'!B138</f>
        <v>Chavannes-près-Renens</v>
      </c>
      <c r="C137" s="276">
        <v>1</v>
      </c>
      <c r="D137" s="249">
        <f>'B) D RI'!AA138</f>
        <v>7543</v>
      </c>
      <c r="E137" s="250">
        <f>'B) D RI'!S138</f>
        <v>79</v>
      </c>
      <c r="F137" s="14">
        <f>'B) D RI'!R138</f>
        <v>13569897.976666665</v>
      </c>
      <c r="G137" s="14">
        <f>'B) D RI'!U138</f>
        <v>171770.86046413501</v>
      </c>
      <c r="H137" s="49">
        <f>'B) D RI'!T138</f>
        <v>12533372.209999999</v>
      </c>
      <c r="I137" s="14">
        <f t="shared" si="19"/>
        <v>317300.56227848097</v>
      </c>
      <c r="J137" s="39">
        <f t="shared" si="15"/>
        <v>654214.26114759443</v>
      </c>
      <c r="K137" s="14">
        <f t="shared" si="16"/>
        <v>0</v>
      </c>
      <c r="L137" s="14">
        <f t="shared" si="20"/>
        <v>654214.26114759443</v>
      </c>
      <c r="M137" s="14">
        <f>'D) Ecrêtage'!M136</f>
        <v>171770.86046413501</v>
      </c>
      <c r="N137" s="14">
        <f t="shared" si="17"/>
        <v>223632.84224044779</v>
      </c>
      <c r="O137" s="66">
        <f t="shared" si="18"/>
        <v>223632.84224044779</v>
      </c>
      <c r="P137" s="251"/>
      <c r="Q137" s="252"/>
      <c r="R137" s="248"/>
      <c r="S137" s="248"/>
      <c r="T137" s="253"/>
    </row>
    <row r="138" spans="1:20" s="247" customFormat="1" x14ac:dyDescent="0.25">
      <c r="A138" s="369">
        <f>'A) Base RI'!A139</f>
        <v>5628</v>
      </c>
      <c r="B138" s="260" t="str">
        <f>'A) Base RI'!B139</f>
        <v>Chigny</v>
      </c>
      <c r="C138" s="276">
        <v>0</v>
      </c>
      <c r="D138" s="249">
        <f>'B) D RI'!AA139</f>
        <v>343</v>
      </c>
      <c r="E138" s="250">
        <f>'B) D RI'!S139</f>
        <v>62</v>
      </c>
      <c r="F138" s="14">
        <f>'B) D RI'!R139</f>
        <v>1200423.3374999999</v>
      </c>
      <c r="G138" s="14">
        <f>'B) D RI'!U139</f>
        <v>19361.666733870967</v>
      </c>
      <c r="H138" s="49">
        <f>'B) D RI'!T139</f>
        <v>1118198.1499999999</v>
      </c>
      <c r="I138" s="14">
        <f t="shared" si="19"/>
        <v>36070.908064516123</v>
      </c>
      <c r="J138" s="39">
        <f t="shared" si="15"/>
        <v>29748.838866979306</v>
      </c>
      <c r="K138" s="14">
        <f t="shared" si="16"/>
        <v>29748.838866979306</v>
      </c>
      <c r="L138" s="14">
        <f t="shared" si="20"/>
        <v>0</v>
      </c>
      <c r="M138" s="14">
        <f>'D) Ecrêtage'!M137</f>
        <v>19328.986012330468</v>
      </c>
      <c r="N138" s="14">
        <f t="shared" si="17"/>
        <v>25164.897398100071</v>
      </c>
      <c r="O138" s="66">
        <f t="shared" si="18"/>
        <v>54913.73626507938</v>
      </c>
      <c r="P138" s="251"/>
      <c r="Q138" s="252"/>
      <c r="R138" s="248"/>
      <c r="S138" s="248"/>
      <c r="T138" s="253"/>
    </row>
    <row r="139" spans="1:20" s="247" customFormat="1" x14ac:dyDescent="0.25">
      <c r="A139" s="369">
        <f>'A) Base RI'!A140</f>
        <v>5629</v>
      </c>
      <c r="B139" s="260" t="str">
        <f>'A) Base RI'!B140</f>
        <v>Clarmont</v>
      </c>
      <c r="C139" s="276">
        <v>0</v>
      </c>
      <c r="D139" s="249">
        <f>'B) D RI'!AA140</f>
        <v>175</v>
      </c>
      <c r="E139" s="250">
        <f>'B) D RI'!S140</f>
        <v>75</v>
      </c>
      <c r="F139" s="14">
        <f>'B) D RI'!R140</f>
        <v>565213.43999999994</v>
      </c>
      <c r="G139" s="14">
        <f>'B) D RI'!U140</f>
        <v>7536.1791999999996</v>
      </c>
      <c r="H139" s="49">
        <f>'B) D RI'!T140</f>
        <v>529057.34</v>
      </c>
      <c r="I139" s="14">
        <f t="shared" si="19"/>
        <v>14108.195733333332</v>
      </c>
      <c r="J139" s="39">
        <f t="shared" si="15"/>
        <v>15177.979013764952</v>
      </c>
      <c r="K139" s="14">
        <f t="shared" si="16"/>
        <v>14108.195733333332</v>
      </c>
      <c r="L139" s="14">
        <f t="shared" si="20"/>
        <v>1069.7832804316204</v>
      </c>
      <c r="M139" s="14">
        <f>'D) Ecrêtage'!M138</f>
        <v>7536.1791999999996</v>
      </c>
      <c r="N139" s="14">
        <f t="shared" si="17"/>
        <v>9811.5429449178009</v>
      </c>
      <c r="O139" s="66">
        <f t="shared" si="18"/>
        <v>23919.738678251131</v>
      </c>
      <c r="P139" s="251"/>
      <c r="Q139" s="252"/>
      <c r="R139" s="248"/>
      <c r="S139" s="248"/>
      <c r="T139" s="253"/>
    </row>
    <row r="140" spans="1:20" s="247" customFormat="1" x14ac:dyDescent="0.25">
      <c r="A140" s="369">
        <f>'A) Base RI'!A141</f>
        <v>5631</v>
      </c>
      <c r="B140" s="260" t="str">
        <f>'A) Base RI'!B141</f>
        <v>Denens</v>
      </c>
      <c r="C140" s="276">
        <v>0</v>
      </c>
      <c r="D140" s="249">
        <f>'B) D RI'!AA141</f>
        <v>769</v>
      </c>
      <c r="E140" s="250">
        <f>'B) D RI'!S141</f>
        <v>68</v>
      </c>
      <c r="F140" s="14">
        <f>'B) D RI'!R141</f>
        <v>2871091.6599999997</v>
      </c>
      <c r="G140" s="14">
        <f>'B) D RI'!U141</f>
        <v>42221.936176470583</v>
      </c>
      <c r="H140" s="49">
        <f>'B) D RI'!T141</f>
        <v>2686024.1599999997</v>
      </c>
      <c r="I140" s="14">
        <f t="shared" si="19"/>
        <v>79000.710588235292</v>
      </c>
      <c r="J140" s="39">
        <f t="shared" si="15"/>
        <v>66696.376351915707</v>
      </c>
      <c r="K140" s="14">
        <f t="shared" si="16"/>
        <v>66696.376351915707</v>
      </c>
      <c r="L140" s="14">
        <f t="shared" si="20"/>
        <v>0</v>
      </c>
      <c r="M140" s="14">
        <f>'D) Ecrêtage'!M139</f>
        <v>42221.936176470583</v>
      </c>
      <c r="N140" s="14">
        <f t="shared" si="17"/>
        <v>54969.810167600532</v>
      </c>
      <c r="O140" s="66">
        <f t="shared" si="18"/>
        <v>121666.18651951624</v>
      </c>
      <c r="P140" s="251"/>
      <c r="Q140" s="252"/>
      <c r="R140" s="248"/>
      <c r="S140" s="248"/>
      <c r="T140" s="253"/>
    </row>
    <row r="141" spans="1:20" s="247" customFormat="1" x14ac:dyDescent="0.25">
      <c r="A141" s="369">
        <f>'A) Base RI'!A142</f>
        <v>5632</v>
      </c>
      <c r="B141" s="260" t="str">
        <f>'A) Base RI'!B142</f>
        <v>Denges</v>
      </c>
      <c r="C141" s="276">
        <v>0</v>
      </c>
      <c r="D141" s="249">
        <f>'B) D RI'!AA142</f>
        <v>1624</v>
      </c>
      <c r="E141" s="250">
        <f>'B) D RI'!S142</f>
        <v>62</v>
      </c>
      <c r="F141" s="14">
        <f>'B) D RI'!R142</f>
        <v>4173224.1300000008</v>
      </c>
      <c r="G141" s="14">
        <f>'B) D RI'!U142</f>
        <v>67310.066612903232</v>
      </c>
      <c r="H141" s="49">
        <f>'B) D RI'!T142</f>
        <v>3814809.7300000009</v>
      </c>
      <c r="I141" s="14">
        <f t="shared" si="19"/>
        <v>123058.3783870968</v>
      </c>
      <c r="J141" s="39">
        <f t="shared" si="15"/>
        <v>140851.64524773875</v>
      </c>
      <c r="K141" s="14">
        <f t="shared" si="16"/>
        <v>123058.3783870968</v>
      </c>
      <c r="L141" s="14">
        <f t="shared" si="20"/>
        <v>17793.266860641947</v>
      </c>
      <c r="M141" s="14">
        <f>'D) Ecrêtage'!M140</f>
        <v>67310.066612903232</v>
      </c>
      <c r="N141" s="14">
        <f t="shared" si="17"/>
        <v>87632.68384034418</v>
      </c>
      <c r="O141" s="66">
        <f t="shared" si="18"/>
        <v>210691.062227441</v>
      </c>
      <c r="P141" s="251"/>
      <c r="Q141" s="252"/>
      <c r="R141" s="248"/>
      <c r="S141" s="248"/>
      <c r="T141" s="253"/>
    </row>
    <row r="142" spans="1:20" s="247" customFormat="1" x14ac:dyDescent="0.25">
      <c r="A142" s="369">
        <f>'A) Base RI'!A143</f>
        <v>5633</v>
      </c>
      <c r="B142" s="260" t="str">
        <f>'A) Base RI'!B143</f>
        <v>Echandens</v>
      </c>
      <c r="C142" s="276">
        <v>0</v>
      </c>
      <c r="D142" s="249">
        <f>'B) D RI'!AA143</f>
        <v>2731</v>
      </c>
      <c r="E142" s="250">
        <f>'B) D RI'!S143</f>
        <v>62</v>
      </c>
      <c r="F142" s="14">
        <f>'B) D RI'!R143</f>
        <v>8652375.6600000001</v>
      </c>
      <c r="G142" s="14">
        <f>'B) D RI'!U143</f>
        <v>139554.44612903227</v>
      </c>
      <c r="H142" s="49">
        <f>'B) D RI'!T143</f>
        <v>8062043.5599999996</v>
      </c>
      <c r="I142" s="14">
        <f t="shared" si="19"/>
        <v>260065.92129032256</v>
      </c>
      <c r="J142" s="39">
        <f t="shared" si="15"/>
        <v>236863.20392338332</v>
      </c>
      <c r="K142" s="14">
        <f t="shared" si="16"/>
        <v>236863.20392338332</v>
      </c>
      <c r="L142" s="14">
        <f t="shared" si="20"/>
        <v>0</v>
      </c>
      <c r="M142" s="14">
        <f>'D) Ecrêtage'!M141</f>
        <v>139554.44612903227</v>
      </c>
      <c r="N142" s="14">
        <f t="shared" si="17"/>
        <v>181689.47486668284</v>
      </c>
      <c r="O142" s="66">
        <f t="shared" si="18"/>
        <v>418552.67879006616</v>
      </c>
      <c r="P142" s="251"/>
      <c r="Q142" s="252"/>
      <c r="R142" s="248"/>
      <c r="S142" s="248"/>
      <c r="T142" s="253"/>
    </row>
    <row r="143" spans="1:20" s="247" customFormat="1" x14ac:dyDescent="0.25">
      <c r="A143" s="369">
        <f>'A) Base RI'!A144</f>
        <v>5634</v>
      </c>
      <c r="B143" s="260" t="str">
        <f>'A) Base RI'!B144</f>
        <v>Echichens</v>
      </c>
      <c r="C143" s="276">
        <v>0</v>
      </c>
      <c r="D143" s="249">
        <f>'B) D RI'!AA144</f>
        <v>2639</v>
      </c>
      <c r="E143" s="250">
        <f>'B) D RI'!S144</f>
        <v>68</v>
      </c>
      <c r="F143" s="14">
        <f>'B) D RI'!R144</f>
        <v>8547546.6400000006</v>
      </c>
      <c r="G143" s="14">
        <f>'B) D RI'!U144</f>
        <v>125699.21529411766</v>
      </c>
      <c r="H143" s="49">
        <f>'B) D RI'!T144</f>
        <v>8037328.9900000002</v>
      </c>
      <c r="I143" s="14">
        <f t="shared" si="19"/>
        <v>236392.02911764706</v>
      </c>
      <c r="J143" s="39">
        <f t="shared" si="15"/>
        <v>228883.92352757548</v>
      </c>
      <c r="K143" s="14">
        <f t="shared" si="16"/>
        <v>228883.92352757548</v>
      </c>
      <c r="L143" s="14">
        <f t="shared" si="20"/>
        <v>0</v>
      </c>
      <c r="M143" s="14">
        <f>'D) Ecrêtage'!M142</f>
        <v>125699.21529411766</v>
      </c>
      <c r="N143" s="14">
        <f t="shared" si="17"/>
        <v>163650.99824068727</v>
      </c>
      <c r="O143" s="66">
        <f t="shared" si="18"/>
        <v>392534.92176826275</v>
      </c>
      <c r="P143" s="251"/>
      <c r="Q143" s="252"/>
      <c r="R143" s="248"/>
      <c r="S143" s="248"/>
      <c r="T143" s="253"/>
    </row>
    <row r="144" spans="1:20" s="247" customFormat="1" x14ac:dyDescent="0.25">
      <c r="A144" s="369">
        <f>'A) Base RI'!A145</f>
        <v>5635</v>
      </c>
      <c r="B144" s="260" t="str">
        <f>'A) Base RI'!B145</f>
        <v>Ecublens</v>
      </c>
      <c r="C144" s="276">
        <v>1</v>
      </c>
      <c r="D144" s="249">
        <f>'B) D RI'!AA145</f>
        <v>12340</v>
      </c>
      <c r="E144" s="250">
        <f>'B) D RI'!S145</f>
        <v>62</v>
      </c>
      <c r="F144" s="14">
        <f>'B) D RI'!R145</f>
        <v>26321685.318947371</v>
      </c>
      <c r="G144" s="14">
        <f>'B) D RI'!U145</f>
        <v>424543.31159592536</v>
      </c>
      <c r="H144" s="49">
        <f>'B) D RI'!T145</f>
        <v>23774223.240000002</v>
      </c>
      <c r="I144" s="14">
        <f t="shared" si="19"/>
        <v>766910.42709677422</v>
      </c>
      <c r="J144" s="39">
        <f t="shared" si="15"/>
        <v>1070264.3487420543</v>
      </c>
      <c r="K144" s="14">
        <f t="shared" si="16"/>
        <v>0</v>
      </c>
      <c r="L144" s="14">
        <f t="shared" si="20"/>
        <v>1070264.3487420543</v>
      </c>
      <c r="M144" s="14">
        <f>'D) Ecrêtage'!M143</f>
        <v>424543.31159592536</v>
      </c>
      <c r="N144" s="14">
        <f t="shared" si="17"/>
        <v>552723.71093578043</v>
      </c>
      <c r="O144" s="66">
        <f t="shared" si="18"/>
        <v>552723.71093578043</v>
      </c>
      <c r="P144" s="251"/>
      <c r="Q144" s="252"/>
      <c r="R144" s="248"/>
      <c r="S144" s="248"/>
      <c r="T144" s="253"/>
    </row>
    <row r="145" spans="1:20" s="247" customFormat="1" x14ac:dyDescent="0.25">
      <c r="A145" s="369">
        <f>'A) Base RI'!A146</f>
        <v>5636</v>
      </c>
      <c r="B145" s="260" t="str">
        <f>'A) Base RI'!B146</f>
        <v>Etoy</v>
      </c>
      <c r="C145" s="276">
        <v>0</v>
      </c>
      <c r="D145" s="249">
        <f>'B) D RI'!AA146</f>
        <v>2906</v>
      </c>
      <c r="E145" s="250">
        <f>'B) D RI'!S146</f>
        <v>61</v>
      </c>
      <c r="F145" s="14">
        <f>'B) D RI'!R146</f>
        <v>9202144.9199999999</v>
      </c>
      <c r="G145" s="14">
        <f>'B) D RI'!U146</f>
        <v>150854.83475409835</v>
      </c>
      <c r="H145" s="49">
        <f>'B) D RI'!T146</f>
        <v>8061443.9199999999</v>
      </c>
      <c r="I145" s="14">
        <f t="shared" si="19"/>
        <v>264309.63672131149</v>
      </c>
      <c r="J145" s="39">
        <f t="shared" si="15"/>
        <v>252041.18293714829</v>
      </c>
      <c r="K145" s="14">
        <f t="shared" si="16"/>
        <v>252041.18293714829</v>
      </c>
      <c r="L145" s="14">
        <f t="shared" si="20"/>
        <v>0</v>
      </c>
      <c r="M145" s="14">
        <f>'D) Ecrêtage'!M144</f>
        <v>150854.83475409835</v>
      </c>
      <c r="N145" s="14">
        <f t="shared" si="17"/>
        <v>196401.73758584648</v>
      </c>
      <c r="O145" s="66">
        <f t="shared" si="18"/>
        <v>448442.92052299477</v>
      </c>
      <c r="P145" s="251"/>
      <c r="Q145" s="252"/>
      <c r="R145" s="248"/>
      <c r="S145" s="248"/>
      <c r="T145" s="253"/>
    </row>
    <row r="146" spans="1:20" s="247" customFormat="1" x14ac:dyDescent="0.25">
      <c r="A146" s="369">
        <f>'A) Base RI'!A147</f>
        <v>5637</v>
      </c>
      <c r="B146" s="260" t="str">
        <f>'A) Base RI'!B147</f>
        <v>Lavigny</v>
      </c>
      <c r="C146" s="276">
        <v>0</v>
      </c>
      <c r="D146" s="249">
        <f>'B) D RI'!AA147</f>
        <v>1006</v>
      </c>
      <c r="E146" s="250">
        <f>'B) D RI'!S147</f>
        <v>74.5</v>
      </c>
      <c r="F146" s="14">
        <f>'B) D RI'!R147</f>
        <v>2666266.3166666673</v>
      </c>
      <c r="G146" s="14">
        <f>'B) D RI'!U147</f>
        <v>35788.809619686814</v>
      </c>
      <c r="H146" s="49">
        <f>'B) D RI'!T147</f>
        <v>2487431.7500000005</v>
      </c>
      <c r="I146" s="14">
        <f t="shared" si="19"/>
        <v>66776.691275167803</v>
      </c>
      <c r="J146" s="39">
        <f t="shared" si="15"/>
        <v>87251.696501985949</v>
      </c>
      <c r="K146" s="14">
        <f t="shared" si="16"/>
        <v>66776.691275167803</v>
      </c>
      <c r="L146" s="14">
        <f t="shared" si="20"/>
        <v>20475.005226818146</v>
      </c>
      <c r="M146" s="14">
        <f>'D) Ecrêtage'!M145</f>
        <v>35788.809619686814</v>
      </c>
      <c r="N146" s="14">
        <f t="shared" si="17"/>
        <v>46594.3594508799</v>
      </c>
      <c r="O146" s="66">
        <f t="shared" si="18"/>
        <v>113371.0507260477</v>
      </c>
      <c r="P146" s="251"/>
      <c r="Q146" s="252"/>
      <c r="R146" s="248"/>
      <c r="S146" s="248"/>
      <c r="T146" s="253"/>
    </row>
    <row r="147" spans="1:20" s="247" customFormat="1" x14ac:dyDescent="0.25">
      <c r="A147" s="369">
        <f>'A) Base RI'!A148</f>
        <v>5638</v>
      </c>
      <c r="B147" s="260" t="str">
        <f>'A) Base RI'!B148</f>
        <v>Lonay</v>
      </c>
      <c r="C147" s="276">
        <v>0</v>
      </c>
      <c r="D147" s="249">
        <f>'B) D RI'!AA148</f>
        <v>2530</v>
      </c>
      <c r="E147" s="250">
        <f>'B) D RI'!S148</f>
        <v>55</v>
      </c>
      <c r="F147" s="14">
        <f>'B) D RI'!R148</f>
        <v>8298086.6200000001</v>
      </c>
      <c r="G147" s="14">
        <f>'B) D RI'!U148</f>
        <v>150874.30218181817</v>
      </c>
      <c r="H147" s="49">
        <f>'B) D RI'!T148</f>
        <v>7664388.4699999997</v>
      </c>
      <c r="I147" s="14">
        <f t="shared" si="19"/>
        <v>278705.03527272725</v>
      </c>
      <c r="J147" s="39">
        <f t="shared" si="15"/>
        <v>219430.21088471616</v>
      </c>
      <c r="K147" s="14">
        <f t="shared" si="16"/>
        <v>219430.21088471616</v>
      </c>
      <c r="L147" s="14">
        <f t="shared" si="20"/>
        <v>0</v>
      </c>
      <c r="M147" s="14">
        <f>'D) Ecrêtage'!M146</f>
        <v>149182.29456782961</v>
      </c>
      <c r="N147" s="14">
        <f t="shared" si="17"/>
        <v>194224.21507355318</v>
      </c>
      <c r="O147" s="66">
        <f t="shared" si="18"/>
        <v>413654.42595826933</v>
      </c>
      <c r="P147" s="251"/>
      <c r="Q147" s="252"/>
      <c r="R147" s="248"/>
      <c r="S147" s="248"/>
      <c r="T147" s="253"/>
    </row>
    <row r="148" spans="1:20" s="247" customFormat="1" x14ac:dyDescent="0.25">
      <c r="A148" s="369">
        <f>'A) Base RI'!A149</f>
        <v>5639</v>
      </c>
      <c r="B148" s="260" t="str">
        <f>'A) Base RI'!B149</f>
        <v>Lully</v>
      </c>
      <c r="C148" s="276">
        <v>0</v>
      </c>
      <c r="D148" s="249">
        <f>'B) D RI'!AA149</f>
        <v>785</v>
      </c>
      <c r="E148" s="250">
        <f>'B) D RI'!S149</f>
        <v>61</v>
      </c>
      <c r="F148" s="14">
        <f>'B) D RI'!R149</f>
        <v>2545146.04</v>
      </c>
      <c r="G148" s="14">
        <f>'B) D RI'!U149</f>
        <v>41723.705573770494</v>
      </c>
      <c r="H148" s="49">
        <f>'B) D RI'!T149</f>
        <v>2361491.16</v>
      </c>
      <c r="I148" s="14">
        <f t="shared" si="19"/>
        <v>77425.93967213115</v>
      </c>
      <c r="J148" s="39">
        <f t="shared" si="15"/>
        <v>68084.077290317073</v>
      </c>
      <c r="K148" s="14">
        <f t="shared" si="16"/>
        <v>68084.077290317073</v>
      </c>
      <c r="L148" s="14">
        <f t="shared" si="20"/>
        <v>0</v>
      </c>
      <c r="M148" s="14">
        <f>'D) Ecrêtage'!M147</f>
        <v>41723.705573770494</v>
      </c>
      <c r="N148" s="14">
        <f t="shared" si="17"/>
        <v>54321.151102425414</v>
      </c>
      <c r="O148" s="66">
        <f t="shared" si="18"/>
        <v>122405.22839274249</v>
      </c>
      <c r="P148" s="251"/>
      <c r="Q148" s="252"/>
      <c r="R148" s="248"/>
      <c r="S148" s="248"/>
      <c r="T148" s="253"/>
    </row>
    <row r="149" spans="1:20" s="247" customFormat="1" x14ac:dyDescent="0.25">
      <c r="A149" s="369">
        <f>'A) Base RI'!A150</f>
        <v>5640</v>
      </c>
      <c r="B149" s="260" t="str">
        <f>'A) Base RI'!B150</f>
        <v>Lussy-sur-Morges</v>
      </c>
      <c r="C149" s="276">
        <v>1</v>
      </c>
      <c r="D149" s="249">
        <f>'B) D RI'!AA150</f>
        <v>644</v>
      </c>
      <c r="E149" s="250">
        <f>'B) D RI'!S150</f>
        <v>66</v>
      </c>
      <c r="F149" s="14">
        <f>'B) D RI'!R150</f>
        <v>3575587.4599999995</v>
      </c>
      <c r="G149" s="14">
        <f>'B) D RI'!U150</f>
        <v>54175.567575757566</v>
      </c>
      <c r="H149" s="49">
        <f>'B) D RI'!T150</f>
        <v>3398321.3099999996</v>
      </c>
      <c r="I149" s="14">
        <f t="shared" si="19"/>
        <v>102979.43363636362</v>
      </c>
      <c r="J149" s="39">
        <f t="shared" si="15"/>
        <v>55854.962770655024</v>
      </c>
      <c r="K149" s="14">
        <f t="shared" si="16"/>
        <v>0</v>
      </c>
      <c r="L149" s="14">
        <f t="shared" si="20"/>
        <v>55854.962770655024</v>
      </c>
      <c r="M149" s="14">
        <f>'D) Ecrêtage'!M148</f>
        <v>50448.007256951299</v>
      </c>
      <c r="N149" s="14">
        <f t="shared" si="17"/>
        <v>65679.540858994253</v>
      </c>
      <c r="O149" s="66">
        <f t="shared" si="18"/>
        <v>65679.540858994253</v>
      </c>
      <c r="P149" s="251"/>
      <c r="Q149" s="252"/>
      <c r="R149" s="248"/>
      <c r="S149" s="248"/>
      <c r="T149" s="253"/>
    </row>
    <row r="150" spans="1:20" s="247" customFormat="1" x14ac:dyDescent="0.25">
      <c r="A150" s="369">
        <f>'A) Base RI'!A151</f>
        <v>5642</v>
      </c>
      <c r="B150" s="260" t="str">
        <f>'A) Base RI'!B151</f>
        <v>Morges</v>
      </c>
      <c r="C150" s="276">
        <v>1</v>
      </c>
      <c r="D150" s="249">
        <f>'B) D RI'!AA151</f>
        <v>15819</v>
      </c>
      <c r="E150" s="250">
        <f>'B) D RI'!S151</f>
        <v>68.5</v>
      </c>
      <c r="F150" s="14">
        <f>'B) D RI'!R151</f>
        <v>53551835.219999991</v>
      </c>
      <c r="G150" s="14">
        <f>'B) D RI'!U151</f>
        <v>781778.61635036487</v>
      </c>
      <c r="H150" s="49">
        <f>'B) D RI'!T151</f>
        <v>50133007.569999993</v>
      </c>
      <c r="I150" s="14">
        <f t="shared" si="19"/>
        <v>1463737.44729927</v>
      </c>
      <c r="J150" s="39">
        <f t="shared" si="15"/>
        <v>1372002.5715357016</v>
      </c>
      <c r="K150" s="14">
        <f t="shared" si="16"/>
        <v>0</v>
      </c>
      <c r="L150" s="14">
        <f t="shared" si="20"/>
        <v>1372002.5715357016</v>
      </c>
      <c r="M150" s="14">
        <f>'D) Ecrêtage'!M149</f>
        <v>781778.61635036487</v>
      </c>
      <c r="N150" s="14">
        <f t="shared" si="17"/>
        <v>1017817.4196998955</v>
      </c>
      <c r="O150" s="66">
        <f t="shared" si="18"/>
        <v>1017817.4196998955</v>
      </c>
      <c r="P150" s="251"/>
      <c r="Q150" s="252"/>
      <c r="R150" s="248"/>
      <c r="S150" s="248"/>
      <c r="T150" s="253"/>
    </row>
    <row r="151" spans="1:20" s="247" customFormat="1" x14ac:dyDescent="0.25">
      <c r="A151" s="369">
        <f>'A) Base RI'!A152</f>
        <v>5643</v>
      </c>
      <c r="B151" s="260" t="str">
        <f>'A) Base RI'!B152</f>
        <v>Préverenges</v>
      </c>
      <c r="C151" s="276">
        <v>1</v>
      </c>
      <c r="D151" s="249">
        <f>'B) D RI'!AA152</f>
        <v>5276</v>
      </c>
      <c r="E151" s="250">
        <f>'B) D RI'!S152</f>
        <v>64</v>
      </c>
      <c r="F151" s="14">
        <f>'B) D RI'!R152</f>
        <v>16817914.829999998</v>
      </c>
      <c r="G151" s="14">
        <f>'B) D RI'!U152</f>
        <v>262779.91921874997</v>
      </c>
      <c r="H151" s="49">
        <f>'B) D RI'!T152</f>
        <v>15651108.179999998</v>
      </c>
      <c r="I151" s="14">
        <f t="shared" si="19"/>
        <v>489097.13062499993</v>
      </c>
      <c r="J151" s="39">
        <f t="shared" si="15"/>
        <v>457594.38443785079</v>
      </c>
      <c r="K151" s="14">
        <f t="shared" si="16"/>
        <v>0</v>
      </c>
      <c r="L151" s="14">
        <f t="shared" si="20"/>
        <v>457594.38443785079</v>
      </c>
      <c r="M151" s="14">
        <f>'D) Ecrêtage'!M150</f>
        <v>262779.91921874997</v>
      </c>
      <c r="N151" s="14">
        <f t="shared" si="17"/>
        <v>342119.84535569377</v>
      </c>
      <c r="O151" s="66">
        <f t="shared" si="18"/>
        <v>342119.84535569377</v>
      </c>
      <c r="P151" s="251"/>
      <c r="Q151" s="252"/>
      <c r="R151" s="248"/>
      <c r="S151" s="248"/>
      <c r="T151" s="253"/>
    </row>
    <row r="152" spans="1:20" s="247" customFormat="1" x14ac:dyDescent="0.25">
      <c r="A152" s="369">
        <f>'A) Base RI'!A153</f>
        <v>5644</v>
      </c>
      <c r="B152" s="260" t="str">
        <f>'A) Base RI'!B153</f>
        <v>Reverolle</v>
      </c>
      <c r="C152" s="276">
        <v>0</v>
      </c>
      <c r="D152" s="249">
        <f>'B) D RI'!AA153</f>
        <v>368</v>
      </c>
      <c r="E152" s="250">
        <f>'B) D RI'!S153</f>
        <v>76</v>
      </c>
      <c r="F152" s="14">
        <f>'B) D RI'!R153</f>
        <v>1073793.3799999999</v>
      </c>
      <c r="G152" s="14">
        <f>'B) D RI'!U153</f>
        <v>14128.860263157892</v>
      </c>
      <c r="H152" s="49">
        <f>'B) D RI'!T153</f>
        <v>1008413.63</v>
      </c>
      <c r="I152" s="14">
        <f t="shared" si="19"/>
        <v>26537.200789473685</v>
      </c>
      <c r="J152" s="39">
        <f t="shared" si="15"/>
        <v>31917.121583231441</v>
      </c>
      <c r="K152" s="14">
        <f t="shared" si="16"/>
        <v>26537.200789473685</v>
      </c>
      <c r="L152" s="14">
        <f t="shared" si="20"/>
        <v>5379.9207937577557</v>
      </c>
      <c r="M152" s="14">
        <f>'D) Ecrêtage'!M151</f>
        <v>14128.860263157892</v>
      </c>
      <c r="N152" s="14">
        <f t="shared" si="17"/>
        <v>18394.721722476595</v>
      </c>
      <c r="O152" s="66">
        <f t="shared" si="18"/>
        <v>44931.922511950281</v>
      </c>
      <c r="P152" s="251"/>
      <c r="Q152" s="252"/>
      <c r="R152" s="248"/>
      <c r="S152" s="248"/>
      <c r="T152" s="253"/>
    </row>
    <row r="153" spans="1:20" s="247" customFormat="1" x14ac:dyDescent="0.25">
      <c r="A153" s="369">
        <f>'A) Base RI'!A154</f>
        <v>5645</v>
      </c>
      <c r="B153" s="260" t="str">
        <f>'A) Base RI'!B154</f>
        <v>Romanel-sur-Morges</v>
      </c>
      <c r="C153" s="276">
        <v>0</v>
      </c>
      <c r="D153" s="249">
        <f>'B) D RI'!AA154</f>
        <v>477</v>
      </c>
      <c r="E153" s="250">
        <f>'B) D RI'!S154</f>
        <v>56</v>
      </c>
      <c r="F153" s="14">
        <f>'B) D RI'!R154</f>
        <v>1475929.5375000001</v>
      </c>
      <c r="G153" s="14">
        <f>'B) D RI'!U154</f>
        <v>26355.884598214288</v>
      </c>
      <c r="H153" s="49">
        <f>'B) D RI'!T154</f>
        <v>1323462.3500000001</v>
      </c>
      <c r="I153" s="14">
        <f t="shared" si="19"/>
        <v>47266.512500000004</v>
      </c>
      <c r="J153" s="39">
        <f t="shared" si="15"/>
        <v>41370.834226090752</v>
      </c>
      <c r="K153" s="14">
        <f t="shared" si="16"/>
        <v>41370.834226090752</v>
      </c>
      <c r="L153" s="14">
        <f t="shared" si="20"/>
        <v>0</v>
      </c>
      <c r="M153" s="14">
        <f>'D) Ecrêtage'!M152</f>
        <v>26355.884598214288</v>
      </c>
      <c r="N153" s="14">
        <f t="shared" si="17"/>
        <v>34313.394987565734</v>
      </c>
      <c r="O153" s="66">
        <f t="shared" si="18"/>
        <v>75684.229213656479</v>
      </c>
      <c r="P153" s="251"/>
      <c r="Q153" s="252"/>
      <c r="R153" s="248"/>
      <c r="S153" s="248"/>
      <c r="T153" s="253"/>
    </row>
    <row r="154" spans="1:20" s="247" customFormat="1" x14ac:dyDescent="0.25">
      <c r="A154" s="369">
        <f>'A) Base RI'!A155</f>
        <v>5646</v>
      </c>
      <c r="B154" s="260" t="str">
        <f>'A) Base RI'!B155</f>
        <v>Saint-Prex</v>
      </c>
      <c r="C154" s="276">
        <v>1</v>
      </c>
      <c r="D154" s="249">
        <f>'B) D RI'!AA155</f>
        <v>5661</v>
      </c>
      <c r="E154" s="250">
        <f>'B) D RI'!S155</f>
        <v>55</v>
      </c>
      <c r="F154" s="14">
        <f>'B) D RI'!R155</f>
        <v>29137712.27</v>
      </c>
      <c r="G154" s="14">
        <f>'B) D RI'!U155</f>
        <v>529776.58672727272</v>
      </c>
      <c r="H154" s="49">
        <f>'B) D RI'!T155</f>
        <v>27563102.57</v>
      </c>
      <c r="I154" s="14">
        <f t="shared" si="19"/>
        <v>1002294.6389090909</v>
      </c>
      <c r="J154" s="39">
        <f t="shared" si="15"/>
        <v>490985.93826813367</v>
      </c>
      <c r="K154" s="14">
        <f t="shared" si="16"/>
        <v>0</v>
      </c>
      <c r="L154" s="14">
        <f t="shared" si="20"/>
        <v>490985.93826813367</v>
      </c>
      <c r="M154" s="14">
        <f>'D) Ecrêtage'!M153</f>
        <v>484583.52386979276</v>
      </c>
      <c r="N154" s="14">
        <f t="shared" si="17"/>
        <v>630891.5869261804</v>
      </c>
      <c r="O154" s="66">
        <f t="shared" si="18"/>
        <v>630891.5869261804</v>
      </c>
      <c r="P154" s="251"/>
      <c r="Q154" s="252"/>
      <c r="R154" s="248"/>
      <c r="S154" s="248"/>
      <c r="T154" s="253"/>
    </row>
    <row r="155" spans="1:20" s="247" customFormat="1" x14ac:dyDescent="0.25">
      <c r="A155" s="369">
        <f>'A) Base RI'!A156</f>
        <v>5648</v>
      </c>
      <c r="B155" s="260" t="str">
        <f>'A) Base RI'!B156</f>
        <v>Saint-Sulpice</v>
      </c>
      <c r="C155" s="276">
        <v>1</v>
      </c>
      <c r="D155" s="249">
        <f>'B) D RI'!AA156</f>
        <v>4148</v>
      </c>
      <c r="E155" s="250">
        <f>'B) D RI'!S156</f>
        <v>55</v>
      </c>
      <c r="F155" s="14">
        <f>'B) D RI'!R156</f>
        <v>17629678.9375</v>
      </c>
      <c r="G155" s="14">
        <f>'B) D RI'!U156</f>
        <v>320539.61704545456</v>
      </c>
      <c r="H155" s="49">
        <f>'B) D RI'!T156</f>
        <v>16243661</v>
      </c>
      <c r="I155" s="14">
        <f t="shared" si="19"/>
        <v>590678.58181818179</v>
      </c>
      <c r="J155" s="39">
        <f t="shared" si="15"/>
        <v>359761.4682805544</v>
      </c>
      <c r="K155" s="14">
        <f t="shared" si="16"/>
        <v>0</v>
      </c>
      <c r="L155" s="14">
        <f t="shared" si="20"/>
        <v>359761.4682805544</v>
      </c>
      <c r="M155" s="14">
        <f>'D) Ecrêtage'!M154</f>
        <v>303063.54594420397</v>
      </c>
      <c r="N155" s="14">
        <f t="shared" si="17"/>
        <v>394566.12126084085</v>
      </c>
      <c r="O155" s="66">
        <f t="shared" si="18"/>
        <v>394566.12126084085</v>
      </c>
      <c r="P155" s="251"/>
      <c r="Q155" s="252"/>
      <c r="R155" s="248"/>
      <c r="S155" s="248"/>
      <c r="T155" s="253"/>
    </row>
    <row r="156" spans="1:20" s="247" customFormat="1" x14ac:dyDescent="0.25">
      <c r="A156" s="369">
        <f>'A) Base RI'!A157</f>
        <v>5649</v>
      </c>
      <c r="B156" s="260" t="str">
        <f>'A) Base RI'!B157</f>
        <v>Tolochenaz</v>
      </c>
      <c r="C156" s="276">
        <v>1</v>
      </c>
      <c r="D156" s="249">
        <f>'B) D RI'!AA157</f>
        <v>1865</v>
      </c>
      <c r="E156" s="250">
        <f>'B) D RI'!S157</f>
        <v>65</v>
      </c>
      <c r="F156" s="14">
        <f>'B) D RI'!R157</f>
        <v>5117302.5</v>
      </c>
      <c r="G156" s="14">
        <f>'B) D RI'!U157</f>
        <v>78727.730769230766</v>
      </c>
      <c r="H156" s="49">
        <f>'B) D RI'!T157</f>
        <v>4532548.55</v>
      </c>
      <c r="I156" s="14">
        <f t="shared" si="19"/>
        <v>139463.03230769231</v>
      </c>
      <c r="J156" s="39">
        <f t="shared" si="15"/>
        <v>161753.89063240934</v>
      </c>
      <c r="K156" s="14">
        <f t="shared" si="16"/>
        <v>0</v>
      </c>
      <c r="L156" s="14">
        <f t="shared" si="20"/>
        <v>161753.89063240934</v>
      </c>
      <c r="M156" s="14">
        <f>'D) Ecrêtage'!M155</f>
        <v>78727.730769230766</v>
      </c>
      <c r="N156" s="14">
        <f t="shared" si="17"/>
        <v>102497.63054973989</v>
      </c>
      <c r="O156" s="66">
        <f t="shared" si="18"/>
        <v>102497.63054973989</v>
      </c>
      <c r="P156" s="251"/>
      <c r="Q156" s="252"/>
      <c r="R156" s="248"/>
      <c r="S156" s="248"/>
      <c r="T156" s="253"/>
    </row>
    <row r="157" spans="1:20" s="247" customFormat="1" x14ac:dyDescent="0.25">
      <c r="A157" s="369">
        <f>'A) Base RI'!A158</f>
        <v>5650</v>
      </c>
      <c r="B157" s="260" t="str">
        <f>'A) Base RI'!B158</f>
        <v>Vaux-sur-Morges</v>
      </c>
      <c r="C157" s="276">
        <v>0</v>
      </c>
      <c r="D157" s="249">
        <f>'B) D RI'!AA158</f>
        <v>200</v>
      </c>
      <c r="E157" s="250">
        <f>'B) D RI'!S158</f>
        <v>56</v>
      </c>
      <c r="F157" s="14">
        <f>'B) D RI'!R158</f>
        <v>9385288.959999999</v>
      </c>
      <c r="G157" s="14">
        <f>'B) D RI'!U158</f>
        <v>167594.44571428568</v>
      </c>
      <c r="H157" s="49">
        <f>'B) D RI'!T158</f>
        <v>9343057.9199999999</v>
      </c>
      <c r="I157" s="14">
        <f t="shared" si="19"/>
        <v>333680.64000000001</v>
      </c>
      <c r="J157" s="39">
        <f t="shared" si="15"/>
        <v>17346.261730017086</v>
      </c>
      <c r="K157" s="14">
        <f t="shared" si="16"/>
        <v>17346.261730017086</v>
      </c>
      <c r="L157" s="14">
        <f t="shared" si="20"/>
        <v>0</v>
      </c>
      <c r="M157" s="14">
        <f>'D) Ecrêtage'!M156</f>
        <v>117330.27959010621</v>
      </c>
      <c r="N157" s="14">
        <f t="shared" si="17"/>
        <v>152755.26847046573</v>
      </c>
      <c r="O157" s="66">
        <f t="shared" si="18"/>
        <v>170101.53020048281</v>
      </c>
      <c r="P157" s="251"/>
      <c r="Q157" s="252"/>
      <c r="R157" s="248"/>
      <c r="S157" s="248"/>
      <c r="T157" s="253"/>
    </row>
    <row r="158" spans="1:20" s="247" customFormat="1" x14ac:dyDescent="0.25">
      <c r="A158" s="369">
        <f>'A) Base RI'!A159</f>
        <v>5651</v>
      </c>
      <c r="B158" s="260" t="str">
        <f>'A) Base RI'!B159</f>
        <v>Villars-Sainte-Croix</v>
      </c>
      <c r="C158" s="276">
        <v>1</v>
      </c>
      <c r="D158" s="249">
        <f>'B) D RI'!AA159</f>
        <v>841</v>
      </c>
      <c r="E158" s="250">
        <f>'B) D RI'!S159</f>
        <v>59</v>
      </c>
      <c r="F158" s="14">
        <f>'B) D RI'!R159</f>
        <v>2306482.8899999997</v>
      </c>
      <c r="G158" s="14">
        <f>'B) D RI'!U159</f>
        <v>39092.930338983046</v>
      </c>
      <c r="H158" s="49">
        <f>'B) D RI'!T159</f>
        <v>2033601.39</v>
      </c>
      <c r="I158" s="14">
        <f t="shared" si="19"/>
        <v>68935.640338983052</v>
      </c>
      <c r="J158" s="39">
        <f t="shared" si="15"/>
        <v>72941.030574721852</v>
      </c>
      <c r="K158" s="14">
        <f t="shared" si="16"/>
        <v>0</v>
      </c>
      <c r="L158" s="14">
        <f t="shared" si="20"/>
        <v>72941.030574721852</v>
      </c>
      <c r="M158" s="14">
        <f>'D) Ecrêtage'!M157</f>
        <v>39092.930338983046</v>
      </c>
      <c r="N158" s="14">
        <f t="shared" si="17"/>
        <v>50896.078063485031</v>
      </c>
      <c r="O158" s="66">
        <f t="shared" si="18"/>
        <v>50896.078063485031</v>
      </c>
      <c r="P158" s="251"/>
      <c r="Q158" s="252"/>
      <c r="R158" s="248"/>
      <c r="S158" s="248"/>
      <c r="T158" s="253"/>
    </row>
    <row r="159" spans="1:20" s="247" customFormat="1" x14ac:dyDescent="0.25">
      <c r="A159" s="369">
        <f>'A) Base RI'!A160</f>
        <v>5652</v>
      </c>
      <c r="B159" s="260" t="str">
        <f>'A) Base RI'!B160</f>
        <v>Villars-sous-Yens</v>
      </c>
      <c r="C159" s="276">
        <v>0</v>
      </c>
      <c r="D159" s="249">
        <f>'B) D RI'!AA160</f>
        <v>598</v>
      </c>
      <c r="E159" s="250">
        <f>'B) D RI'!S160</f>
        <v>76</v>
      </c>
      <c r="F159" s="14">
        <f>'B) D RI'!R160</f>
        <v>1666030.59</v>
      </c>
      <c r="G159" s="14">
        <f>'B) D RI'!U160</f>
        <v>21921.455131578947</v>
      </c>
      <c r="H159" s="49">
        <f>'B) D RI'!T160</f>
        <v>1569901.09</v>
      </c>
      <c r="I159" s="14">
        <f t="shared" si="19"/>
        <v>41313.186578947374</v>
      </c>
      <c r="J159" s="39">
        <f t="shared" si="15"/>
        <v>51865.322572751094</v>
      </c>
      <c r="K159" s="14">
        <f t="shared" si="16"/>
        <v>41313.186578947374</v>
      </c>
      <c r="L159" s="14">
        <f t="shared" si="20"/>
        <v>10552.13599380372</v>
      </c>
      <c r="M159" s="14">
        <f>'D) Ecrêtage'!M158</f>
        <v>21921.455131578947</v>
      </c>
      <c r="N159" s="14">
        <f t="shared" si="17"/>
        <v>28540.098733131977</v>
      </c>
      <c r="O159" s="66">
        <f t="shared" si="18"/>
        <v>69853.285312079359</v>
      </c>
      <c r="P159" s="251"/>
      <c r="Q159" s="252"/>
      <c r="R159" s="248"/>
      <c r="S159" s="248"/>
      <c r="T159" s="253"/>
    </row>
    <row r="160" spans="1:20" s="247" customFormat="1" x14ac:dyDescent="0.25">
      <c r="A160" s="369">
        <f>'A) Base RI'!A161</f>
        <v>5653</v>
      </c>
      <c r="B160" s="260" t="str">
        <f>'A) Base RI'!B161</f>
        <v>Vufflens-le-Château</v>
      </c>
      <c r="C160" s="276">
        <v>0</v>
      </c>
      <c r="D160" s="249">
        <f>'B) D RI'!AA161</f>
        <v>841</v>
      </c>
      <c r="E160" s="250">
        <f>'B) D RI'!S161</f>
        <v>55</v>
      </c>
      <c r="F160" s="14">
        <f>'B) D RI'!R161</f>
        <v>3360783.7574999998</v>
      </c>
      <c r="G160" s="14">
        <f>'B) D RI'!U161</f>
        <v>61105.159227272721</v>
      </c>
      <c r="H160" s="49">
        <f>'B) D RI'!T161</f>
        <v>3136252.82</v>
      </c>
      <c r="I160" s="14">
        <f t="shared" si="19"/>
        <v>114045.55709090909</v>
      </c>
      <c r="J160" s="39">
        <f t="shared" si="15"/>
        <v>72941.030574721852</v>
      </c>
      <c r="K160" s="14">
        <f t="shared" si="16"/>
        <v>72941.030574721852</v>
      </c>
      <c r="L160" s="14">
        <f t="shared" si="20"/>
        <v>0</v>
      </c>
      <c r="M160" s="14">
        <f>'D) Ecrêtage'!M159</f>
        <v>58455.167959134647</v>
      </c>
      <c r="N160" s="14">
        <f t="shared" si="17"/>
        <v>76104.26657362828</v>
      </c>
      <c r="O160" s="66">
        <f t="shared" si="18"/>
        <v>149045.29714835013</v>
      </c>
      <c r="P160" s="251"/>
      <c r="Q160" s="252"/>
      <c r="R160" s="248"/>
      <c r="S160" s="248"/>
      <c r="T160" s="253"/>
    </row>
    <row r="161" spans="1:20" s="247" customFormat="1" x14ac:dyDescent="0.25">
      <c r="A161" s="369">
        <f>'A) Base RI'!A162</f>
        <v>5654</v>
      </c>
      <c r="B161" s="260" t="str">
        <f>'A) Base RI'!B162</f>
        <v>Vullierens</v>
      </c>
      <c r="C161" s="276">
        <v>0</v>
      </c>
      <c r="D161" s="249">
        <f>'B) D RI'!AA162</f>
        <v>461</v>
      </c>
      <c r="E161" s="250">
        <f>'B) D RI'!S162</f>
        <v>76</v>
      </c>
      <c r="F161" s="14">
        <f>'B) D RI'!R162</f>
        <v>1302771.8600000001</v>
      </c>
      <c r="G161" s="14">
        <f>'B) D RI'!U162</f>
        <v>17141.735000000001</v>
      </c>
      <c r="H161" s="49">
        <f>'B) D RI'!T162</f>
        <v>1215022.51</v>
      </c>
      <c r="I161" s="14">
        <f t="shared" si="19"/>
        <v>31974.276578947367</v>
      </c>
      <c r="J161" s="39">
        <f t="shared" si="15"/>
        <v>39983.133287689387</v>
      </c>
      <c r="K161" s="14">
        <f t="shared" si="16"/>
        <v>31974.276578947367</v>
      </c>
      <c r="L161" s="14">
        <f t="shared" si="20"/>
        <v>8008.8567087420197</v>
      </c>
      <c r="M161" s="14">
        <f>'D) Ecrêtage'!M160</f>
        <v>17141.735000000001</v>
      </c>
      <c r="N161" s="14">
        <f t="shared" si="17"/>
        <v>22317.259799621082</v>
      </c>
      <c r="O161" s="66">
        <f t="shared" si="18"/>
        <v>54291.536378568446</v>
      </c>
      <c r="P161" s="251"/>
      <c r="Q161" s="252"/>
      <c r="R161" s="248"/>
      <c r="S161" s="248"/>
      <c r="T161" s="253"/>
    </row>
    <row r="162" spans="1:20" s="247" customFormat="1" x14ac:dyDescent="0.25">
      <c r="A162" s="369">
        <f>'A) Base RI'!A163</f>
        <v>5655</v>
      </c>
      <c r="B162" s="260" t="str">
        <f>'A) Base RI'!B163</f>
        <v>Yens</v>
      </c>
      <c r="C162" s="276">
        <v>0</v>
      </c>
      <c r="D162" s="249">
        <f>'B) D RI'!AA163</f>
        <v>1388</v>
      </c>
      <c r="E162" s="250">
        <f>'B) D RI'!S163</f>
        <v>73</v>
      </c>
      <c r="F162" s="14">
        <f>'B) D RI'!R163</f>
        <v>6101381.1799999988</v>
      </c>
      <c r="G162" s="14">
        <f>'B) D RI'!U163</f>
        <v>83580.564109589031</v>
      </c>
      <c r="H162" s="49">
        <f>'B) D RI'!T163</f>
        <v>5639083.2299999986</v>
      </c>
      <c r="I162" s="14">
        <f t="shared" si="19"/>
        <v>154495.43095890406</v>
      </c>
      <c r="J162" s="39">
        <f t="shared" si="15"/>
        <v>120383.05640631859</v>
      </c>
      <c r="K162" s="14">
        <f t="shared" si="16"/>
        <v>120383.05640631859</v>
      </c>
      <c r="L162" s="14">
        <f t="shared" si="20"/>
        <v>0</v>
      </c>
      <c r="M162" s="14">
        <f>'D) Ecrêtage'!M161</f>
        <v>82506.78552989832</v>
      </c>
      <c r="N162" s="14">
        <f t="shared" si="17"/>
        <v>107417.67784313303</v>
      </c>
      <c r="O162" s="66">
        <f t="shared" si="18"/>
        <v>227800.73424945161</v>
      </c>
      <c r="P162" s="251"/>
      <c r="Q162" s="252"/>
      <c r="R162" s="248"/>
      <c r="S162" s="248"/>
      <c r="T162" s="253"/>
    </row>
    <row r="163" spans="1:20" s="247" customFormat="1" x14ac:dyDescent="0.25">
      <c r="A163" s="369">
        <f>'A) Base RI'!A164</f>
        <v>5661</v>
      </c>
      <c r="B163" s="260" t="str">
        <f>'A) Base RI'!B164</f>
        <v>Boulens</v>
      </c>
      <c r="C163" s="276">
        <v>0</v>
      </c>
      <c r="D163" s="249">
        <f>'B) D RI'!AA164</f>
        <v>368</v>
      </c>
      <c r="E163" s="250">
        <f>'B) D RI'!S164</f>
        <v>79</v>
      </c>
      <c r="F163" s="14">
        <f>'B) D RI'!R164</f>
        <v>757844.71999999986</v>
      </c>
      <c r="G163" s="14">
        <f>'B) D RI'!U164</f>
        <v>9592.9711392405043</v>
      </c>
      <c r="H163" s="49">
        <f>'B) D RI'!T164</f>
        <v>715677.46999999986</v>
      </c>
      <c r="I163" s="14">
        <f t="shared" si="19"/>
        <v>18118.416962025312</v>
      </c>
      <c r="J163" s="39">
        <f t="shared" si="15"/>
        <v>31917.121583231441</v>
      </c>
      <c r="K163" s="14">
        <f t="shared" si="16"/>
        <v>18118.416962025312</v>
      </c>
      <c r="L163" s="14">
        <f t="shared" si="20"/>
        <v>13798.704621206129</v>
      </c>
      <c r="M163" s="14">
        <f>'D) Ecrêtage'!M162</f>
        <v>9592.9711392405043</v>
      </c>
      <c r="N163" s="14">
        <f t="shared" si="17"/>
        <v>12489.332565501529</v>
      </c>
      <c r="O163" s="66">
        <f t="shared" si="18"/>
        <v>30607.749527526841</v>
      </c>
      <c r="P163" s="251"/>
      <c r="Q163" s="252"/>
      <c r="R163" s="248"/>
      <c r="S163" s="248"/>
      <c r="T163" s="253"/>
    </row>
    <row r="164" spans="1:20" s="247" customFormat="1" x14ac:dyDescent="0.25">
      <c r="A164" s="369">
        <f>'A) Base RI'!A165</f>
        <v>5663</v>
      </c>
      <c r="B164" s="260" t="str">
        <f>'A) Base RI'!B165</f>
        <v>Bussy-sur-Moudon</v>
      </c>
      <c r="C164" s="276">
        <v>0</v>
      </c>
      <c r="D164" s="249">
        <f>'B) D RI'!AA165</f>
        <v>208</v>
      </c>
      <c r="E164" s="250">
        <f>'B) D RI'!S165</f>
        <v>80</v>
      </c>
      <c r="F164" s="14">
        <f>'B) D RI'!R165</f>
        <v>437473.06</v>
      </c>
      <c r="G164" s="14">
        <f>'B) D RI'!U165</f>
        <v>5468.4132499999996</v>
      </c>
      <c r="H164" s="49">
        <f>'B) D RI'!T165</f>
        <v>407790.26</v>
      </c>
      <c r="I164" s="14">
        <f t="shared" si="19"/>
        <v>10194.7565</v>
      </c>
      <c r="J164" s="39">
        <f t="shared" si="15"/>
        <v>18040.112199217772</v>
      </c>
      <c r="K164" s="14">
        <f t="shared" si="16"/>
        <v>10194.7565</v>
      </c>
      <c r="L164" s="14">
        <f t="shared" si="20"/>
        <v>7845.3556992177728</v>
      </c>
      <c r="M164" s="14">
        <f>'D) Ecrêtage'!M163</f>
        <v>5468.4132499999996</v>
      </c>
      <c r="N164" s="14">
        <f t="shared" si="17"/>
        <v>7119.4659812405371</v>
      </c>
      <c r="O164" s="66">
        <f t="shared" si="18"/>
        <v>17314.222481240537</v>
      </c>
      <c r="P164" s="251"/>
      <c r="Q164" s="252"/>
      <c r="R164" s="248"/>
      <c r="S164" s="248"/>
      <c r="T164" s="253"/>
    </row>
    <row r="165" spans="1:20" s="247" customFormat="1" x14ac:dyDescent="0.25">
      <c r="A165" s="369">
        <f>'A) Base RI'!A166</f>
        <v>5665</v>
      </c>
      <c r="B165" s="260" t="str">
        <f>'A) Base RI'!B166</f>
        <v>Chavannes-sur-Moudon</v>
      </c>
      <c r="C165" s="276">
        <v>0</v>
      </c>
      <c r="D165" s="249">
        <f>'B) D RI'!AA166</f>
        <v>224</v>
      </c>
      <c r="E165" s="250">
        <f>'B) D RI'!S166</f>
        <v>73</v>
      </c>
      <c r="F165" s="14">
        <f>'B) D RI'!R166</f>
        <v>363750.16999999993</v>
      </c>
      <c r="G165" s="14">
        <f>'B) D RI'!U166</f>
        <v>4982.8790410958891</v>
      </c>
      <c r="H165" s="49">
        <f>'B) D RI'!T166</f>
        <v>340191.86999999994</v>
      </c>
      <c r="I165" s="14">
        <f t="shared" si="19"/>
        <v>9320.3252054794502</v>
      </c>
      <c r="J165" s="39">
        <f t="shared" si="15"/>
        <v>19427.813137619138</v>
      </c>
      <c r="K165" s="14">
        <f t="shared" si="16"/>
        <v>9320.3252054794502</v>
      </c>
      <c r="L165" s="14">
        <f t="shared" si="20"/>
        <v>10107.487932139687</v>
      </c>
      <c r="M165" s="14">
        <f>'D) Ecrêtage'!M164</f>
        <v>4982.8790410958891</v>
      </c>
      <c r="N165" s="14">
        <f t="shared" si="17"/>
        <v>6487.3366733427929</v>
      </c>
      <c r="O165" s="66">
        <f t="shared" si="18"/>
        <v>15807.661878822244</v>
      </c>
      <c r="P165" s="251"/>
      <c r="Q165" s="252"/>
      <c r="R165" s="248"/>
      <c r="S165" s="248"/>
      <c r="T165" s="253"/>
    </row>
    <row r="166" spans="1:20" s="247" customFormat="1" x14ac:dyDescent="0.25">
      <c r="A166" s="369">
        <f>'A) Base RI'!A167</f>
        <v>5669</v>
      </c>
      <c r="B166" s="260" t="str">
        <f>'A) Base RI'!B167</f>
        <v>Curtilles</v>
      </c>
      <c r="C166" s="276">
        <v>0</v>
      </c>
      <c r="D166" s="249">
        <f>'B) D RI'!AA167</f>
        <v>309</v>
      </c>
      <c r="E166" s="250">
        <f>'B) D RI'!S167</f>
        <v>72</v>
      </c>
      <c r="F166" s="14">
        <f>'B) D RI'!R167</f>
        <v>596100.53</v>
      </c>
      <c r="G166" s="14">
        <f>'B) D RI'!U167</f>
        <v>8279.174027777779</v>
      </c>
      <c r="H166" s="49">
        <f>'B) D RI'!T167</f>
        <v>552523.53</v>
      </c>
      <c r="I166" s="14">
        <f t="shared" si="19"/>
        <v>15347.875833333334</v>
      </c>
      <c r="J166" s="39">
        <f t="shared" si="15"/>
        <v>26799.974372876401</v>
      </c>
      <c r="K166" s="14">
        <f t="shared" si="16"/>
        <v>15347.875833333334</v>
      </c>
      <c r="L166" s="14">
        <f t="shared" si="20"/>
        <v>11452.098539543067</v>
      </c>
      <c r="M166" s="14">
        <f>'D) Ecrêtage'!M165</f>
        <v>8279.174027777779</v>
      </c>
      <c r="N166" s="14">
        <f t="shared" si="17"/>
        <v>10778.866766064926</v>
      </c>
      <c r="O166" s="66">
        <f t="shared" si="18"/>
        <v>26126.742599398262</v>
      </c>
      <c r="P166" s="251"/>
      <c r="Q166" s="252"/>
      <c r="R166" s="248"/>
      <c r="S166" s="248"/>
      <c r="T166" s="253"/>
    </row>
    <row r="167" spans="1:20" s="247" customFormat="1" x14ac:dyDescent="0.25">
      <c r="A167" s="369">
        <f>'A) Base RI'!A168</f>
        <v>5671</v>
      </c>
      <c r="B167" s="260" t="str">
        <f>'A) Base RI'!B168</f>
        <v>Dompierre</v>
      </c>
      <c r="C167" s="276">
        <v>0</v>
      </c>
      <c r="D167" s="249">
        <f>'B) D RI'!AA168</f>
        <v>242</v>
      </c>
      <c r="E167" s="250">
        <f>'B) D RI'!S168</f>
        <v>80</v>
      </c>
      <c r="F167" s="14">
        <f>'B) D RI'!R168</f>
        <v>533823.77</v>
      </c>
      <c r="G167" s="14">
        <f>'B) D RI'!U168</f>
        <v>6672.7971250000001</v>
      </c>
      <c r="H167" s="49">
        <f>'B) D RI'!T168</f>
        <v>498254.87000000005</v>
      </c>
      <c r="I167" s="14">
        <f t="shared" si="19"/>
        <v>12456.371750000002</v>
      </c>
      <c r="J167" s="39">
        <f t="shared" si="15"/>
        <v>20988.976693320677</v>
      </c>
      <c r="K167" s="14">
        <f t="shared" si="16"/>
        <v>12456.371750000002</v>
      </c>
      <c r="L167" s="14">
        <f t="shared" si="20"/>
        <v>8532.6049433206754</v>
      </c>
      <c r="M167" s="14">
        <f>'D) Ecrêtage'!M166</f>
        <v>6672.7971250000001</v>
      </c>
      <c r="N167" s="14">
        <f t="shared" si="17"/>
        <v>8687.4839115637715</v>
      </c>
      <c r="O167" s="66">
        <f t="shared" si="18"/>
        <v>21143.855661563772</v>
      </c>
      <c r="P167" s="251"/>
      <c r="Q167" s="252"/>
      <c r="R167" s="248"/>
      <c r="S167" s="248"/>
      <c r="T167" s="253"/>
    </row>
    <row r="168" spans="1:20" s="247" customFormat="1" x14ac:dyDescent="0.25">
      <c r="A168" s="369">
        <f>'A) Base RI'!A169</f>
        <v>5673</v>
      </c>
      <c r="B168" s="260" t="str">
        <f>'A) Base RI'!B169</f>
        <v>Hermenches</v>
      </c>
      <c r="C168" s="276">
        <v>0</v>
      </c>
      <c r="D168" s="249">
        <f>'B) D RI'!AA169</f>
        <v>379</v>
      </c>
      <c r="E168" s="250">
        <f>'B) D RI'!S169</f>
        <v>75</v>
      </c>
      <c r="F168" s="14">
        <f>'B) D RI'!R169</f>
        <v>590499.92666666675</v>
      </c>
      <c r="G168" s="14">
        <f>'B) D RI'!U169</f>
        <v>7873.3323555555571</v>
      </c>
      <c r="H168" s="49">
        <f>'B) D RI'!T169</f>
        <v>544626.76000000013</v>
      </c>
      <c r="I168" s="14">
        <f t="shared" si="19"/>
        <v>14523.380266666671</v>
      </c>
      <c r="J168" s="39">
        <f t="shared" si="15"/>
        <v>32871.165978382378</v>
      </c>
      <c r="K168" s="14">
        <f t="shared" si="16"/>
        <v>14523.380266666671</v>
      </c>
      <c r="L168" s="14">
        <f t="shared" si="20"/>
        <v>18347.785711715707</v>
      </c>
      <c r="M168" s="14">
        <f>'D) Ecrêtage'!M167</f>
        <v>7873.3323555555571</v>
      </c>
      <c r="N168" s="14">
        <f t="shared" si="17"/>
        <v>10250.491194018341</v>
      </c>
      <c r="O168" s="66">
        <f t="shared" si="18"/>
        <v>24773.871460685012</v>
      </c>
      <c r="P168" s="251"/>
      <c r="Q168" s="252"/>
      <c r="R168" s="248"/>
      <c r="S168" s="248"/>
      <c r="T168" s="253"/>
    </row>
    <row r="169" spans="1:20" s="247" customFormat="1" x14ac:dyDescent="0.25">
      <c r="A169" s="369">
        <f>'A) Base RI'!A170</f>
        <v>5674</v>
      </c>
      <c r="B169" s="260" t="str">
        <f>'A) Base RI'!B170</f>
        <v>Lovatens</v>
      </c>
      <c r="C169" s="276">
        <v>0</v>
      </c>
      <c r="D169" s="249">
        <f>'B) D RI'!AA170</f>
        <v>143</v>
      </c>
      <c r="E169" s="250">
        <f>'B) D RI'!S170</f>
        <v>75</v>
      </c>
      <c r="F169" s="14">
        <f>'B) D RI'!R170</f>
        <v>283262.93857142859</v>
      </c>
      <c r="G169" s="14">
        <f>'B) D RI'!U170</f>
        <v>3776.8391809523814</v>
      </c>
      <c r="H169" s="49">
        <f>'B) D RI'!T170</f>
        <v>266975.51</v>
      </c>
      <c r="I169" s="14">
        <f t="shared" si="19"/>
        <v>7119.3469333333333</v>
      </c>
      <c r="J169" s="39">
        <f t="shared" si="15"/>
        <v>12402.577136962218</v>
      </c>
      <c r="K169" s="14">
        <f t="shared" si="16"/>
        <v>7119.3469333333333</v>
      </c>
      <c r="L169" s="14">
        <f t="shared" si="20"/>
        <v>5283.2302036288847</v>
      </c>
      <c r="M169" s="14">
        <f>'D) Ecrêtage'!M168</f>
        <v>3776.8391809523814</v>
      </c>
      <c r="N169" s="14">
        <f t="shared" si="17"/>
        <v>4917.1627739375499</v>
      </c>
      <c r="O169" s="66">
        <f t="shared" si="18"/>
        <v>12036.509707270883</v>
      </c>
      <c r="P169" s="251"/>
      <c r="Q169" s="252"/>
      <c r="R169" s="248"/>
      <c r="S169" s="248"/>
      <c r="T169" s="253"/>
    </row>
    <row r="170" spans="1:20" s="247" customFormat="1" x14ac:dyDescent="0.25">
      <c r="A170" s="369">
        <f>'A) Base RI'!A171</f>
        <v>5675</v>
      </c>
      <c r="B170" s="260" t="str">
        <f>'A) Base RI'!B171</f>
        <v>Lucens</v>
      </c>
      <c r="C170" s="276">
        <v>0</v>
      </c>
      <c r="D170" s="249">
        <f>'B) D RI'!AA171</f>
        <v>4009</v>
      </c>
      <c r="E170" s="250">
        <f>'B) D RI'!S171</f>
        <v>67.819999999999993</v>
      </c>
      <c r="F170" s="14">
        <f>'B) D RI'!R171</f>
        <v>6302285.8836363638</v>
      </c>
      <c r="G170" s="14">
        <f>'B) D RI'!U171</f>
        <v>92926.657086941384</v>
      </c>
      <c r="H170" s="49">
        <f>'B) D RI'!T171</f>
        <v>5731355.0200000005</v>
      </c>
      <c r="I170" s="14">
        <f t="shared" ref="I170" si="21">+H170/E170*$I$5</f>
        <v>169016.66234149222</v>
      </c>
      <c r="J170" s="39">
        <f t="shared" ref="J170" si="22">+$I$315/$D$315*D170</f>
        <v>347705.81637819251</v>
      </c>
      <c r="K170" s="14">
        <f t="shared" ref="K170" si="23">IF(C170=1,0,IF(J170&gt;I170,I170,J170))</f>
        <v>169016.66234149222</v>
      </c>
      <c r="L170" s="14">
        <f t="shared" ref="L170" si="24">+J170-K170</f>
        <v>178689.15403670029</v>
      </c>
      <c r="M170" s="14">
        <f>'D) Ecrêtage'!M169</f>
        <v>92926.657086941384</v>
      </c>
      <c r="N170" s="14">
        <f t="shared" ref="N170" si="25">+$N$5*M170</f>
        <v>120983.57304669396</v>
      </c>
      <c r="O170" s="66">
        <f t="shared" ref="O170" si="26">+N170+K170</f>
        <v>290000.23538818618</v>
      </c>
      <c r="P170" s="251"/>
      <c r="Q170" s="252"/>
      <c r="R170" s="248"/>
      <c r="S170" s="248"/>
      <c r="T170" s="253"/>
    </row>
    <row r="171" spans="1:20" s="247" customFormat="1" x14ac:dyDescent="0.25">
      <c r="A171" s="369">
        <f>'A) Base RI'!A172</f>
        <v>5678</v>
      </c>
      <c r="B171" s="260" t="str">
        <f>'A) Base RI'!B172</f>
        <v>Moudon</v>
      </c>
      <c r="C171" s="276">
        <v>0</v>
      </c>
      <c r="D171" s="249">
        <f>'B) D RI'!AA172</f>
        <v>6003</v>
      </c>
      <c r="E171" s="250">
        <f>'B) D RI'!S172</f>
        <v>75</v>
      </c>
      <c r="F171" s="14">
        <f>'B) D RI'!R172</f>
        <v>9233735.790000001</v>
      </c>
      <c r="G171" s="14">
        <f>'B) D RI'!U172</f>
        <v>123116.47720000001</v>
      </c>
      <c r="H171" s="49">
        <f>'B) D RI'!T172</f>
        <v>8435457.290000001</v>
      </c>
      <c r="I171" s="14">
        <f t="shared" si="19"/>
        <v>224945.52773333335</v>
      </c>
      <c r="J171" s="39">
        <f t="shared" ref="J171:J218" si="27">+$I$315/$D$315*D171</f>
        <v>520648.04582646291</v>
      </c>
      <c r="K171" s="14">
        <f t="shared" si="16"/>
        <v>224945.52773333335</v>
      </c>
      <c r="L171" s="14">
        <f t="shared" si="20"/>
        <v>295702.51809312956</v>
      </c>
      <c r="M171" s="14">
        <f>'D) Ecrêtage'!M170</f>
        <v>123116.47720000001</v>
      </c>
      <c r="N171" s="14">
        <f t="shared" si="17"/>
        <v>160288.46597421588</v>
      </c>
      <c r="O171" s="66">
        <f t="shared" si="18"/>
        <v>385233.99370754923</v>
      </c>
      <c r="P171" s="251"/>
      <c r="Q171" s="252"/>
      <c r="R171" s="248"/>
      <c r="S171" s="248"/>
      <c r="T171" s="253"/>
    </row>
    <row r="172" spans="1:20" s="247" customFormat="1" x14ac:dyDescent="0.25">
      <c r="A172" s="369">
        <f>'A) Base RI'!A173</f>
        <v>5680</v>
      </c>
      <c r="B172" s="260" t="str">
        <f>'A) Base RI'!B173</f>
        <v>Ogens</v>
      </c>
      <c r="C172" s="276">
        <v>0</v>
      </c>
      <c r="D172" s="249">
        <f>'B) D RI'!AA173</f>
        <v>296</v>
      </c>
      <c r="E172" s="250">
        <f>'B) D RI'!S173</f>
        <v>78</v>
      </c>
      <c r="F172" s="14">
        <f>'B) D RI'!R173</f>
        <v>663339.20666666667</v>
      </c>
      <c r="G172" s="14">
        <f>'B) D RI'!U173</f>
        <v>8504.3488034188031</v>
      </c>
      <c r="H172" s="49">
        <f>'B) D RI'!T173</f>
        <v>626359.43999999994</v>
      </c>
      <c r="I172" s="14">
        <f t="shared" si="19"/>
        <v>16060.49846153846</v>
      </c>
      <c r="J172" s="39">
        <f t="shared" si="27"/>
        <v>25672.467360425289</v>
      </c>
      <c r="K172" s="14">
        <f t="shared" si="16"/>
        <v>16060.49846153846</v>
      </c>
      <c r="L172" s="14">
        <f t="shared" si="20"/>
        <v>9611.9688988868293</v>
      </c>
      <c r="M172" s="14">
        <f>'D) Ecrêtage'!M171</f>
        <v>8504.3488034188031</v>
      </c>
      <c r="N172" s="14">
        <f t="shared" si="17"/>
        <v>11072.027520696947</v>
      </c>
      <c r="O172" s="66">
        <f t="shared" si="18"/>
        <v>27132.525982235406</v>
      </c>
      <c r="P172" s="251"/>
      <c r="Q172" s="252"/>
      <c r="R172" s="248"/>
      <c r="S172" s="248"/>
      <c r="T172" s="253"/>
    </row>
    <row r="173" spans="1:20" s="247" customFormat="1" x14ac:dyDescent="0.25">
      <c r="A173" s="369">
        <f>'A) Base RI'!A174</f>
        <v>5683</v>
      </c>
      <c r="B173" s="260" t="str">
        <f>'A) Base RI'!B174</f>
        <v>Prévonloup</v>
      </c>
      <c r="C173" s="276">
        <v>0</v>
      </c>
      <c r="D173" s="249">
        <f>'B) D RI'!AA174</f>
        <v>166</v>
      </c>
      <c r="E173" s="250">
        <f>'B) D RI'!S174</f>
        <v>74</v>
      </c>
      <c r="F173" s="14">
        <f>'B) D RI'!R174</f>
        <v>305514.06999999995</v>
      </c>
      <c r="G173" s="14">
        <f>'B) D RI'!U174</f>
        <v>4128.5685135135127</v>
      </c>
      <c r="H173" s="49">
        <f>'B) D RI'!T174</f>
        <v>283226.01999999996</v>
      </c>
      <c r="I173" s="14">
        <f t="shared" si="19"/>
        <v>7654.7572972972966</v>
      </c>
      <c r="J173" s="39">
        <f t="shared" si="27"/>
        <v>14397.397235914183</v>
      </c>
      <c r="K173" s="14">
        <f t="shared" si="16"/>
        <v>7654.7572972972966</v>
      </c>
      <c r="L173" s="14">
        <f t="shared" si="20"/>
        <v>6742.639938616886</v>
      </c>
      <c r="M173" s="14">
        <f>'D) Ecrêtage'!M172</f>
        <v>4128.5685135135127</v>
      </c>
      <c r="N173" s="14">
        <f t="shared" si="17"/>
        <v>5375.0881177790043</v>
      </c>
      <c r="O173" s="66">
        <f t="shared" si="18"/>
        <v>13029.845415076301</v>
      </c>
      <c r="P173" s="251"/>
      <c r="Q173" s="252"/>
      <c r="R173" s="248"/>
      <c r="S173" s="248"/>
      <c r="T173" s="253"/>
    </row>
    <row r="174" spans="1:20" s="247" customFormat="1" x14ac:dyDescent="0.25">
      <c r="A174" s="369">
        <f>'A) Base RI'!A175</f>
        <v>5684</v>
      </c>
      <c r="B174" s="260" t="str">
        <f>'A) Base RI'!B175</f>
        <v>Rossenges</v>
      </c>
      <c r="C174" s="276">
        <v>0</v>
      </c>
      <c r="D174" s="249">
        <f>'B) D RI'!AA175</f>
        <v>60</v>
      </c>
      <c r="E174" s="250">
        <f>'B) D RI'!S175</f>
        <v>60</v>
      </c>
      <c r="F174" s="14">
        <f>'B) D RI'!R175</f>
        <v>127197.12</v>
      </c>
      <c r="G174" s="14">
        <f>'B) D RI'!U175</f>
        <v>2119.9519999999998</v>
      </c>
      <c r="H174" s="49">
        <f>'B) D RI'!T175</f>
        <v>118464.62</v>
      </c>
      <c r="I174" s="14">
        <f t="shared" si="19"/>
        <v>3948.8206666666665</v>
      </c>
      <c r="J174" s="39">
        <f t="shared" si="27"/>
        <v>5203.8785190051267</v>
      </c>
      <c r="K174" s="14">
        <f t="shared" si="16"/>
        <v>3948.8206666666665</v>
      </c>
      <c r="L174" s="14">
        <f t="shared" si="20"/>
        <v>1255.0578523384602</v>
      </c>
      <c r="M174" s="14">
        <f>'D) Ecrêtage'!M173</f>
        <v>2119.9519999999998</v>
      </c>
      <c r="N174" s="14">
        <f t="shared" si="17"/>
        <v>2760.0193064894715</v>
      </c>
      <c r="O174" s="66">
        <f t="shared" si="18"/>
        <v>6708.8399731561385</v>
      </c>
      <c r="P174" s="251"/>
      <c r="Q174" s="252"/>
      <c r="R174" s="248"/>
      <c r="S174" s="248"/>
      <c r="T174" s="253"/>
    </row>
    <row r="175" spans="1:20" s="247" customFormat="1" x14ac:dyDescent="0.25">
      <c r="A175" s="369">
        <f>'A) Base RI'!A176</f>
        <v>5688</v>
      </c>
      <c r="B175" s="260" t="str">
        <f>'A) Base RI'!B176</f>
        <v>Syens</v>
      </c>
      <c r="C175" s="276">
        <v>0</v>
      </c>
      <c r="D175" s="249">
        <f>'B) D RI'!AA176</f>
        <v>145</v>
      </c>
      <c r="E175" s="250">
        <f>'B) D RI'!S176</f>
        <v>75.599999999999994</v>
      </c>
      <c r="F175" s="14">
        <f>'B) D RI'!R176</f>
        <v>366312.30000000005</v>
      </c>
      <c r="G175" s="14">
        <f>'B) D RI'!U176</f>
        <v>4845.4007936507942</v>
      </c>
      <c r="H175" s="49">
        <f>'B) D RI'!T176</f>
        <v>345294.9</v>
      </c>
      <c r="I175" s="14">
        <f t="shared" si="19"/>
        <v>9134.7857142857156</v>
      </c>
      <c r="J175" s="39">
        <f t="shared" si="27"/>
        <v>12576.039754262389</v>
      </c>
      <c r="K175" s="14">
        <f t="shared" si="16"/>
        <v>9134.7857142857156</v>
      </c>
      <c r="L175" s="14">
        <f t="shared" si="20"/>
        <v>3441.2540399766731</v>
      </c>
      <c r="M175" s="14">
        <f>'D) Ecrêtage'!M174</f>
        <v>4845.4007936507942</v>
      </c>
      <c r="N175" s="14">
        <f t="shared" si="17"/>
        <v>6308.3502542300967</v>
      </c>
      <c r="O175" s="66">
        <f t="shared" si="18"/>
        <v>15443.135968515813</v>
      </c>
      <c r="P175" s="251"/>
      <c r="Q175" s="252"/>
      <c r="R175" s="248"/>
      <c r="S175" s="248"/>
      <c r="T175" s="253"/>
    </row>
    <row r="176" spans="1:20" s="247" customFormat="1" x14ac:dyDescent="0.25">
      <c r="A176" s="369">
        <f>'A) Base RI'!A177</f>
        <v>5690</v>
      </c>
      <c r="B176" s="260" t="str">
        <f>'A) Base RI'!B177</f>
        <v>Villars-le-Comte</v>
      </c>
      <c r="C176" s="276">
        <v>0</v>
      </c>
      <c r="D176" s="249">
        <f>'B) D RI'!AA177</f>
        <v>143</v>
      </c>
      <c r="E176" s="250">
        <f>'B) D RI'!S177</f>
        <v>76</v>
      </c>
      <c r="F176" s="14">
        <f>'B) D RI'!R177</f>
        <v>247173.66999999995</v>
      </c>
      <c r="G176" s="14">
        <f>'B) D RI'!U177</f>
        <v>3252.2851315789467</v>
      </c>
      <c r="H176" s="49">
        <f>'B) D RI'!T177</f>
        <v>227230.86999999997</v>
      </c>
      <c r="I176" s="14">
        <f t="shared" si="19"/>
        <v>5979.7597368421048</v>
      </c>
      <c r="J176" s="39">
        <f t="shared" si="27"/>
        <v>12402.577136962218</v>
      </c>
      <c r="K176" s="14">
        <f t="shared" si="16"/>
        <v>5979.7597368421048</v>
      </c>
      <c r="L176" s="14">
        <f t="shared" si="20"/>
        <v>6422.8174001201132</v>
      </c>
      <c r="M176" s="14">
        <f>'D) Ecrêtage'!M175</f>
        <v>3252.2851315789467</v>
      </c>
      <c r="N176" s="14">
        <f t="shared" si="17"/>
        <v>4234.2325455324199</v>
      </c>
      <c r="O176" s="66">
        <f t="shared" si="18"/>
        <v>10213.992282374526</v>
      </c>
      <c r="P176" s="251"/>
      <c r="Q176" s="252"/>
      <c r="R176" s="248"/>
      <c r="S176" s="248"/>
      <c r="T176" s="253"/>
    </row>
    <row r="177" spans="1:20" s="247" customFormat="1" x14ac:dyDescent="0.25">
      <c r="A177" s="369">
        <f>'A) Base RI'!A178</f>
        <v>5692</v>
      </c>
      <c r="B177" s="260" t="str">
        <f>'A) Base RI'!B178</f>
        <v>Vucherens</v>
      </c>
      <c r="C177" s="276">
        <v>0</v>
      </c>
      <c r="D177" s="249">
        <f>'B) D RI'!AA178</f>
        <v>557</v>
      </c>
      <c r="E177" s="250">
        <f>'B) D RI'!S178</f>
        <v>79</v>
      </c>
      <c r="F177" s="14">
        <f>'B) D RI'!R178</f>
        <v>1342465.36</v>
      </c>
      <c r="G177" s="14">
        <f>'B) D RI'!U178</f>
        <v>16993.232405063292</v>
      </c>
      <c r="H177" s="49">
        <f>'B) D RI'!T178</f>
        <v>1256599.8600000001</v>
      </c>
      <c r="I177" s="14">
        <f t="shared" si="19"/>
        <v>31812.654683544308</v>
      </c>
      <c r="J177" s="39">
        <f t="shared" si="27"/>
        <v>48309.338918097586</v>
      </c>
      <c r="K177" s="14">
        <f t="shared" si="16"/>
        <v>31812.654683544308</v>
      </c>
      <c r="L177" s="14">
        <f t="shared" si="20"/>
        <v>16496.684234553279</v>
      </c>
      <c r="M177" s="14">
        <f>'D) Ecrêtage'!M176</f>
        <v>16993.232405063292</v>
      </c>
      <c r="N177" s="14">
        <f t="shared" si="17"/>
        <v>22123.920502745917</v>
      </c>
      <c r="O177" s="66">
        <f t="shared" si="18"/>
        <v>53936.575186290225</v>
      </c>
      <c r="P177" s="251"/>
      <c r="Q177" s="252"/>
      <c r="R177" s="248"/>
      <c r="S177" s="248"/>
      <c r="T177" s="253"/>
    </row>
    <row r="178" spans="1:20" s="247" customFormat="1" x14ac:dyDescent="0.25">
      <c r="A178" s="369">
        <f>'A) Base RI'!A179</f>
        <v>5693</v>
      </c>
      <c r="B178" s="260" t="str">
        <f>'A) Base RI'!B179</f>
        <v>Montanaire</v>
      </c>
      <c r="C178" s="276">
        <v>0</v>
      </c>
      <c r="D178" s="249">
        <f>'B) D RI'!AA179</f>
        <v>2500</v>
      </c>
      <c r="E178" s="250">
        <f>'B) D RI'!S179</f>
        <v>72</v>
      </c>
      <c r="F178" s="14">
        <f>'B) D RI'!R179</f>
        <v>4578125.87</v>
      </c>
      <c r="G178" s="14">
        <f>'B) D RI'!U179</f>
        <v>63585.08152777778</v>
      </c>
      <c r="H178" s="49">
        <f>'B) D RI'!T179</f>
        <v>4256296.07</v>
      </c>
      <c r="I178" s="14">
        <f t="shared" si="19"/>
        <v>118230.4463888889</v>
      </c>
      <c r="J178" s="39">
        <f t="shared" si="27"/>
        <v>216828.27162521359</v>
      </c>
      <c r="K178" s="14">
        <f t="shared" si="16"/>
        <v>118230.4463888889</v>
      </c>
      <c r="L178" s="14">
        <f t="shared" si="20"/>
        <v>98597.825236324687</v>
      </c>
      <c r="M178" s="14">
        <f>'D) Ecrêtage'!M177</f>
        <v>63585.08152777778</v>
      </c>
      <c r="N178" s="14">
        <f t="shared" si="17"/>
        <v>82783.031229656975</v>
      </c>
      <c r="O178" s="66">
        <f t="shared" si="18"/>
        <v>201013.47761854588</v>
      </c>
      <c r="P178" s="251"/>
      <c r="Q178" s="252"/>
      <c r="R178" s="248"/>
      <c r="S178" s="248"/>
      <c r="T178" s="253"/>
    </row>
    <row r="179" spans="1:20" s="247" customFormat="1" x14ac:dyDescent="0.25">
      <c r="A179" s="369">
        <f>'A) Base RI'!A180</f>
        <v>5701</v>
      </c>
      <c r="B179" s="260" t="str">
        <f>'A) Base RI'!B180</f>
        <v>Arnex-sur-Nyon</v>
      </c>
      <c r="C179" s="276">
        <v>0</v>
      </c>
      <c r="D179" s="249">
        <f>'B) D RI'!AA180</f>
        <v>214</v>
      </c>
      <c r="E179" s="250">
        <f>'B) D RI'!S180</f>
        <v>70</v>
      </c>
      <c r="F179" s="14">
        <f>'B) D RI'!R180</f>
        <v>1068942.75</v>
      </c>
      <c r="G179" s="14">
        <f>'B) D RI'!U180</f>
        <v>15270.610714285714</v>
      </c>
      <c r="H179" s="49">
        <f>'B) D RI'!T180</f>
        <v>1003480.35</v>
      </c>
      <c r="I179" s="14">
        <f t="shared" si="19"/>
        <v>28670.867142857143</v>
      </c>
      <c r="J179" s="39">
        <f t="shared" si="27"/>
        <v>18560.500051118284</v>
      </c>
      <c r="K179" s="14">
        <f t="shared" si="16"/>
        <v>18560.500051118284</v>
      </c>
      <c r="L179" s="14">
        <f t="shared" si="20"/>
        <v>0</v>
      </c>
      <c r="M179" s="14">
        <f>'D) Ecrêtage'!M178</f>
        <v>14660.270137972431</v>
      </c>
      <c r="N179" s="14">
        <f t="shared" si="17"/>
        <v>19086.577724002706</v>
      </c>
      <c r="O179" s="66">
        <f t="shared" si="18"/>
        <v>37647.07777512099</v>
      </c>
      <c r="P179" s="251"/>
      <c r="Q179" s="252"/>
      <c r="R179" s="248"/>
      <c r="S179" s="248"/>
      <c r="T179" s="253"/>
    </row>
    <row r="180" spans="1:20" s="247" customFormat="1" x14ac:dyDescent="0.25">
      <c r="A180" s="369">
        <f>'A) Base RI'!A181</f>
        <v>5702</v>
      </c>
      <c r="B180" s="260" t="str">
        <f>'A) Base RI'!B181</f>
        <v>Arzier-Le Muids</v>
      </c>
      <c r="C180" s="276">
        <v>0</v>
      </c>
      <c r="D180" s="249">
        <f>'B) D RI'!AA181</f>
        <v>2565</v>
      </c>
      <c r="E180" s="250">
        <f>'B) D RI'!S181</f>
        <v>64</v>
      </c>
      <c r="F180" s="14">
        <f>'B) D RI'!R181</f>
        <v>9847863.9499999993</v>
      </c>
      <c r="G180" s="14">
        <f>'B) D RI'!U181</f>
        <v>153872.87421874999</v>
      </c>
      <c r="H180" s="49">
        <f>'B) D RI'!T181</f>
        <v>9153540.5499999989</v>
      </c>
      <c r="I180" s="14">
        <f t="shared" si="19"/>
        <v>286048.14218749997</v>
      </c>
      <c r="J180" s="39">
        <f t="shared" si="27"/>
        <v>222465.80668746916</v>
      </c>
      <c r="K180" s="14">
        <f t="shared" si="16"/>
        <v>222465.80668746916</v>
      </c>
      <c r="L180" s="14">
        <f t="shared" si="20"/>
        <v>0</v>
      </c>
      <c r="M180" s="14">
        <f>'D) Ecrêtage'!M179</f>
        <v>151993.41132082354</v>
      </c>
      <c r="N180" s="14">
        <f t="shared" si="17"/>
        <v>197884.07931154498</v>
      </c>
      <c r="O180" s="66">
        <f t="shared" si="18"/>
        <v>420349.88599901414</v>
      </c>
      <c r="P180" s="251"/>
      <c r="Q180" s="252"/>
      <c r="R180" s="248"/>
      <c r="S180" s="248"/>
      <c r="T180" s="253"/>
    </row>
    <row r="181" spans="1:20" s="247" customFormat="1" x14ac:dyDescent="0.25">
      <c r="A181" s="369">
        <f>'A) Base RI'!A182</f>
        <v>5703</v>
      </c>
      <c r="B181" s="260" t="str">
        <f>'A) Base RI'!B182</f>
        <v>Bassins</v>
      </c>
      <c r="C181" s="276">
        <v>0</v>
      </c>
      <c r="D181" s="249">
        <f>'B) D RI'!AA182</f>
        <v>1311</v>
      </c>
      <c r="E181" s="250">
        <f>'B) D RI'!S182</f>
        <v>71</v>
      </c>
      <c r="F181" s="14">
        <f>'B) D RI'!R182</f>
        <v>3718426.6199999992</v>
      </c>
      <c r="G181" s="14">
        <f>'B) D RI'!U182</f>
        <v>52372.205915492945</v>
      </c>
      <c r="H181" s="49">
        <f>'B) D RI'!T182</f>
        <v>3431852.8699999992</v>
      </c>
      <c r="I181" s="14">
        <f t="shared" si="19"/>
        <v>96671.91183098589</v>
      </c>
      <c r="J181" s="39">
        <f t="shared" si="27"/>
        <v>113704.74564026202</v>
      </c>
      <c r="K181" s="14">
        <f t="shared" si="16"/>
        <v>96671.91183098589</v>
      </c>
      <c r="L181" s="14">
        <f t="shared" si="20"/>
        <v>17032.833809276126</v>
      </c>
      <c r="M181" s="14">
        <f>'D) Ecrêtage'!M180</f>
        <v>52372.205915492945</v>
      </c>
      <c r="N181" s="14">
        <f t="shared" si="17"/>
        <v>68184.703922637244</v>
      </c>
      <c r="O181" s="66">
        <f t="shared" si="18"/>
        <v>164856.61575362313</v>
      </c>
      <c r="P181" s="251"/>
      <c r="Q181" s="252"/>
      <c r="R181" s="248"/>
      <c r="S181" s="248"/>
      <c r="T181" s="253"/>
    </row>
    <row r="182" spans="1:20" s="247" customFormat="1" x14ac:dyDescent="0.25">
      <c r="A182" s="369">
        <f>'A) Base RI'!A183</f>
        <v>5704</v>
      </c>
      <c r="B182" s="260" t="str">
        <f>'A) Base RI'!B183</f>
        <v>Begnins</v>
      </c>
      <c r="C182" s="276">
        <v>0</v>
      </c>
      <c r="D182" s="249">
        <f>'B) D RI'!AA183</f>
        <v>1856</v>
      </c>
      <c r="E182" s="250">
        <f>'B) D RI'!S183</f>
        <v>67</v>
      </c>
      <c r="F182" s="14">
        <f>'B) D RI'!R183</f>
        <v>7926556.9666666668</v>
      </c>
      <c r="G182" s="14">
        <f>'B) D RI'!U183</f>
        <v>118306.82039800995</v>
      </c>
      <c r="H182" s="49">
        <f>'B) D RI'!T183</f>
        <v>7476137.7999999998</v>
      </c>
      <c r="I182" s="14">
        <f t="shared" si="19"/>
        <v>223168.29253731342</v>
      </c>
      <c r="J182" s="39">
        <f t="shared" si="27"/>
        <v>160973.30885455856</v>
      </c>
      <c r="K182" s="14">
        <f t="shared" si="16"/>
        <v>160973.30885455856</v>
      </c>
      <c r="L182" s="14">
        <f t="shared" si="20"/>
        <v>0</v>
      </c>
      <c r="M182" s="14">
        <f>'D) Ecrêtage'!M181</f>
        <v>115692.90527235197</v>
      </c>
      <c r="N182" s="14">
        <f t="shared" si="17"/>
        <v>150623.52929479021</v>
      </c>
      <c r="O182" s="66">
        <f t="shared" si="18"/>
        <v>311596.83814934874</v>
      </c>
      <c r="P182" s="251"/>
      <c r="Q182" s="252"/>
      <c r="R182" s="248"/>
      <c r="S182" s="248"/>
      <c r="T182" s="253"/>
    </row>
    <row r="183" spans="1:20" s="247" customFormat="1" x14ac:dyDescent="0.25">
      <c r="A183" s="369">
        <f>'A) Base RI'!A184</f>
        <v>5705</v>
      </c>
      <c r="B183" s="260" t="str">
        <f>'A) Base RI'!B184</f>
        <v>Bogis-Bossey</v>
      </c>
      <c r="C183" s="276">
        <v>0</v>
      </c>
      <c r="D183" s="249">
        <f>'B) D RI'!AA184</f>
        <v>827</v>
      </c>
      <c r="E183" s="250">
        <f>'B) D RI'!S184</f>
        <v>70</v>
      </c>
      <c r="F183" s="14">
        <f>'B) D RI'!R184</f>
        <v>3472747.3399999994</v>
      </c>
      <c r="G183" s="14">
        <f>'B) D RI'!U184</f>
        <v>49610.676285714275</v>
      </c>
      <c r="H183" s="49">
        <f>'B) D RI'!T184</f>
        <v>3253884.0399999996</v>
      </c>
      <c r="I183" s="14">
        <f t="shared" si="19"/>
        <v>92968.115428571415</v>
      </c>
      <c r="J183" s="39">
        <f t="shared" si="27"/>
        <v>71726.792253620661</v>
      </c>
      <c r="K183" s="14">
        <f t="shared" si="16"/>
        <v>71726.792253620661</v>
      </c>
      <c r="L183" s="14">
        <f t="shared" si="20"/>
        <v>0</v>
      </c>
      <c r="M183" s="14">
        <f>'D) Ecrêtage'!M182</f>
        <v>49004.809228600694</v>
      </c>
      <c r="N183" s="14">
        <f t="shared" si="17"/>
        <v>63800.604722074539</v>
      </c>
      <c r="O183" s="66">
        <f t="shared" si="18"/>
        <v>135527.39697569521</v>
      </c>
      <c r="P183" s="251"/>
      <c r="Q183" s="252"/>
      <c r="R183" s="248"/>
      <c r="S183" s="248"/>
      <c r="T183" s="253"/>
    </row>
    <row r="184" spans="1:20" s="247" customFormat="1" x14ac:dyDescent="0.25">
      <c r="A184" s="369">
        <f>'A) Base RI'!A185</f>
        <v>5706</v>
      </c>
      <c r="B184" s="260" t="str">
        <f>'A) Base RI'!B185</f>
        <v>Borex</v>
      </c>
      <c r="C184" s="276">
        <v>0</v>
      </c>
      <c r="D184" s="249">
        <f>'B) D RI'!AA185</f>
        <v>1099</v>
      </c>
      <c r="E184" s="250">
        <f>'B) D RI'!S185</f>
        <v>55</v>
      </c>
      <c r="F184" s="14">
        <f>'B) D RI'!R185</f>
        <v>3751613.4233333329</v>
      </c>
      <c r="G184" s="14">
        <f>'B) D RI'!U185</f>
        <v>68211.153151515144</v>
      </c>
      <c r="H184" s="49">
        <f>'B) D RI'!T185</f>
        <v>3510458.4899999998</v>
      </c>
      <c r="I184" s="14">
        <f t="shared" si="19"/>
        <v>127653.03599999999</v>
      </c>
      <c r="J184" s="39">
        <f t="shared" si="27"/>
        <v>95317.708206443902</v>
      </c>
      <c r="K184" s="14">
        <f t="shared" si="16"/>
        <v>95317.708206443902</v>
      </c>
      <c r="L184" s="14">
        <f t="shared" si="20"/>
        <v>0</v>
      </c>
      <c r="M184" s="14">
        <f>'D) Ecrêtage'!M183</f>
        <v>66994.978821330893</v>
      </c>
      <c r="N184" s="14">
        <f t="shared" si="17"/>
        <v>87222.463048562684</v>
      </c>
      <c r="O184" s="66">
        <f t="shared" si="18"/>
        <v>182540.17125500657</v>
      </c>
      <c r="P184" s="251"/>
      <c r="Q184" s="252"/>
      <c r="R184" s="248"/>
      <c r="S184" s="248"/>
      <c r="T184" s="253"/>
    </row>
    <row r="185" spans="1:20" s="247" customFormat="1" x14ac:dyDescent="0.25">
      <c r="A185" s="369">
        <f>'A) Base RI'!A186</f>
        <v>5707</v>
      </c>
      <c r="B185" s="260" t="str">
        <f>'A) Base RI'!B186</f>
        <v>Chavannes-de-Bogis</v>
      </c>
      <c r="C185" s="276">
        <v>0</v>
      </c>
      <c r="D185" s="249">
        <f>'B) D RI'!AA186</f>
        <v>1153</v>
      </c>
      <c r="E185" s="250">
        <f>'B) D RI'!S186</f>
        <v>59</v>
      </c>
      <c r="F185" s="14">
        <f>'B) D RI'!R186</f>
        <v>5974458.5666666673</v>
      </c>
      <c r="G185" s="14">
        <f>'B) D RI'!U186</f>
        <v>101262.00960451979</v>
      </c>
      <c r="H185" s="49">
        <f>'B) D RI'!T186</f>
        <v>5465610.3000000007</v>
      </c>
      <c r="I185" s="14">
        <f t="shared" si="19"/>
        <v>185274.92542372883</v>
      </c>
      <c r="J185" s="39">
        <f t="shared" si="27"/>
        <v>100001.19887354851</v>
      </c>
      <c r="K185" s="14">
        <f t="shared" si="16"/>
        <v>100001.19887354851</v>
      </c>
      <c r="L185" s="14">
        <f t="shared" si="20"/>
        <v>0</v>
      </c>
      <c r="M185" s="14">
        <f>'D) Ecrêtage'!M184</f>
        <v>93606.750062920488</v>
      </c>
      <c r="N185" s="14">
        <f t="shared" si="17"/>
        <v>121869.00335073395</v>
      </c>
      <c r="O185" s="66">
        <f t="shared" si="18"/>
        <v>221870.20222428246</v>
      </c>
      <c r="P185" s="251"/>
      <c r="Q185" s="252"/>
      <c r="R185" s="248"/>
      <c r="S185" s="248"/>
      <c r="T185" s="253"/>
    </row>
    <row r="186" spans="1:20" s="247" customFormat="1" x14ac:dyDescent="0.25">
      <c r="A186" s="369">
        <f>'A) Base RI'!A187</f>
        <v>5708</v>
      </c>
      <c r="B186" s="260" t="str">
        <f>'A) Base RI'!B187</f>
        <v>Chavannes-des-Bois</v>
      </c>
      <c r="C186" s="276">
        <v>0</v>
      </c>
      <c r="D186" s="249">
        <f>'B) D RI'!AA187</f>
        <v>850</v>
      </c>
      <c r="E186" s="250">
        <f>'B) D RI'!S187</f>
        <v>61</v>
      </c>
      <c r="F186" s="14">
        <f>'B) D RI'!R187</f>
        <v>4030754.206666667</v>
      </c>
      <c r="G186" s="14">
        <f>'B) D RI'!U187</f>
        <v>66077.93781420766</v>
      </c>
      <c r="H186" s="49">
        <f>'B) D RI'!T187</f>
        <v>3768057.8400000003</v>
      </c>
      <c r="I186" s="14">
        <f t="shared" si="19"/>
        <v>123542.88</v>
      </c>
      <c r="J186" s="39">
        <f t="shared" si="27"/>
        <v>73721.612352572629</v>
      </c>
      <c r="K186" s="14">
        <f t="shared" si="16"/>
        <v>73721.612352572629</v>
      </c>
      <c r="L186" s="14">
        <f t="shared" si="20"/>
        <v>0</v>
      </c>
      <c r="M186" s="14">
        <f>'D) Ecrêtage'!M185</f>
        <v>62406.249989727599</v>
      </c>
      <c r="N186" s="14">
        <f t="shared" si="17"/>
        <v>81248.280535246362</v>
      </c>
      <c r="O186" s="66">
        <f t="shared" si="18"/>
        <v>154969.89288781898</v>
      </c>
      <c r="P186" s="251"/>
      <c r="Q186" s="252"/>
      <c r="R186" s="248"/>
      <c r="S186" s="248"/>
      <c r="T186" s="253"/>
    </row>
    <row r="187" spans="1:20" s="247" customFormat="1" x14ac:dyDescent="0.25">
      <c r="A187" s="369">
        <f>'A) Base RI'!A188</f>
        <v>5709</v>
      </c>
      <c r="B187" s="260" t="str">
        <f>'A) Base RI'!B188</f>
        <v>Chéserex</v>
      </c>
      <c r="C187" s="276">
        <v>0</v>
      </c>
      <c r="D187" s="249">
        <f>'B) D RI'!AA188</f>
        <v>1222</v>
      </c>
      <c r="E187" s="250">
        <f>'B) D RI'!S188</f>
        <v>52</v>
      </c>
      <c r="F187" s="14">
        <f>'B) D RI'!R188</f>
        <v>7367414.3200000003</v>
      </c>
      <c r="G187" s="14">
        <f>'B) D RI'!U188</f>
        <v>141681.04461538463</v>
      </c>
      <c r="H187" s="49">
        <f>'B) D RI'!T188</f>
        <v>7016052.1200000001</v>
      </c>
      <c r="I187" s="14">
        <f t="shared" si="19"/>
        <v>269848.15846153849</v>
      </c>
      <c r="J187" s="39">
        <f t="shared" si="27"/>
        <v>105985.65917040441</v>
      </c>
      <c r="K187" s="14">
        <f t="shared" si="16"/>
        <v>105985.65917040441</v>
      </c>
      <c r="L187" s="14">
        <f t="shared" si="20"/>
        <v>0</v>
      </c>
      <c r="M187" s="14">
        <f>'D) Ecrêtage'!M186</f>
        <v>124275.39965933609</v>
      </c>
      <c r="N187" s="14">
        <f t="shared" si="17"/>
        <v>161797.29653381906</v>
      </c>
      <c r="O187" s="66">
        <f t="shared" si="18"/>
        <v>267782.95570422348</v>
      </c>
      <c r="P187" s="251"/>
      <c r="Q187" s="252"/>
      <c r="R187" s="248"/>
      <c r="S187" s="248"/>
      <c r="T187" s="253"/>
    </row>
    <row r="188" spans="1:20" s="247" customFormat="1" x14ac:dyDescent="0.25">
      <c r="A188" s="369">
        <f>'A) Base RI'!A189</f>
        <v>5710</v>
      </c>
      <c r="B188" s="260" t="str">
        <f>'A) Base RI'!B189</f>
        <v>Coinsins</v>
      </c>
      <c r="C188" s="276">
        <v>0</v>
      </c>
      <c r="D188" s="249">
        <f>'B) D RI'!AA189</f>
        <v>490</v>
      </c>
      <c r="E188" s="250">
        <f>'B) D RI'!S189</f>
        <v>41</v>
      </c>
      <c r="F188" s="14">
        <f>'B) D RI'!R189</f>
        <v>3178422.1400000011</v>
      </c>
      <c r="G188" s="14">
        <f>'B) D RI'!U189</f>
        <v>77522.491219512216</v>
      </c>
      <c r="H188" s="49">
        <f>'B) D RI'!T189</f>
        <v>3059214.7400000007</v>
      </c>
      <c r="I188" s="14">
        <f t="shared" si="19"/>
        <v>149229.98731707322</v>
      </c>
      <c r="J188" s="39">
        <f t="shared" si="27"/>
        <v>42498.341238541863</v>
      </c>
      <c r="K188" s="14">
        <f t="shared" si="16"/>
        <v>42498.341238541863</v>
      </c>
      <c r="L188" s="14">
        <f t="shared" si="20"/>
        <v>0</v>
      </c>
      <c r="M188" s="14">
        <f>'D) Ecrêtage'!M187</f>
        <v>64292.971472833407</v>
      </c>
      <c r="N188" s="14">
        <f t="shared" si="17"/>
        <v>83704.651113137021</v>
      </c>
      <c r="O188" s="66">
        <f t="shared" si="18"/>
        <v>126202.99235167888</v>
      </c>
      <c r="P188" s="251"/>
      <c r="Q188" s="252"/>
      <c r="R188" s="248"/>
      <c r="S188" s="248"/>
      <c r="T188" s="253"/>
    </row>
    <row r="189" spans="1:20" s="247" customFormat="1" x14ac:dyDescent="0.25">
      <c r="A189" s="369">
        <f>'A) Base RI'!A190</f>
        <v>5711</v>
      </c>
      <c r="B189" s="260" t="str">
        <f>'A) Base RI'!B190</f>
        <v>Commugny</v>
      </c>
      <c r="C189" s="276">
        <v>0</v>
      </c>
      <c r="D189" s="249">
        <f>'B) D RI'!AA190</f>
        <v>2561</v>
      </c>
      <c r="E189" s="250">
        <f>'B) D RI'!S190</f>
        <v>57</v>
      </c>
      <c r="F189" s="14">
        <f>'B) D RI'!R190</f>
        <v>14228442.748461537</v>
      </c>
      <c r="G189" s="14">
        <f>'B) D RI'!U190</f>
        <v>249621.80260458836</v>
      </c>
      <c r="H189" s="49">
        <f>'B) D RI'!T190</f>
        <v>13409757.209999999</v>
      </c>
      <c r="I189" s="14">
        <f t="shared" si="19"/>
        <v>470517.79684210522</v>
      </c>
      <c r="J189" s="39">
        <f t="shared" si="27"/>
        <v>222118.88145286881</v>
      </c>
      <c r="K189" s="14">
        <f t="shared" si="16"/>
        <v>222118.88145286881</v>
      </c>
      <c r="L189" s="14">
        <f t="shared" si="20"/>
        <v>0</v>
      </c>
      <c r="M189" s="14">
        <f>'D) Ecrêtage'!M188</f>
        <v>226389.55281831487</v>
      </c>
      <c r="N189" s="14">
        <f t="shared" si="17"/>
        <v>294742.30386634561</v>
      </c>
      <c r="O189" s="66">
        <f t="shared" si="18"/>
        <v>516861.18531921442</v>
      </c>
      <c r="P189" s="251"/>
      <c r="Q189" s="252"/>
      <c r="R189" s="248"/>
      <c r="S189" s="248"/>
      <c r="T189" s="253"/>
    </row>
    <row r="190" spans="1:20" s="247" customFormat="1" x14ac:dyDescent="0.25">
      <c r="A190" s="369">
        <f>'A) Base RI'!A191</f>
        <v>5712</v>
      </c>
      <c r="B190" s="260" t="str">
        <f>'A) Base RI'!B191</f>
        <v>Coppet</v>
      </c>
      <c r="C190" s="276">
        <v>0</v>
      </c>
      <c r="D190" s="249">
        <f>'B) D RI'!AA191</f>
        <v>2942</v>
      </c>
      <c r="E190" s="250">
        <f>'B) D RI'!S191</f>
        <v>53</v>
      </c>
      <c r="F190" s="14">
        <f>'B) D RI'!R191</f>
        <v>16793944.086666666</v>
      </c>
      <c r="G190" s="14">
        <f>'B) D RI'!U191</f>
        <v>316866.86955974839</v>
      </c>
      <c r="H190" s="49">
        <f>'B) D RI'!T191</f>
        <v>15736615.620000001</v>
      </c>
      <c r="I190" s="14">
        <f t="shared" si="19"/>
        <v>593834.55169811321</v>
      </c>
      <c r="J190" s="39">
        <f t="shared" si="27"/>
        <v>255163.51004855137</v>
      </c>
      <c r="K190" s="14">
        <f t="shared" si="16"/>
        <v>255163.51004855137</v>
      </c>
      <c r="L190" s="14">
        <f t="shared" si="20"/>
        <v>0</v>
      </c>
      <c r="M190" s="14">
        <f>'D) Ecrêtage'!M189</f>
        <v>281747.88573250698</v>
      </c>
      <c r="N190" s="14">
        <f t="shared" si="17"/>
        <v>366814.72230706585</v>
      </c>
      <c r="O190" s="66">
        <f t="shared" si="18"/>
        <v>621978.23235561722</v>
      </c>
      <c r="P190" s="251"/>
      <c r="Q190" s="252"/>
      <c r="R190" s="248"/>
      <c r="S190" s="248"/>
      <c r="T190" s="253"/>
    </row>
    <row r="191" spans="1:20" s="247" customFormat="1" x14ac:dyDescent="0.25">
      <c r="A191" s="369">
        <f>'A) Base RI'!A192</f>
        <v>5713</v>
      </c>
      <c r="B191" s="260" t="str">
        <f>'A) Base RI'!B192</f>
        <v>Crans-près-Céligny</v>
      </c>
      <c r="C191" s="276">
        <v>1</v>
      </c>
      <c r="D191" s="249">
        <f>'B) D RI'!AA192</f>
        <v>2059</v>
      </c>
      <c r="E191" s="250">
        <f>'B) D RI'!S192</f>
        <v>53</v>
      </c>
      <c r="F191" s="14">
        <f>'B) D RI'!R192</f>
        <v>12152143.560000001</v>
      </c>
      <c r="G191" s="14">
        <f>'B) D RI'!U192</f>
        <v>229285.72754716981</v>
      </c>
      <c r="H191" s="49">
        <f>'B) D RI'!T192</f>
        <v>11384055.01</v>
      </c>
      <c r="I191" s="14">
        <f t="shared" si="19"/>
        <v>429586.98150943394</v>
      </c>
      <c r="J191" s="39">
        <f t="shared" si="27"/>
        <v>178579.76451052591</v>
      </c>
      <c r="K191" s="14">
        <f t="shared" si="16"/>
        <v>0</v>
      </c>
      <c r="L191" s="14">
        <f t="shared" si="20"/>
        <v>178579.76451052591</v>
      </c>
      <c r="M191" s="14">
        <f>'D) Ecrêtage'!M190</f>
        <v>202601.05352067066</v>
      </c>
      <c r="N191" s="14">
        <f t="shared" si="17"/>
        <v>263771.45295372623</v>
      </c>
      <c r="O191" s="66">
        <f t="shared" si="18"/>
        <v>263771.45295372623</v>
      </c>
      <c r="P191" s="251"/>
      <c r="Q191" s="252"/>
      <c r="R191" s="248"/>
      <c r="S191" s="248"/>
      <c r="T191" s="253"/>
    </row>
    <row r="192" spans="1:20" s="247" customFormat="1" x14ac:dyDescent="0.25">
      <c r="A192" s="369">
        <f>'A) Base RI'!A193</f>
        <v>5714</v>
      </c>
      <c r="B192" s="260" t="str">
        <f>'A) Base RI'!B193</f>
        <v>Crassier</v>
      </c>
      <c r="C192" s="276">
        <v>0</v>
      </c>
      <c r="D192" s="249">
        <f>'B) D RI'!AA193</f>
        <v>1172</v>
      </c>
      <c r="E192" s="250">
        <f>'B) D RI'!S193</f>
        <v>64</v>
      </c>
      <c r="F192" s="14">
        <f>'B) D RI'!R193</f>
        <v>5275375.5</v>
      </c>
      <c r="G192" s="14">
        <f>'B) D RI'!U193</f>
        <v>82427.7421875</v>
      </c>
      <c r="H192" s="49">
        <f>'B) D RI'!T193</f>
        <v>5000341.3499999996</v>
      </c>
      <c r="I192" s="14">
        <f t="shared" si="19"/>
        <v>156260.66718749999</v>
      </c>
      <c r="J192" s="39">
        <f t="shared" si="27"/>
        <v>101649.09373790014</v>
      </c>
      <c r="K192" s="14">
        <f t="shared" si="16"/>
        <v>101649.09373790014</v>
      </c>
      <c r="L192" s="14">
        <f t="shared" si="20"/>
        <v>0</v>
      </c>
      <c r="M192" s="14">
        <f>'D) Ecrêtage'!M191</f>
        <v>79362.009468971679</v>
      </c>
      <c r="N192" s="14">
        <f t="shared" si="17"/>
        <v>103323.41408492367</v>
      </c>
      <c r="O192" s="66">
        <f t="shared" si="18"/>
        <v>204972.50782282383</v>
      </c>
      <c r="P192" s="251"/>
      <c r="Q192" s="252"/>
      <c r="R192" s="248"/>
      <c r="S192" s="248"/>
      <c r="T192" s="253"/>
    </row>
    <row r="193" spans="1:20" s="247" customFormat="1" x14ac:dyDescent="0.25">
      <c r="A193" s="369">
        <f>'A) Base RI'!A194</f>
        <v>5715</v>
      </c>
      <c r="B193" s="260" t="str">
        <f>'A) Base RI'!B194</f>
        <v>Duillier</v>
      </c>
      <c r="C193" s="276">
        <v>0</v>
      </c>
      <c r="D193" s="249">
        <f>'B) D RI'!AA194</f>
        <v>1039</v>
      </c>
      <c r="E193" s="250">
        <f>'B) D RI'!S194</f>
        <v>66</v>
      </c>
      <c r="F193" s="14">
        <f>'B) D RI'!R194</f>
        <v>4231415.3</v>
      </c>
      <c r="G193" s="14">
        <f>'B) D RI'!U194</f>
        <v>64112.353030303027</v>
      </c>
      <c r="H193" s="49">
        <f>'B) D RI'!T194</f>
        <v>3983549.1999999997</v>
      </c>
      <c r="I193" s="14">
        <f t="shared" si="19"/>
        <v>120713.61212121211</v>
      </c>
      <c r="J193" s="39">
        <f t="shared" si="27"/>
        <v>90113.829687438774</v>
      </c>
      <c r="K193" s="14">
        <f t="shared" ref="K193:K253" si="28">IF(C193=1,0,IF(J193&gt;I193,I193,J193))</f>
        <v>90113.829687438774</v>
      </c>
      <c r="L193" s="14">
        <f t="shared" si="20"/>
        <v>0</v>
      </c>
      <c r="M193" s="14">
        <f>'D) Ecrêtage'!M192</f>
        <v>63030.040980148689</v>
      </c>
      <c r="N193" s="14">
        <f t="shared" ref="N193:N253" si="29">+$N$5*M193</f>
        <v>82060.409855521721</v>
      </c>
      <c r="O193" s="66">
        <f t="shared" ref="O193:O253" si="30">+N193+K193</f>
        <v>172174.23954296048</v>
      </c>
      <c r="P193" s="251"/>
      <c r="Q193" s="252"/>
      <c r="R193" s="248"/>
      <c r="S193" s="248"/>
      <c r="T193" s="253"/>
    </row>
    <row r="194" spans="1:20" s="247" customFormat="1" x14ac:dyDescent="0.25">
      <c r="A194" s="369">
        <f>'A) Base RI'!A195</f>
        <v>5716</v>
      </c>
      <c r="B194" s="260" t="str">
        <f>'A) Base RI'!B195</f>
        <v>Eysins</v>
      </c>
      <c r="C194" s="276">
        <v>0</v>
      </c>
      <c r="D194" s="249">
        <f>'B) D RI'!AA195</f>
        <v>1482</v>
      </c>
      <c r="E194" s="250">
        <f>'B) D RI'!S195</f>
        <v>61</v>
      </c>
      <c r="F194" s="14">
        <f>'B) D RI'!R195</f>
        <v>5688801.8199999994</v>
      </c>
      <c r="G194" s="14">
        <f>'B) D RI'!U195</f>
        <v>93259.046229508182</v>
      </c>
      <c r="H194" s="49">
        <f>'B) D RI'!T195</f>
        <v>4993401.0199999996</v>
      </c>
      <c r="I194" s="14">
        <f t="shared" ref="I194:I254" si="31">+H194/E194*$I$5</f>
        <v>163718.06622950817</v>
      </c>
      <c r="J194" s="39">
        <f t="shared" si="27"/>
        <v>128535.79941942662</v>
      </c>
      <c r="K194" s="14">
        <f t="shared" si="28"/>
        <v>128535.79941942662</v>
      </c>
      <c r="L194" s="14">
        <f t="shared" ref="L194:L254" si="32">+J194-K194</f>
        <v>0</v>
      </c>
      <c r="M194" s="14">
        <f>'D) Ecrêtage'!M193</f>
        <v>91389.284930366979</v>
      </c>
      <c r="N194" s="14">
        <f t="shared" si="29"/>
        <v>118982.02922239758</v>
      </c>
      <c r="O194" s="66">
        <f t="shared" si="30"/>
        <v>247517.82864182419</v>
      </c>
      <c r="P194" s="251"/>
      <c r="Q194" s="252"/>
      <c r="R194" s="248"/>
      <c r="S194" s="248"/>
      <c r="T194" s="253"/>
    </row>
    <row r="195" spans="1:20" s="247" customFormat="1" x14ac:dyDescent="0.25">
      <c r="A195" s="369">
        <f>'A) Base RI'!A196</f>
        <v>5717</v>
      </c>
      <c r="B195" s="260" t="str">
        <f>'A) Base RI'!B196</f>
        <v>Founex</v>
      </c>
      <c r="C195" s="276">
        <v>0</v>
      </c>
      <c r="D195" s="249">
        <f>'B) D RI'!AA196</f>
        <v>3410</v>
      </c>
      <c r="E195" s="250">
        <f>'B) D RI'!S196</f>
        <v>57</v>
      </c>
      <c r="F195" s="14">
        <f>'B) D RI'!R196</f>
        <v>20502130.550000001</v>
      </c>
      <c r="G195" s="14">
        <f>'B) D RI'!U196</f>
        <v>359686.500877193</v>
      </c>
      <c r="H195" s="49">
        <f>'B) D RI'!T196</f>
        <v>19267392.75</v>
      </c>
      <c r="I195" s="14">
        <f t="shared" si="31"/>
        <v>676048.86842105258</v>
      </c>
      <c r="J195" s="39">
        <f t="shared" si="27"/>
        <v>295753.76249679137</v>
      </c>
      <c r="K195" s="14">
        <f t="shared" si="28"/>
        <v>295753.76249679137</v>
      </c>
      <c r="L195" s="14">
        <f t="shared" si="32"/>
        <v>0</v>
      </c>
      <c r="M195" s="14">
        <f>'D) Ecrêtage'!M194</f>
        <v>321105.05976303871</v>
      </c>
      <c r="N195" s="14">
        <f t="shared" si="29"/>
        <v>418054.82593824883</v>
      </c>
      <c r="O195" s="66">
        <f t="shared" si="30"/>
        <v>713808.5884350402</v>
      </c>
      <c r="P195" s="251"/>
      <c r="Q195" s="252"/>
      <c r="R195" s="248"/>
      <c r="S195" s="248"/>
      <c r="T195" s="253"/>
    </row>
    <row r="196" spans="1:20" s="247" customFormat="1" x14ac:dyDescent="0.25">
      <c r="A196" s="369">
        <f>'A) Base RI'!A197</f>
        <v>5718</v>
      </c>
      <c r="B196" s="260" t="str">
        <f>'A) Base RI'!B197</f>
        <v>Genolier</v>
      </c>
      <c r="C196" s="276">
        <v>0</v>
      </c>
      <c r="D196" s="249">
        <f>'B) D RI'!AA197</f>
        <v>1895</v>
      </c>
      <c r="E196" s="250">
        <f>'B) D RI'!S197</f>
        <v>55</v>
      </c>
      <c r="F196" s="14">
        <f>'B) D RI'!R197</f>
        <v>10700338.58</v>
      </c>
      <c r="G196" s="14">
        <f>'B) D RI'!U197</f>
        <v>194551.61054545455</v>
      </c>
      <c r="H196" s="49">
        <f>'B) D RI'!T197</f>
        <v>10078972.779999999</v>
      </c>
      <c r="I196" s="14">
        <f t="shared" si="31"/>
        <v>366508.10109090904</v>
      </c>
      <c r="J196" s="39">
        <f t="shared" si="27"/>
        <v>164355.82989191191</v>
      </c>
      <c r="K196" s="14">
        <f t="shared" si="28"/>
        <v>164355.82989191191</v>
      </c>
      <c r="L196" s="14">
        <f t="shared" si="32"/>
        <v>0</v>
      </c>
      <c r="M196" s="14">
        <f>'D) Ecrêtage'!M195</f>
        <v>174604.38142677894</v>
      </c>
      <c r="N196" s="14">
        <f t="shared" si="29"/>
        <v>227321.87508753105</v>
      </c>
      <c r="O196" s="66">
        <f t="shared" si="30"/>
        <v>391677.70497944299</v>
      </c>
      <c r="P196" s="251"/>
      <c r="Q196" s="252"/>
      <c r="R196" s="248"/>
      <c r="S196" s="248"/>
      <c r="T196" s="253"/>
    </row>
    <row r="197" spans="1:20" s="247" customFormat="1" x14ac:dyDescent="0.25">
      <c r="A197" s="369">
        <f>'A) Base RI'!A198</f>
        <v>5719</v>
      </c>
      <c r="B197" s="260" t="str">
        <f>'A) Base RI'!B198</f>
        <v>Gingins</v>
      </c>
      <c r="C197" s="276">
        <v>0</v>
      </c>
      <c r="D197" s="249">
        <f>'B) D RI'!AA198</f>
        <v>1195</v>
      </c>
      <c r="E197" s="250">
        <f>'B) D RI'!S198</f>
        <v>57</v>
      </c>
      <c r="F197" s="14">
        <f>'B) D RI'!R198</f>
        <v>5130667.5599999996</v>
      </c>
      <c r="G197" s="14">
        <f>'B) D RI'!U198</f>
        <v>90011.711578947361</v>
      </c>
      <c r="H197" s="49">
        <f>'B) D RI'!T198</f>
        <v>4759476.0599999996</v>
      </c>
      <c r="I197" s="14">
        <f t="shared" si="31"/>
        <v>166999.15999999997</v>
      </c>
      <c r="J197" s="39">
        <f t="shared" si="27"/>
        <v>103643.91383685209</v>
      </c>
      <c r="K197" s="14">
        <f t="shared" si="28"/>
        <v>103643.91383685209</v>
      </c>
      <c r="L197" s="14">
        <f t="shared" si="32"/>
        <v>0</v>
      </c>
      <c r="M197" s="14">
        <f>'D) Ecrêtage'!M196</f>
        <v>85513.552336943947</v>
      </c>
      <c r="N197" s="14">
        <f t="shared" si="29"/>
        <v>111332.26385147551</v>
      </c>
      <c r="O197" s="66">
        <f t="shared" si="30"/>
        <v>214976.17768832762</v>
      </c>
      <c r="P197" s="251"/>
      <c r="Q197" s="252"/>
      <c r="R197" s="248"/>
      <c r="S197" s="248"/>
      <c r="T197" s="253"/>
    </row>
    <row r="198" spans="1:20" s="247" customFormat="1" x14ac:dyDescent="0.25">
      <c r="A198" s="369">
        <f>'A) Base RI'!A199</f>
        <v>5720</v>
      </c>
      <c r="B198" s="260" t="str">
        <f>'A) Base RI'!B199</f>
        <v>Givrins</v>
      </c>
      <c r="C198" s="276">
        <v>0</v>
      </c>
      <c r="D198" s="249">
        <f>'B) D RI'!AA199</f>
        <v>1000</v>
      </c>
      <c r="E198" s="250">
        <f>'B) D RI'!S199</f>
        <v>61</v>
      </c>
      <c r="F198" s="14">
        <f>'B) D RI'!R199</f>
        <v>4491508.194444444</v>
      </c>
      <c r="G198" s="14">
        <f>'B) D RI'!U199</f>
        <v>73631.281876138426</v>
      </c>
      <c r="H198" s="49">
        <f>'B) D RI'!T199</f>
        <v>4213793.75</v>
      </c>
      <c r="I198" s="14">
        <f t="shared" si="31"/>
        <v>138157.17213114753</v>
      </c>
      <c r="J198" s="39">
        <f t="shared" si="27"/>
        <v>86731.308650085441</v>
      </c>
      <c r="K198" s="14">
        <f t="shared" si="28"/>
        <v>86731.308650085441</v>
      </c>
      <c r="L198" s="14">
        <f t="shared" si="32"/>
        <v>0</v>
      </c>
      <c r="M198" s="14">
        <f>'D) Ecrêtage'!M197</f>
        <v>70256.366894965046</v>
      </c>
      <c r="N198" s="14">
        <f t="shared" si="29"/>
        <v>91468.546945360707</v>
      </c>
      <c r="O198" s="66">
        <f t="shared" si="30"/>
        <v>178199.85559544613</v>
      </c>
      <c r="P198" s="251"/>
      <c r="Q198" s="252"/>
      <c r="R198" s="248"/>
      <c r="S198" s="248"/>
      <c r="T198" s="253"/>
    </row>
    <row r="199" spans="1:20" s="247" customFormat="1" x14ac:dyDescent="0.25">
      <c r="A199" s="369">
        <f>'A) Base RI'!A200</f>
        <v>5721</v>
      </c>
      <c r="B199" s="260" t="str">
        <f>'A) Base RI'!B200</f>
        <v>Gland</v>
      </c>
      <c r="C199" s="276">
        <v>0</v>
      </c>
      <c r="D199" s="249">
        <f>'B) D RI'!AA200</f>
        <v>12829</v>
      </c>
      <c r="E199" s="250">
        <f>'B) D RI'!S200</f>
        <v>62.5</v>
      </c>
      <c r="F199" s="14">
        <f>'B) D RI'!R200</f>
        <v>33821817.620000005</v>
      </c>
      <c r="G199" s="14">
        <f>'B) D RI'!U200</f>
        <v>541149.08192000003</v>
      </c>
      <c r="H199" s="49">
        <f>'B) D RI'!T200</f>
        <v>30974944.220000003</v>
      </c>
      <c r="I199" s="14">
        <f t="shared" si="31"/>
        <v>991198.21504000004</v>
      </c>
      <c r="J199" s="39">
        <f t="shared" si="27"/>
        <v>1112675.9586719461</v>
      </c>
      <c r="K199" s="14">
        <f t="shared" si="28"/>
        <v>991198.21504000004</v>
      </c>
      <c r="L199" s="14">
        <f t="shared" si="32"/>
        <v>121477.74363194604</v>
      </c>
      <c r="M199" s="14">
        <f>'D) Ecrêtage'!M198</f>
        <v>541149.08192000003</v>
      </c>
      <c r="N199" s="14">
        <f t="shared" si="29"/>
        <v>704535.7224070417</v>
      </c>
      <c r="O199" s="66">
        <f t="shared" si="30"/>
        <v>1695733.9374470417</v>
      </c>
      <c r="P199" s="251"/>
      <c r="Q199" s="252"/>
      <c r="R199" s="248"/>
      <c r="S199" s="248"/>
      <c r="T199" s="253"/>
    </row>
    <row r="200" spans="1:20" s="247" customFormat="1" x14ac:dyDescent="0.25">
      <c r="A200" s="369">
        <f>'A) Base RI'!A201</f>
        <v>5722</v>
      </c>
      <c r="B200" s="260" t="str">
        <f>'A) Base RI'!B201</f>
        <v>Grens</v>
      </c>
      <c r="C200" s="276">
        <v>0</v>
      </c>
      <c r="D200" s="249">
        <f>'B) D RI'!AA201</f>
        <v>377</v>
      </c>
      <c r="E200" s="250">
        <f>'B) D RI'!S201</f>
        <v>62</v>
      </c>
      <c r="F200" s="14">
        <f>'B) D RI'!R201</f>
        <v>1270959.2199999997</v>
      </c>
      <c r="G200" s="14">
        <f>'B) D RI'!U201</f>
        <v>20499.342258064513</v>
      </c>
      <c r="H200" s="49">
        <f>'B) D RI'!T201</f>
        <v>1198035.8199999998</v>
      </c>
      <c r="I200" s="14">
        <f t="shared" si="31"/>
        <v>38646.316774193539</v>
      </c>
      <c r="J200" s="39">
        <f t="shared" si="27"/>
        <v>32697.703361082211</v>
      </c>
      <c r="K200" s="14">
        <f t="shared" si="28"/>
        <v>32697.703361082211</v>
      </c>
      <c r="L200" s="14">
        <f t="shared" si="32"/>
        <v>0</v>
      </c>
      <c r="M200" s="14">
        <f>'D) Ecrêtage'!M199</f>
        <v>20499.342258064513</v>
      </c>
      <c r="N200" s="14">
        <f t="shared" si="29"/>
        <v>26688.613894368147</v>
      </c>
      <c r="O200" s="66">
        <f t="shared" si="30"/>
        <v>59386.317255450354</v>
      </c>
      <c r="P200" s="251"/>
      <c r="Q200" s="252"/>
      <c r="R200" s="248"/>
      <c r="S200" s="248"/>
      <c r="T200" s="253"/>
    </row>
    <row r="201" spans="1:20" s="247" customFormat="1" x14ac:dyDescent="0.25">
      <c r="A201" s="369">
        <f>'A) Base RI'!A202</f>
        <v>5723</v>
      </c>
      <c r="B201" s="260" t="str">
        <f>'A) Base RI'!B202</f>
        <v>Mies</v>
      </c>
      <c r="C201" s="276">
        <v>0</v>
      </c>
      <c r="D201" s="249">
        <f>'B) D RI'!AA202</f>
        <v>1791</v>
      </c>
      <c r="E201" s="250">
        <f>'B) D RI'!S202</f>
        <v>49</v>
      </c>
      <c r="F201" s="14">
        <f>'B) D RI'!R202</f>
        <v>30456382.549999993</v>
      </c>
      <c r="G201" s="14">
        <f>'B) D RI'!U202</f>
        <v>621558.82755102031</v>
      </c>
      <c r="H201" s="49">
        <f>'B) D RI'!T202</f>
        <v>29703160.649999995</v>
      </c>
      <c r="I201" s="14">
        <f t="shared" si="31"/>
        <v>1212373.9040816324</v>
      </c>
      <c r="J201" s="39">
        <f t="shared" si="27"/>
        <v>155335.77379230302</v>
      </c>
      <c r="K201" s="14">
        <f t="shared" si="28"/>
        <v>155335.77379230302</v>
      </c>
      <c r="L201" s="14">
        <f t="shared" si="32"/>
        <v>0</v>
      </c>
      <c r="M201" s="14">
        <f>'D) Ecrêtage'!M200</f>
        <v>461595.53306972765</v>
      </c>
      <c r="N201" s="14">
        <f t="shared" si="29"/>
        <v>600962.93834093784</v>
      </c>
      <c r="O201" s="66">
        <f t="shared" si="30"/>
        <v>756298.71213324089</v>
      </c>
      <c r="P201" s="251"/>
      <c r="Q201" s="252"/>
      <c r="R201" s="248"/>
      <c r="S201" s="248"/>
      <c r="T201" s="253"/>
    </row>
    <row r="202" spans="1:20" s="247" customFormat="1" x14ac:dyDescent="0.25">
      <c r="A202" s="369">
        <f>'A) Base RI'!A203</f>
        <v>5724</v>
      </c>
      <c r="B202" s="260" t="str">
        <f>'A) Base RI'!B203</f>
        <v>Nyon</v>
      </c>
      <c r="C202" s="276">
        <v>1</v>
      </c>
      <c r="D202" s="249">
        <f>'B) D RI'!AA203</f>
        <v>20047</v>
      </c>
      <c r="E202" s="250">
        <f>'B) D RI'!S203</f>
        <v>61</v>
      </c>
      <c r="F202" s="14">
        <f>'B) D RI'!R203</f>
        <v>86539198.220769227</v>
      </c>
      <c r="G202" s="14">
        <f>'B) D RI'!U203</f>
        <v>1418675.3806683479</v>
      </c>
      <c r="H202" s="49">
        <f>'B) D RI'!T203</f>
        <v>81230118.489999995</v>
      </c>
      <c r="I202" s="14">
        <f t="shared" si="31"/>
        <v>2663282.5734426226</v>
      </c>
      <c r="J202" s="39">
        <f t="shared" si="27"/>
        <v>1738702.5445082628</v>
      </c>
      <c r="K202" s="14">
        <f t="shared" si="28"/>
        <v>0</v>
      </c>
      <c r="L202" s="14">
        <f t="shared" si="32"/>
        <v>1738702.5445082628</v>
      </c>
      <c r="M202" s="14">
        <f>'D) Ecrêtage'!M201</f>
        <v>1364222.9732743632</v>
      </c>
      <c r="N202" s="14">
        <f t="shared" si="29"/>
        <v>1776116.508578361</v>
      </c>
      <c r="O202" s="66">
        <f t="shared" si="30"/>
        <v>1776116.508578361</v>
      </c>
      <c r="P202" s="251"/>
      <c r="Q202" s="252"/>
      <c r="R202" s="248"/>
      <c r="S202" s="248"/>
      <c r="T202" s="253"/>
    </row>
    <row r="203" spans="1:20" s="247" customFormat="1" x14ac:dyDescent="0.25">
      <c r="A203" s="369">
        <f>'A) Base RI'!A204</f>
        <v>5725</v>
      </c>
      <c r="B203" s="260" t="str">
        <f>'A) Base RI'!B204</f>
        <v>Prangins</v>
      </c>
      <c r="C203" s="276">
        <v>1</v>
      </c>
      <c r="D203" s="249">
        <f>'B) D RI'!AA204</f>
        <v>4011</v>
      </c>
      <c r="E203" s="250">
        <f>'B) D RI'!S204</f>
        <v>56</v>
      </c>
      <c r="F203" s="14">
        <f>'B) D RI'!R204</f>
        <v>17911071.228571426</v>
      </c>
      <c r="G203" s="14">
        <f>'B) D RI'!U204</f>
        <v>319840.55765306117</v>
      </c>
      <c r="H203" s="49">
        <f>'B) D RI'!T204</f>
        <v>16779772.799999997</v>
      </c>
      <c r="I203" s="14">
        <f t="shared" si="31"/>
        <v>599277.59999999986</v>
      </c>
      <c r="J203" s="39">
        <f t="shared" si="27"/>
        <v>347879.27899549267</v>
      </c>
      <c r="K203" s="14">
        <f t="shared" si="28"/>
        <v>0</v>
      </c>
      <c r="L203" s="14">
        <f t="shared" si="32"/>
        <v>347879.27899549267</v>
      </c>
      <c r="M203" s="14">
        <f>'D) Ecrêtage'!M202</f>
        <v>300667.51187256473</v>
      </c>
      <c r="N203" s="14">
        <f t="shared" si="29"/>
        <v>391446.66369919281</v>
      </c>
      <c r="O203" s="66">
        <f t="shared" si="30"/>
        <v>391446.66369919281</v>
      </c>
      <c r="P203" s="251"/>
      <c r="Q203" s="252"/>
      <c r="R203" s="248"/>
      <c r="S203" s="248"/>
      <c r="T203" s="253"/>
    </row>
    <row r="204" spans="1:20" s="247" customFormat="1" x14ac:dyDescent="0.25">
      <c r="A204" s="369">
        <f>'A) Base RI'!A205</f>
        <v>5726</v>
      </c>
      <c r="B204" s="260" t="str">
        <f>'A) Base RI'!B205</f>
        <v>La Rippe</v>
      </c>
      <c r="C204" s="276">
        <v>0</v>
      </c>
      <c r="D204" s="249">
        <f>'B) D RI'!AA205</f>
        <v>1120</v>
      </c>
      <c r="E204" s="250">
        <f>'B) D RI'!S205</f>
        <v>65</v>
      </c>
      <c r="F204" s="14">
        <f>'B) D RI'!R205</f>
        <v>4057354.97</v>
      </c>
      <c r="G204" s="14">
        <f>'B) D RI'!U205</f>
        <v>62420.845692307696</v>
      </c>
      <c r="H204" s="49">
        <f>'B) D RI'!T205</f>
        <v>3814255.1700000004</v>
      </c>
      <c r="I204" s="14">
        <f t="shared" si="31"/>
        <v>117361.69753846155</v>
      </c>
      <c r="J204" s="39">
        <f t="shared" si="27"/>
        <v>97139.065688095696</v>
      </c>
      <c r="K204" s="14">
        <f t="shared" si="28"/>
        <v>97139.065688095696</v>
      </c>
      <c r="L204" s="14">
        <f t="shared" si="32"/>
        <v>0</v>
      </c>
      <c r="M204" s="14">
        <f>'D) Ecrêtage'!M203</f>
        <v>62420.845692307696</v>
      </c>
      <c r="N204" s="14">
        <f t="shared" si="29"/>
        <v>81267.283050828235</v>
      </c>
      <c r="O204" s="66">
        <f t="shared" si="30"/>
        <v>178406.34873892393</v>
      </c>
      <c r="P204" s="251"/>
      <c r="Q204" s="252"/>
      <c r="R204" s="248"/>
      <c r="S204" s="248"/>
      <c r="T204" s="253"/>
    </row>
    <row r="205" spans="1:20" s="247" customFormat="1" x14ac:dyDescent="0.25">
      <c r="A205" s="369">
        <f>'A) Base RI'!A206</f>
        <v>5727</v>
      </c>
      <c r="B205" s="260" t="str">
        <f>'A) Base RI'!B206</f>
        <v>Saint-Cergue</v>
      </c>
      <c r="C205" s="276">
        <v>0</v>
      </c>
      <c r="D205" s="249">
        <f>'B) D RI'!AA206</f>
        <v>2481</v>
      </c>
      <c r="E205" s="250">
        <f>'B) D RI'!S206</f>
        <v>66</v>
      </c>
      <c r="F205" s="14">
        <f>'B) D RI'!R206</f>
        <v>6212317.3066666676</v>
      </c>
      <c r="G205" s="14">
        <f>'B) D RI'!U206</f>
        <v>94126.01979797981</v>
      </c>
      <c r="H205" s="49">
        <f>'B) D RI'!T206</f>
        <v>5739488.040000001</v>
      </c>
      <c r="I205" s="14">
        <f t="shared" si="31"/>
        <v>173923.88000000003</v>
      </c>
      <c r="J205" s="39">
        <f t="shared" si="27"/>
        <v>215180.37676086198</v>
      </c>
      <c r="K205" s="14">
        <f t="shared" si="28"/>
        <v>173923.88000000003</v>
      </c>
      <c r="L205" s="14">
        <f t="shared" si="32"/>
        <v>41256.496760861948</v>
      </c>
      <c r="M205" s="14">
        <f>'D) Ecrêtage'!M204</f>
        <v>94126.01979797981</v>
      </c>
      <c r="N205" s="14">
        <f t="shared" si="29"/>
        <v>122545.05379623432</v>
      </c>
      <c r="O205" s="66">
        <f t="shared" si="30"/>
        <v>296468.93379623437</v>
      </c>
      <c r="P205" s="251"/>
      <c r="Q205" s="252"/>
      <c r="R205" s="248"/>
      <c r="S205" s="248"/>
      <c r="T205" s="253"/>
    </row>
    <row r="206" spans="1:20" s="247" customFormat="1" x14ac:dyDescent="0.25">
      <c r="A206" s="369">
        <f>'A) Base RI'!A207</f>
        <v>5728</v>
      </c>
      <c r="B206" s="260" t="str">
        <f>'A) Base RI'!B207</f>
        <v>Signy-Avenex</v>
      </c>
      <c r="C206" s="276">
        <v>0</v>
      </c>
      <c r="D206" s="249">
        <f>'B) D RI'!AA207</f>
        <v>516</v>
      </c>
      <c r="E206" s="250">
        <f>'B) D RI'!S207</f>
        <v>56</v>
      </c>
      <c r="F206" s="14">
        <f>'B) D RI'!R207</f>
        <v>1878666.3699999996</v>
      </c>
      <c r="G206" s="14">
        <f>'B) D RI'!U207</f>
        <v>33547.613749999997</v>
      </c>
      <c r="H206" s="49">
        <f>'B) D RI'!T207</f>
        <v>1627164.0699999996</v>
      </c>
      <c r="I206" s="14">
        <f t="shared" si="31"/>
        <v>58113.002499999988</v>
      </c>
      <c r="J206" s="39">
        <f t="shared" si="27"/>
        <v>44753.355263444086</v>
      </c>
      <c r="K206" s="14">
        <f t="shared" si="28"/>
        <v>44753.355263444086</v>
      </c>
      <c r="L206" s="14">
        <f t="shared" si="32"/>
        <v>0</v>
      </c>
      <c r="M206" s="14">
        <f>'D) Ecrêtage'!M205</f>
        <v>32702.770254379117</v>
      </c>
      <c r="N206" s="14">
        <f t="shared" si="29"/>
        <v>42576.566487248761</v>
      </c>
      <c r="O206" s="66">
        <f t="shared" si="30"/>
        <v>87329.921750692854</v>
      </c>
      <c r="P206" s="251"/>
      <c r="Q206" s="252"/>
      <c r="R206" s="248"/>
      <c r="S206" s="248"/>
      <c r="T206" s="253"/>
    </row>
    <row r="207" spans="1:20" s="247" customFormat="1" x14ac:dyDescent="0.25">
      <c r="A207" s="369">
        <f>'A) Base RI'!A208</f>
        <v>5729</v>
      </c>
      <c r="B207" s="260" t="str">
        <f>'A) Base RI'!B208</f>
        <v>Tannay</v>
      </c>
      <c r="C207" s="276">
        <v>0</v>
      </c>
      <c r="D207" s="249">
        <f>'B) D RI'!AA208</f>
        <v>1430</v>
      </c>
      <c r="E207" s="250">
        <f>'B) D RI'!S208</f>
        <v>61</v>
      </c>
      <c r="F207" s="14">
        <f>'B) D RI'!R208</f>
        <v>8639776.2666666657</v>
      </c>
      <c r="G207" s="14">
        <f>'B) D RI'!U208</f>
        <v>141635.67650273221</v>
      </c>
      <c r="H207" s="49">
        <f>'B) D RI'!T208</f>
        <v>8116503.9999999991</v>
      </c>
      <c r="I207" s="14">
        <f t="shared" si="31"/>
        <v>266114.88524590159</v>
      </c>
      <c r="J207" s="39">
        <f t="shared" si="27"/>
        <v>124025.77136962218</v>
      </c>
      <c r="K207" s="14">
        <f t="shared" si="28"/>
        <v>124025.77136962218</v>
      </c>
      <c r="L207" s="14">
        <f t="shared" si="32"/>
        <v>0</v>
      </c>
      <c r="M207" s="14">
        <f>'D) Ecrêtage'!M206</f>
        <v>128032.5299435471</v>
      </c>
      <c r="N207" s="14">
        <f t="shared" si="29"/>
        <v>166688.7997949394</v>
      </c>
      <c r="O207" s="66">
        <f t="shared" si="30"/>
        <v>290714.57116456155</v>
      </c>
      <c r="P207" s="251"/>
      <c r="Q207" s="252"/>
      <c r="R207" s="248"/>
      <c r="S207" s="248"/>
      <c r="T207" s="253"/>
    </row>
    <row r="208" spans="1:20" s="247" customFormat="1" x14ac:dyDescent="0.25">
      <c r="A208" s="369">
        <f>'A) Base RI'!A209</f>
        <v>5730</v>
      </c>
      <c r="B208" s="260" t="str">
        <f>'A) Base RI'!B209</f>
        <v>Trélex</v>
      </c>
      <c r="C208" s="276">
        <v>0</v>
      </c>
      <c r="D208" s="249">
        <f>'B) D RI'!AA209</f>
        <v>1414</v>
      </c>
      <c r="E208" s="250">
        <f>'B) D RI'!S209</f>
        <v>57</v>
      </c>
      <c r="F208" s="14">
        <f>'B) D RI'!R209</f>
        <v>7134540.9588888893</v>
      </c>
      <c r="G208" s="14">
        <f>'B) D RI'!U209</f>
        <v>125167.38524366473</v>
      </c>
      <c r="H208" s="49">
        <f>'B) D RI'!T209</f>
        <v>6676851.0700000003</v>
      </c>
      <c r="I208" s="14">
        <f t="shared" si="31"/>
        <v>234275.47614035089</v>
      </c>
      <c r="J208" s="39">
        <f t="shared" si="27"/>
        <v>122638.07043122081</v>
      </c>
      <c r="K208" s="14">
        <f t="shared" si="28"/>
        <v>122638.07043122081</v>
      </c>
      <c r="L208" s="14">
        <f t="shared" si="32"/>
        <v>0</v>
      </c>
      <c r="M208" s="14">
        <f>'D) Ecrêtage'!M207</f>
        <v>115553.12234600043</v>
      </c>
      <c r="N208" s="14">
        <f t="shared" si="29"/>
        <v>150441.54235572371</v>
      </c>
      <c r="O208" s="66">
        <f t="shared" si="30"/>
        <v>273079.61278694449</v>
      </c>
      <c r="P208" s="251"/>
      <c r="Q208" s="252"/>
      <c r="R208" s="248"/>
      <c r="S208" s="248"/>
      <c r="T208" s="253"/>
    </row>
    <row r="209" spans="1:20" s="247" customFormat="1" x14ac:dyDescent="0.25">
      <c r="A209" s="369">
        <f>'A) Base RI'!A210</f>
        <v>5731</v>
      </c>
      <c r="B209" s="260" t="str">
        <f>'A) Base RI'!B210</f>
        <v>Le Vaud</v>
      </c>
      <c r="C209" s="276">
        <v>0</v>
      </c>
      <c r="D209" s="249">
        <f>'B) D RI'!AA210</f>
        <v>1260</v>
      </c>
      <c r="E209" s="250">
        <f>'B) D RI'!S210</f>
        <v>75</v>
      </c>
      <c r="F209" s="14">
        <f>'B) D RI'!R210</f>
        <v>3545023.0599999991</v>
      </c>
      <c r="G209" s="14">
        <f>'B) D RI'!U210</f>
        <v>47266.974133333322</v>
      </c>
      <c r="H209" s="49">
        <f>'B) D RI'!T210</f>
        <v>3304539.1599999992</v>
      </c>
      <c r="I209" s="14">
        <f t="shared" si="31"/>
        <v>88121.044266666649</v>
      </c>
      <c r="J209" s="39">
        <f t="shared" si="27"/>
        <v>109281.44889910765</v>
      </c>
      <c r="K209" s="14">
        <f t="shared" si="28"/>
        <v>88121.044266666649</v>
      </c>
      <c r="L209" s="14">
        <f t="shared" si="32"/>
        <v>21160.404632441001</v>
      </c>
      <c r="M209" s="14">
        <f>'D) Ecrêtage'!M208</f>
        <v>47266.974133333322</v>
      </c>
      <c r="N209" s="14">
        <f t="shared" si="29"/>
        <v>61538.073110777244</v>
      </c>
      <c r="O209" s="66">
        <f t="shared" si="30"/>
        <v>149659.11737744388</v>
      </c>
      <c r="P209" s="251"/>
      <c r="Q209" s="252"/>
      <c r="R209" s="248"/>
      <c r="S209" s="248"/>
      <c r="T209" s="253"/>
    </row>
    <row r="210" spans="1:20" s="247" customFormat="1" x14ac:dyDescent="0.25">
      <c r="A210" s="369">
        <f>'A) Base RI'!A211</f>
        <v>5732</v>
      </c>
      <c r="B210" s="260" t="str">
        <f>'A) Base RI'!B211</f>
        <v>Vich</v>
      </c>
      <c r="C210" s="276">
        <v>0</v>
      </c>
      <c r="D210" s="249">
        <f>'B) D RI'!AA211</f>
        <v>958</v>
      </c>
      <c r="E210" s="250">
        <f>'B) D RI'!S211</f>
        <v>68</v>
      </c>
      <c r="F210" s="14">
        <f>'B) D RI'!R211</f>
        <v>5191379.6400000006</v>
      </c>
      <c r="G210" s="14">
        <f>'B) D RI'!U211</f>
        <v>76343.818235294122</v>
      </c>
      <c r="H210" s="49">
        <f>'B) D RI'!T211</f>
        <v>4994892.4400000004</v>
      </c>
      <c r="I210" s="14">
        <f t="shared" si="31"/>
        <v>146908.60117647061</v>
      </c>
      <c r="J210" s="39">
        <f t="shared" si="27"/>
        <v>83088.593686781853</v>
      </c>
      <c r="K210" s="14">
        <f t="shared" si="28"/>
        <v>83088.593686781853</v>
      </c>
      <c r="L210" s="14">
        <f t="shared" si="32"/>
        <v>0</v>
      </c>
      <c r="M210" s="14">
        <f>'D) Ecrêtage'!M209</f>
        <v>71775.488137800727</v>
      </c>
      <c r="N210" s="14">
        <f t="shared" si="29"/>
        <v>93446.329441910042</v>
      </c>
      <c r="O210" s="66">
        <f t="shared" si="30"/>
        <v>176534.92312869191</v>
      </c>
      <c r="P210" s="251"/>
      <c r="Q210" s="252"/>
      <c r="R210" s="248"/>
      <c r="S210" s="248"/>
      <c r="T210" s="253"/>
    </row>
    <row r="211" spans="1:20" s="247" customFormat="1" x14ac:dyDescent="0.25">
      <c r="A211" s="369">
        <f>'A) Base RI'!A212</f>
        <v>5741</v>
      </c>
      <c r="B211" s="260" t="str">
        <f>'A) Base RI'!B212</f>
        <v>L'Abergement</v>
      </c>
      <c r="C211" s="276">
        <v>0</v>
      </c>
      <c r="D211" s="249">
        <f>'B) D RI'!AA212</f>
        <v>240</v>
      </c>
      <c r="E211" s="250">
        <f>'B) D RI'!S212</f>
        <v>81</v>
      </c>
      <c r="F211" s="14">
        <f>'B) D RI'!R212</f>
        <v>524425.23166666669</v>
      </c>
      <c r="G211" s="14">
        <f>'B) D RI'!U212</f>
        <v>6474.3855761316872</v>
      </c>
      <c r="H211" s="49">
        <f>'B) D RI'!T212</f>
        <v>488353.69</v>
      </c>
      <c r="I211" s="14">
        <f t="shared" si="31"/>
        <v>12058.115802469136</v>
      </c>
      <c r="J211" s="39">
        <f t="shared" si="27"/>
        <v>20815.514076020507</v>
      </c>
      <c r="K211" s="14">
        <f t="shared" si="28"/>
        <v>12058.115802469136</v>
      </c>
      <c r="L211" s="14">
        <f t="shared" si="32"/>
        <v>8757.3982735513709</v>
      </c>
      <c r="M211" s="14">
        <f>'D) Ecrêtage'!M210</f>
        <v>6474.3855761316872</v>
      </c>
      <c r="N211" s="14">
        <f t="shared" si="29"/>
        <v>8429.166881033354</v>
      </c>
      <c r="O211" s="66">
        <f t="shared" si="30"/>
        <v>20487.28268350249</v>
      </c>
      <c r="P211" s="251"/>
      <c r="Q211" s="252"/>
      <c r="R211" s="248"/>
      <c r="S211" s="248"/>
      <c r="T211" s="253"/>
    </row>
    <row r="212" spans="1:20" s="247" customFormat="1" x14ac:dyDescent="0.25">
      <c r="A212" s="369">
        <f>'A) Base RI'!A213</f>
        <v>5742</v>
      </c>
      <c r="B212" s="260" t="str">
        <f>'A) Base RI'!B213</f>
        <v>Agiez</v>
      </c>
      <c r="C212" s="276">
        <v>0</v>
      </c>
      <c r="D212" s="249">
        <f>'B) D RI'!AA213</f>
        <v>293</v>
      </c>
      <c r="E212" s="250">
        <f>'B) D RI'!S213</f>
        <v>76</v>
      </c>
      <c r="F212" s="14">
        <f>'B) D RI'!R213</f>
        <v>638857.67999999993</v>
      </c>
      <c r="G212" s="14">
        <f>'B) D RI'!U213</f>
        <v>8406.0221052631568</v>
      </c>
      <c r="H212" s="49">
        <f>'B) D RI'!T213</f>
        <v>591253.07999999996</v>
      </c>
      <c r="I212" s="14">
        <f t="shared" si="31"/>
        <v>15559.291578947368</v>
      </c>
      <c r="J212" s="39">
        <f t="shared" si="27"/>
        <v>25412.273434475035</v>
      </c>
      <c r="K212" s="14">
        <f t="shared" si="28"/>
        <v>15559.291578947368</v>
      </c>
      <c r="L212" s="14">
        <f t="shared" si="32"/>
        <v>9852.981855527667</v>
      </c>
      <c r="M212" s="14">
        <f>'D) Ecrêtage'!M211</f>
        <v>8406.0221052631568</v>
      </c>
      <c r="N212" s="14">
        <f t="shared" si="29"/>
        <v>10944.013497146911</v>
      </c>
      <c r="O212" s="66">
        <f t="shared" si="30"/>
        <v>26503.305076094279</v>
      </c>
      <c r="P212" s="251"/>
      <c r="Q212" s="252"/>
      <c r="R212" s="248"/>
      <c r="S212" s="248"/>
      <c r="T212" s="253"/>
    </row>
    <row r="213" spans="1:20" s="247" customFormat="1" x14ac:dyDescent="0.25">
      <c r="A213" s="369">
        <f>'A) Base RI'!A214</f>
        <v>5743</v>
      </c>
      <c r="B213" s="260" t="str">
        <f>'A) Base RI'!B214</f>
        <v>Arnex-sur-Orbe</v>
      </c>
      <c r="C213" s="276">
        <v>0</v>
      </c>
      <c r="D213" s="249">
        <f>'B) D RI'!AA214</f>
        <v>632</v>
      </c>
      <c r="E213" s="250">
        <f>'B) D RI'!S214</f>
        <v>73</v>
      </c>
      <c r="F213" s="14">
        <f>'B) D RI'!R214</f>
        <v>1179483.6950000003</v>
      </c>
      <c r="G213" s="14">
        <f>'B) D RI'!U214</f>
        <v>16157.310890410963</v>
      </c>
      <c r="H213" s="49">
        <f>'B) D RI'!T214</f>
        <v>1102396.5700000003</v>
      </c>
      <c r="I213" s="14">
        <f t="shared" si="31"/>
        <v>30202.645753424666</v>
      </c>
      <c r="J213" s="39">
        <f t="shared" si="27"/>
        <v>54814.187066854</v>
      </c>
      <c r="K213" s="14">
        <f t="shared" si="28"/>
        <v>30202.645753424666</v>
      </c>
      <c r="L213" s="14">
        <f t="shared" si="32"/>
        <v>24611.541313429334</v>
      </c>
      <c r="M213" s="14">
        <f>'D) Ecrêtage'!M212</f>
        <v>16157.310890410963</v>
      </c>
      <c r="N213" s="14">
        <f t="shared" si="29"/>
        <v>21035.613069770854</v>
      </c>
      <c r="O213" s="66">
        <f t="shared" si="30"/>
        <v>51238.258823195516</v>
      </c>
      <c r="P213" s="251"/>
      <c r="Q213" s="252"/>
      <c r="R213" s="248"/>
      <c r="S213" s="248"/>
      <c r="T213" s="253"/>
    </row>
    <row r="214" spans="1:20" s="247" customFormat="1" x14ac:dyDescent="0.25">
      <c r="A214" s="369">
        <f>'A) Base RI'!A215</f>
        <v>5744</v>
      </c>
      <c r="B214" s="260" t="str">
        <f>'A) Base RI'!B215</f>
        <v>Ballaigues</v>
      </c>
      <c r="C214" s="276">
        <v>0</v>
      </c>
      <c r="D214" s="249">
        <f>'B) D RI'!AA215</f>
        <v>1101</v>
      </c>
      <c r="E214" s="250">
        <f>'B) D RI'!S215</f>
        <v>66</v>
      </c>
      <c r="F214" s="14">
        <f>'B) D RI'!R215</f>
        <v>4479868.8100000005</v>
      </c>
      <c r="G214" s="14">
        <f>'B) D RI'!U215</f>
        <v>67876.800151515155</v>
      </c>
      <c r="H214" s="49">
        <f>'B) D RI'!T215</f>
        <v>4322284.7600000007</v>
      </c>
      <c r="I214" s="14">
        <f t="shared" si="31"/>
        <v>130978.32606060608</v>
      </c>
      <c r="J214" s="39">
        <f t="shared" si="27"/>
        <v>95491.170823744062</v>
      </c>
      <c r="K214" s="14">
        <f t="shared" si="28"/>
        <v>95491.170823744062</v>
      </c>
      <c r="L214" s="14">
        <f t="shared" si="32"/>
        <v>0</v>
      </c>
      <c r="M214" s="14">
        <f>'D) Ecrêtage'!M213</f>
        <v>66740.940086057177</v>
      </c>
      <c r="N214" s="14">
        <f t="shared" si="29"/>
        <v>86891.723572408679</v>
      </c>
      <c r="O214" s="66">
        <f t="shared" si="30"/>
        <v>182382.89439615275</v>
      </c>
      <c r="P214" s="251"/>
      <c r="Q214" s="252"/>
      <c r="R214" s="248"/>
      <c r="S214" s="248"/>
      <c r="T214" s="253"/>
    </row>
    <row r="215" spans="1:20" s="247" customFormat="1" x14ac:dyDescent="0.25">
      <c r="A215" s="369">
        <f>'A) Base RI'!A216</f>
        <v>5745</v>
      </c>
      <c r="B215" s="260" t="str">
        <f>'A) Base RI'!B216</f>
        <v>Baulmes</v>
      </c>
      <c r="C215" s="276">
        <v>0</v>
      </c>
      <c r="D215" s="249">
        <f>'B) D RI'!AA216</f>
        <v>1055</v>
      </c>
      <c r="E215" s="250">
        <f>'B) D RI'!S216</f>
        <v>78</v>
      </c>
      <c r="F215" s="14">
        <f>'B) D RI'!R216</f>
        <v>2083243.05</v>
      </c>
      <c r="G215" s="14">
        <f>'B) D RI'!U216</f>
        <v>26708.244230769233</v>
      </c>
      <c r="H215" s="49">
        <f>'B) D RI'!T216</f>
        <v>1961413.75</v>
      </c>
      <c r="I215" s="14">
        <f t="shared" si="31"/>
        <v>50292.660256410258</v>
      </c>
      <c r="J215" s="39">
        <f t="shared" si="27"/>
        <v>91501.53062584014</v>
      </c>
      <c r="K215" s="14">
        <f t="shared" si="28"/>
        <v>50292.660256410258</v>
      </c>
      <c r="L215" s="14">
        <f t="shared" si="32"/>
        <v>41208.870369429882</v>
      </c>
      <c r="M215" s="14">
        <f>'D) Ecrêtage'!M214</f>
        <v>26708.244230769233</v>
      </c>
      <c r="N215" s="14">
        <f t="shared" si="29"/>
        <v>34772.140934964162</v>
      </c>
      <c r="O215" s="66">
        <f t="shared" si="30"/>
        <v>85064.801191374427</v>
      </c>
      <c r="P215" s="251"/>
      <c r="Q215" s="252"/>
      <c r="R215" s="248"/>
      <c r="S215" s="248"/>
      <c r="T215" s="253"/>
    </row>
    <row r="216" spans="1:20" s="247" customFormat="1" x14ac:dyDescent="0.25">
      <c r="A216" s="369">
        <f>'A) Base RI'!A217</f>
        <v>5746</v>
      </c>
      <c r="B216" s="260" t="str">
        <f>'A) Base RI'!B217</f>
        <v>Bavois</v>
      </c>
      <c r="C216" s="276">
        <v>0</v>
      </c>
      <c r="D216" s="249">
        <f>'B) D RI'!AA217</f>
        <v>939</v>
      </c>
      <c r="E216" s="250">
        <f>'B) D RI'!S217</f>
        <v>73</v>
      </c>
      <c r="F216" s="14">
        <f>'B) D RI'!R217</f>
        <v>1940028.6566666667</v>
      </c>
      <c r="G216" s="14">
        <f>'B) D RI'!U217</f>
        <v>26575.73502283105</v>
      </c>
      <c r="H216" s="49">
        <f>'B) D RI'!T217</f>
        <v>1781813.49</v>
      </c>
      <c r="I216" s="14">
        <f t="shared" si="31"/>
        <v>48816.807945205481</v>
      </c>
      <c r="J216" s="39">
        <f t="shared" si="27"/>
        <v>81440.698822430233</v>
      </c>
      <c r="K216" s="14">
        <f t="shared" si="28"/>
        <v>48816.807945205481</v>
      </c>
      <c r="L216" s="14">
        <f t="shared" si="32"/>
        <v>32623.890877224752</v>
      </c>
      <c r="M216" s="14">
        <f>'D) Ecrêtage'!M215</f>
        <v>26575.73502283105</v>
      </c>
      <c r="N216" s="14">
        <f t="shared" si="29"/>
        <v>34599.623834484046</v>
      </c>
      <c r="O216" s="66">
        <f t="shared" si="30"/>
        <v>83416.431779689534</v>
      </c>
      <c r="P216" s="251"/>
      <c r="Q216" s="252"/>
      <c r="R216" s="248"/>
      <c r="S216" s="248"/>
      <c r="T216" s="253"/>
    </row>
    <row r="217" spans="1:20" s="247" customFormat="1" x14ac:dyDescent="0.25">
      <c r="A217" s="369">
        <f>'A) Base RI'!A218</f>
        <v>5747</v>
      </c>
      <c r="B217" s="260" t="str">
        <f>'A) Base RI'!B218</f>
        <v>Bofflens</v>
      </c>
      <c r="C217" s="276">
        <v>0</v>
      </c>
      <c r="D217" s="249">
        <f>'B) D RI'!AA218</f>
        <v>188</v>
      </c>
      <c r="E217" s="250">
        <f>'B) D RI'!S218</f>
        <v>69</v>
      </c>
      <c r="F217" s="14">
        <f>'B) D RI'!R218</f>
        <v>366239.93</v>
      </c>
      <c r="G217" s="14">
        <f>'B) D RI'!U218</f>
        <v>5307.8250724637683</v>
      </c>
      <c r="H217" s="49">
        <f>'B) D RI'!T218</f>
        <v>340172.23</v>
      </c>
      <c r="I217" s="14">
        <f t="shared" si="31"/>
        <v>9860.0646376811583</v>
      </c>
      <c r="J217" s="39">
        <f t="shared" si="27"/>
        <v>16305.486026216062</v>
      </c>
      <c r="K217" s="14">
        <f t="shared" si="28"/>
        <v>9860.0646376811583</v>
      </c>
      <c r="L217" s="14">
        <f t="shared" si="32"/>
        <v>6445.4213885349036</v>
      </c>
      <c r="M217" s="14">
        <f>'D) Ecrêtage'!M216</f>
        <v>5307.8250724637683</v>
      </c>
      <c r="N217" s="14">
        <f t="shared" si="29"/>
        <v>6910.392157685118</v>
      </c>
      <c r="O217" s="66">
        <f t="shared" si="30"/>
        <v>16770.456795366277</v>
      </c>
      <c r="P217" s="251"/>
      <c r="Q217" s="252"/>
      <c r="R217" s="248"/>
      <c r="S217" s="248"/>
      <c r="T217" s="253"/>
    </row>
    <row r="218" spans="1:20" s="247" customFormat="1" x14ac:dyDescent="0.25">
      <c r="A218" s="369">
        <f>'A) Base RI'!A219</f>
        <v>5748</v>
      </c>
      <c r="B218" s="260" t="str">
        <f>'A) Base RI'!B219</f>
        <v>Bretonnières</v>
      </c>
      <c r="C218" s="276">
        <v>0</v>
      </c>
      <c r="D218" s="249">
        <f>'B) D RI'!AA219</f>
        <v>258</v>
      </c>
      <c r="E218" s="250">
        <f>'B) D RI'!S219</f>
        <v>72</v>
      </c>
      <c r="F218" s="14">
        <f>'B) D RI'!R219</f>
        <v>522791.37999999995</v>
      </c>
      <c r="G218" s="14">
        <f>'B) D RI'!U219</f>
        <v>7260.9913888888877</v>
      </c>
      <c r="H218" s="49">
        <f>'B) D RI'!T219</f>
        <v>488031.37999999995</v>
      </c>
      <c r="I218" s="14">
        <f t="shared" si="31"/>
        <v>13556.427222222221</v>
      </c>
      <c r="J218" s="39">
        <f t="shared" si="27"/>
        <v>22376.677631722043</v>
      </c>
      <c r="K218" s="14">
        <f t="shared" si="28"/>
        <v>13556.427222222221</v>
      </c>
      <c r="L218" s="14">
        <f t="shared" si="32"/>
        <v>8820.2504094998221</v>
      </c>
      <c r="M218" s="14">
        <f>'D) Ecrêtage'!M217</f>
        <v>7260.9913888888877</v>
      </c>
      <c r="N218" s="14">
        <f t="shared" si="29"/>
        <v>9453.2689502343146</v>
      </c>
      <c r="O218" s="66">
        <f t="shared" si="30"/>
        <v>23009.696172456534</v>
      </c>
      <c r="P218" s="251"/>
      <c r="Q218" s="252"/>
      <c r="R218" s="248"/>
      <c r="S218" s="248"/>
      <c r="T218" s="253"/>
    </row>
    <row r="219" spans="1:20" s="247" customFormat="1" x14ac:dyDescent="0.25">
      <c r="A219" s="369">
        <f>'A) Base RI'!A220</f>
        <v>5749</v>
      </c>
      <c r="B219" s="260" t="str">
        <f>'A) Base RI'!B220</f>
        <v>Chavornay</v>
      </c>
      <c r="C219" s="276">
        <v>0</v>
      </c>
      <c r="D219" s="249">
        <f>'B) D RI'!AA220</f>
        <v>4817</v>
      </c>
      <c r="E219" s="250">
        <f>'B) D RI'!S220</f>
        <v>72.36</v>
      </c>
      <c r="F219" s="14">
        <f>'B) D RI'!R220</f>
        <v>9596088.3500000015</v>
      </c>
      <c r="G219" s="14">
        <f>'B) D RI'!U220</f>
        <v>132615.92523493644</v>
      </c>
      <c r="H219" s="49">
        <f>'B) D RI'!T220</f>
        <v>8840541.2000000011</v>
      </c>
      <c r="I219" s="14">
        <f t="shared" ref="I219" si="33">+H219/E219*$I$5</f>
        <v>244348.8446655611</v>
      </c>
      <c r="J219" s="39">
        <f t="shared" ref="J219" si="34">+$I$315/$D$315*D219</f>
        <v>417784.71376746154</v>
      </c>
      <c r="K219" s="14">
        <f t="shared" ref="K219" si="35">IF(C219=1,0,IF(J219&gt;I219,I219,J219))</f>
        <v>244348.8446655611</v>
      </c>
      <c r="L219" s="14">
        <f t="shared" ref="L219" si="36">+J219-K219</f>
        <v>173435.86910190043</v>
      </c>
      <c r="M219" s="14">
        <f>'D) Ecrêtage'!M218</f>
        <v>132615.92523493644</v>
      </c>
      <c r="N219" s="14">
        <f t="shared" ref="N219" si="37">+$N$5*M219</f>
        <v>172656.03843690277</v>
      </c>
      <c r="O219" s="66">
        <f t="shared" ref="O219" si="38">+N219+K219</f>
        <v>417004.88310246391</v>
      </c>
      <c r="P219" s="251"/>
      <c r="Q219" s="252"/>
      <c r="R219" s="248"/>
      <c r="S219" s="248"/>
      <c r="T219" s="253"/>
    </row>
    <row r="220" spans="1:20" s="247" customFormat="1" x14ac:dyDescent="0.25">
      <c r="A220" s="369">
        <f>'A) Base RI'!A221</f>
        <v>5750</v>
      </c>
      <c r="B220" s="260" t="str">
        <f>'A) Base RI'!B221</f>
        <v>Les Clées</v>
      </c>
      <c r="C220" s="276">
        <v>0</v>
      </c>
      <c r="D220" s="249">
        <f>'B) D RI'!AA221</f>
        <v>176</v>
      </c>
      <c r="E220" s="250">
        <f>'B) D RI'!S221</f>
        <v>80</v>
      </c>
      <c r="F220" s="14">
        <f>'B) D RI'!R221</f>
        <v>383205.8233333333</v>
      </c>
      <c r="G220" s="14">
        <f>'B) D RI'!U221</f>
        <v>4790.0727916666665</v>
      </c>
      <c r="H220" s="49">
        <f>'B) D RI'!T221</f>
        <v>361348.24</v>
      </c>
      <c r="I220" s="14">
        <f t="shared" si="31"/>
        <v>9033.7060000000001</v>
      </c>
      <c r="J220" s="39">
        <f t="shared" ref="J220:J243" si="39">+$I$315/$D$315*D220</f>
        <v>15264.710322415038</v>
      </c>
      <c r="K220" s="14">
        <f t="shared" si="28"/>
        <v>9033.7060000000001</v>
      </c>
      <c r="L220" s="14">
        <f t="shared" si="32"/>
        <v>6231.0043224150377</v>
      </c>
      <c r="M220" s="14">
        <f>'D) Ecrêtage'!M219</f>
        <v>4790.0727916666665</v>
      </c>
      <c r="N220" s="14">
        <f t="shared" si="29"/>
        <v>6236.3173243969304</v>
      </c>
      <c r="O220" s="66">
        <f t="shared" si="30"/>
        <v>15270.023324396931</v>
      </c>
      <c r="P220" s="251"/>
      <c r="Q220" s="252"/>
      <c r="R220" s="248"/>
      <c r="S220" s="248"/>
      <c r="T220" s="253"/>
    </row>
    <row r="221" spans="1:20" s="247" customFormat="1" x14ac:dyDescent="0.25">
      <c r="A221" s="369">
        <f>'A) Base RI'!A222</f>
        <v>5752</v>
      </c>
      <c r="B221" s="260" t="str">
        <f>'A) Base RI'!B222</f>
        <v>Croy</v>
      </c>
      <c r="C221" s="276">
        <v>0</v>
      </c>
      <c r="D221" s="249">
        <f>'B) D RI'!AA222</f>
        <v>344</v>
      </c>
      <c r="E221" s="250">
        <f>'B) D RI'!S222</f>
        <v>74</v>
      </c>
      <c r="F221" s="14">
        <f>'B) D RI'!R222</f>
        <v>681799.45285714266</v>
      </c>
      <c r="G221" s="14">
        <f>'B) D RI'!U222</f>
        <v>9213.5061196911174</v>
      </c>
      <c r="H221" s="49">
        <f>'B) D RI'!T222</f>
        <v>637507.10999999987</v>
      </c>
      <c r="I221" s="14">
        <f t="shared" si="31"/>
        <v>17229.921891891889</v>
      </c>
      <c r="J221" s="39">
        <f t="shared" si="39"/>
        <v>29835.570175629389</v>
      </c>
      <c r="K221" s="14">
        <f t="shared" si="28"/>
        <v>17229.921891891889</v>
      </c>
      <c r="L221" s="14">
        <f t="shared" si="32"/>
        <v>12605.648283737501</v>
      </c>
      <c r="M221" s="14">
        <f>'D) Ecrêtage'!M220</f>
        <v>9213.5061196911174</v>
      </c>
      <c r="N221" s="14">
        <f t="shared" si="29"/>
        <v>11995.297426925885</v>
      </c>
      <c r="O221" s="66">
        <f t="shared" si="30"/>
        <v>29225.219318817773</v>
      </c>
      <c r="P221" s="251"/>
      <c r="Q221" s="252"/>
      <c r="R221" s="248"/>
      <c r="S221" s="248"/>
      <c r="T221" s="253"/>
    </row>
    <row r="222" spans="1:20" s="247" customFormat="1" x14ac:dyDescent="0.25">
      <c r="A222" s="369">
        <f>'A) Base RI'!A223</f>
        <v>5754</v>
      </c>
      <c r="B222" s="260" t="str">
        <f>'A) Base RI'!B223</f>
        <v>Juriens</v>
      </c>
      <c r="C222" s="276">
        <v>0</v>
      </c>
      <c r="D222" s="249">
        <f>'B) D RI'!AA223</f>
        <v>302</v>
      </c>
      <c r="E222" s="250">
        <f>'B) D RI'!S223</f>
        <v>79</v>
      </c>
      <c r="F222" s="14">
        <f>'B) D RI'!R223</f>
        <v>569002.66</v>
      </c>
      <c r="G222" s="14">
        <f>'B) D RI'!U223</f>
        <v>7202.565316455697</v>
      </c>
      <c r="H222" s="49">
        <f>'B) D RI'!T223</f>
        <v>531444.56000000006</v>
      </c>
      <c r="I222" s="14">
        <f t="shared" si="31"/>
        <v>13454.292658227849</v>
      </c>
      <c r="J222" s="39">
        <f t="shared" si="39"/>
        <v>26192.855212325801</v>
      </c>
      <c r="K222" s="14">
        <f t="shared" si="28"/>
        <v>13454.292658227849</v>
      </c>
      <c r="L222" s="14">
        <f t="shared" si="32"/>
        <v>12738.562554097953</v>
      </c>
      <c r="M222" s="14">
        <f>'D) Ecrêtage'!M221</f>
        <v>7202.565316455697</v>
      </c>
      <c r="N222" s="14">
        <f t="shared" si="29"/>
        <v>9377.2025638642644</v>
      </c>
      <c r="O222" s="66">
        <f t="shared" si="30"/>
        <v>22831.495222092111</v>
      </c>
      <c r="P222" s="251"/>
      <c r="Q222" s="252"/>
      <c r="R222" s="248"/>
      <c r="S222" s="248"/>
      <c r="T222" s="253"/>
    </row>
    <row r="223" spans="1:20" s="247" customFormat="1" x14ac:dyDescent="0.25">
      <c r="A223" s="369">
        <f>'A) Base RI'!A224</f>
        <v>5755</v>
      </c>
      <c r="B223" s="260" t="str">
        <f>'A) Base RI'!B224</f>
        <v>Lignerolle</v>
      </c>
      <c r="C223" s="276">
        <v>0</v>
      </c>
      <c r="D223" s="249">
        <f>'B) D RI'!AA224</f>
        <v>405</v>
      </c>
      <c r="E223" s="250">
        <f>'B) D RI'!S224</f>
        <v>80</v>
      </c>
      <c r="F223" s="14">
        <f>'B) D RI'!R224</f>
        <v>729295.83285714278</v>
      </c>
      <c r="G223" s="14">
        <f>'B) D RI'!U224</f>
        <v>9116.1979107142852</v>
      </c>
      <c r="H223" s="49">
        <f>'B) D RI'!T224</f>
        <v>678105.69</v>
      </c>
      <c r="I223" s="14">
        <f t="shared" si="31"/>
        <v>16952.642249999997</v>
      </c>
      <c r="J223" s="39">
        <f t="shared" si="39"/>
        <v>35126.1800032846</v>
      </c>
      <c r="K223" s="14">
        <f t="shared" si="28"/>
        <v>16952.642249999997</v>
      </c>
      <c r="L223" s="14">
        <f t="shared" si="32"/>
        <v>18173.537753284603</v>
      </c>
      <c r="M223" s="14">
        <f>'D) Ecrêtage'!M222</f>
        <v>9116.1979107142852</v>
      </c>
      <c r="N223" s="14">
        <f t="shared" si="29"/>
        <v>11868.609400283787</v>
      </c>
      <c r="O223" s="66">
        <f t="shared" si="30"/>
        <v>28821.251650283783</v>
      </c>
      <c r="P223" s="251"/>
      <c r="Q223" s="252"/>
      <c r="R223" s="248"/>
      <c r="S223" s="248"/>
      <c r="T223" s="253"/>
    </row>
    <row r="224" spans="1:20" s="247" customFormat="1" x14ac:dyDescent="0.25">
      <c r="A224" s="369">
        <f>'A) Base RI'!A225</f>
        <v>5756</v>
      </c>
      <c r="B224" s="260" t="str">
        <f>'A) Base RI'!B225</f>
        <v>Montcherand</v>
      </c>
      <c r="C224" s="276">
        <v>1</v>
      </c>
      <c r="D224" s="249">
        <f>'B) D RI'!AA225</f>
        <v>469</v>
      </c>
      <c r="E224" s="250">
        <f>'B) D RI'!S225</f>
        <v>72</v>
      </c>
      <c r="F224" s="14">
        <f>'B) D RI'!R225</f>
        <v>1054363.68</v>
      </c>
      <c r="G224" s="14">
        <f>'B) D RI'!U225</f>
        <v>14643.939999999999</v>
      </c>
      <c r="H224" s="49">
        <f>'B) D RI'!T225</f>
        <v>973307.28</v>
      </c>
      <c r="I224" s="14">
        <f t="shared" si="31"/>
        <v>27036.313333333335</v>
      </c>
      <c r="J224" s="39">
        <f t="shared" si="39"/>
        <v>40676.983756890069</v>
      </c>
      <c r="K224" s="14">
        <f t="shared" si="28"/>
        <v>0</v>
      </c>
      <c r="L224" s="14">
        <f t="shared" si="32"/>
        <v>40676.983756890069</v>
      </c>
      <c r="M224" s="14">
        <f>'D) Ecrêtage'!M223</f>
        <v>14643.939999999999</v>
      </c>
      <c r="N224" s="14">
        <f t="shared" si="29"/>
        <v>19065.317102969046</v>
      </c>
      <c r="O224" s="66">
        <f t="shared" si="30"/>
        <v>19065.317102969046</v>
      </c>
      <c r="P224" s="251"/>
      <c r="Q224" s="252"/>
      <c r="R224" s="248"/>
      <c r="S224" s="248"/>
      <c r="T224" s="253"/>
    </row>
    <row r="225" spans="1:20" s="247" customFormat="1" x14ac:dyDescent="0.25">
      <c r="A225" s="369">
        <f>'A) Base RI'!A226</f>
        <v>5757</v>
      </c>
      <c r="B225" s="260" t="str">
        <f>'A) Base RI'!B226</f>
        <v>Orbe</v>
      </c>
      <c r="C225" s="276">
        <v>1</v>
      </c>
      <c r="D225" s="249">
        <f>'B) D RI'!AA226</f>
        <v>6805</v>
      </c>
      <c r="E225" s="250">
        <f>'B) D RI'!S226</f>
        <v>74</v>
      </c>
      <c r="F225" s="14">
        <f>'B) D RI'!R226</f>
        <v>16239974.390000002</v>
      </c>
      <c r="G225" s="14">
        <f>'B) D RI'!U226</f>
        <v>219459.11337837842</v>
      </c>
      <c r="H225" s="49">
        <f>'B) D RI'!T226</f>
        <v>15056700.490000002</v>
      </c>
      <c r="I225" s="14">
        <f t="shared" si="31"/>
        <v>406937.85108108114</v>
      </c>
      <c r="J225" s="39">
        <f t="shared" si="39"/>
        <v>590206.55536383146</v>
      </c>
      <c r="K225" s="14">
        <f t="shared" si="28"/>
        <v>0</v>
      </c>
      <c r="L225" s="14">
        <f t="shared" si="32"/>
        <v>590206.55536383146</v>
      </c>
      <c r="M225" s="14">
        <f>'D) Ecrêtage'!M224</f>
        <v>219459.11337837842</v>
      </c>
      <c r="N225" s="14">
        <f t="shared" si="29"/>
        <v>285719.38888681744</v>
      </c>
      <c r="O225" s="66">
        <f t="shared" si="30"/>
        <v>285719.38888681744</v>
      </c>
      <c r="P225" s="251"/>
      <c r="Q225" s="252"/>
      <c r="R225" s="248"/>
      <c r="S225" s="248"/>
      <c r="T225" s="253"/>
    </row>
    <row r="226" spans="1:20" s="247" customFormat="1" x14ac:dyDescent="0.25">
      <c r="A226" s="369">
        <f>'A) Base RI'!A227</f>
        <v>5758</v>
      </c>
      <c r="B226" s="260" t="str">
        <f>'A) Base RI'!B227</f>
        <v>La Praz</v>
      </c>
      <c r="C226" s="276">
        <v>0</v>
      </c>
      <c r="D226" s="249">
        <f>'B) D RI'!AA227</f>
        <v>159</v>
      </c>
      <c r="E226" s="250">
        <f>'B) D RI'!S227</f>
        <v>83</v>
      </c>
      <c r="F226" s="14">
        <f>'B) D RI'!R227</f>
        <v>314792.58555555553</v>
      </c>
      <c r="G226" s="14">
        <f>'B) D RI'!U227</f>
        <v>3792.6817536813919</v>
      </c>
      <c r="H226" s="49">
        <f>'B) D RI'!T227</f>
        <v>290858.02999999997</v>
      </c>
      <c r="I226" s="14">
        <f t="shared" si="31"/>
        <v>7008.6272289156623</v>
      </c>
      <c r="J226" s="39">
        <f t="shared" si="39"/>
        <v>13790.278075363585</v>
      </c>
      <c r="K226" s="14">
        <f t="shared" si="28"/>
        <v>7008.6272289156623</v>
      </c>
      <c r="L226" s="14">
        <f t="shared" si="32"/>
        <v>6781.650846447923</v>
      </c>
      <c r="M226" s="14">
        <f>'D) Ecrêtage'!M225</f>
        <v>3792.6817536813919</v>
      </c>
      <c r="N226" s="14">
        <f t="shared" si="29"/>
        <v>4937.7886214079326</v>
      </c>
      <c r="O226" s="66">
        <f t="shared" si="30"/>
        <v>11946.415850323596</v>
      </c>
      <c r="P226" s="251"/>
      <c r="Q226" s="252"/>
      <c r="R226" s="248"/>
      <c r="S226" s="248"/>
      <c r="T226" s="253"/>
    </row>
    <row r="227" spans="1:20" s="247" customFormat="1" x14ac:dyDescent="0.25">
      <c r="A227" s="369">
        <f>'A) Base RI'!A228</f>
        <v>5759</v>
      </c>
      <c r="B227" s="260" t="str">
        <f>'A) Base RI'!B228</f>
        <v>Premier</v>
      </c>
      <c r="C227" s="276">
        <v>0</v>
      </c>
      <c r="D227" s="249">
        <f>'B) D RI'!AA228</f>
        <v>196</v>
      </c>
      <c r="E227" s="250">
        <f>'B) D RI'!S228</f>
        <v>81</v>
      </c>
      <c r="F227" s="14">
        <f>'B) D RI'!R228</f>
        <v>379851.49</v>
      </c>
      <c r="G227" s="14">
        <f>'B) D RI'!U228</f>
        <v>4689.5245679012341</v>
      </c>
      <c r="H227" s="49">
        <f>'B) D RI'!T228</f>
        <v>353725.99</v>
      </c>
      <c r="I227" s="14">
        <f t="shared" si="31"/>
        <v>8733.9750617283953</v>
      </c>
      <c r="J227" s="39">
        <f t="shared" si="39"/>
        <v>16999.336495416745</v>
      </c>
      <c r="K227" s="14">
        <f t="shared" si="28"/>
        <v>8733.9750617283953</v>
      </c>
      <c r="L227" s="14">
        <f t="shared" si="32"/>
        <v>8265.3614336883493</v>
      </c>
      <c r="M227" s="14">
        <f>'D) Ecrêtage'!M226</f>
        <v>4689.5245679012341</v>
      </c>
      <c r="N227" s="14">
        <f t="shared" si="29"/>
        <v>6105.4110402802071</v>
      </c>
      <c r="O227" s="66">
        <f t="shared" si="30"/>
        <v>14839.386102008602</v>
      </c>
      <c r="P227" s="251"/>
      <c r="Q227" s="252"/>
      <c r="R227" s="248"/>
      <c r="S227" s="248"/>
      <c r="T227" s="253"/>
    </row>
    <row r="228" spans="1:20" s="247" customFormat="1" x14ac:dyDescent="0.25">
      <c r="A228" s="369">
        <f>'A) Base RI'!A229</f>
        <v>5760</v>
      </c>
      <c r="B228" s="260" t="str">
        <f>'A) Base RI'!B229</f>
        <v>Rances</v>
      </c>
      <c r="C228" s="276">
        <v>0</v>
      </c>
      <c r="D228" s="249">
        <f>'B) D RI'!AA229</f>
        <v>473</v>
      </c>
      <c r="E228" s="250">
        <f>'B) D RI'!S229</f>
        <v>78</v>
      </c>
      <c r="F228" s="14">
        <f>'B) D RI'!R229</f>
        <v>1031753.5466666666</v>
      </c>
      <c r="G228" s="14">
        <f>'B) D RI'!U229</f>
        <v>13227.609572649571</v>
      </c>
      <c r="H228" s="49">
        <f>'B) D RI'!T229</f>
        <v>967848.28</v>
      </c>
      <c r="I228" s="14">
        <f t="shared" si="31"/>
        <v>24816.622564102563</v>
      </c>
      <c r="J228" s="39">
        <f t="shared" si="39"/>
        <v>41023.908991490411</v>
      </c>
      <c r="K228" s="14">
        <f t="shared" si="28"/>
        <v>24816.622564102563</v>
      </c>
      <c r="L228" s="14">
        <f t="shared" si="32"/>
        <v>16207.286427387848</v>
      </c>
      <c r="M228" s="14">
        <f>'D) Ecrêtage'!M227</f>
        <v>13227.609572649571</v>
      </c>
      <c r="N228" s="14">
        <f t="shared" si="29"/>
        <v>17221.360577606367</v>
      </c>
      <c r="O228" s="66">
        <f t="shared" si="30"/>
        <v>42037.98314170893</v>
      </c>
      <c r="P228" s="251"/>
      <c r="Q228" s="252"/>
      <c r="R228" s="248"/>
      <c r="S228" s="248"/>
      <c r="T228" s="253"/>
    </row>
    <row r="229" spans="1:20" s="247" customFormat="1" x14ac:dyDescent="0.25">
      <c r="A229" s="369">
        <f>'A) Base RI'!A230</f>
        <v>5761</v>
      </c>
      <c r="B229" s="260" t="str">
        <f>'A) Base RI'!B230</f>
        <v>Romainmôtier-Envy</v>
      </c>
      <c r="C229" s="276">
        <v>0</v>
      </c>
      <c r="D229" s="249">
        <f>'B) D RI'!AA230</f>
        <v>546</v>
      </c>
      <c r="E229" s="250">
        <f>'B) D RI'!S230</f>
        <v>76</v>
      </c>
      <c r="F229" s="14">
        <f>'B) D RI'!R230</f>
        <v>924609.58499999985</v>
      </c>
      <c r="G229" s="14">
        <f>'B) D RI'!U230</f>
        <v>12165.915592105261</v>
      </c>
      <c r="H229" s="49">
        <f>'B) D RI'!T230</f>
        <v>846922.95999999985</v>
      </c>
      <c r="I229" s="14">
        <f t="shared" si="31"/>
        <v>22287.446315789468</v>
      </c>
      <c r="J229" s="39">
        <f t="shared" si="39"/>
        <v>47355.29452294665</v>
      </c>
      <c r="K229" s="14">
        <f t="shared" si="28"/>
        <v>22287.446315789468</v>
      </c>
      <c r="L229" s="14">
        <f t="shared" si="32"/>
        <v>25067.848207157182</v>
      </c>
      <c r="M229" s="14">
        <f>'D) Ecrêtage'!M228</f>
        <v>12165.915592105261</v>
      </c>
      <c r="N229" s="14">
        <f t="shared" si="29"/>
        <v>15839.114241894069</v>
      </c>
      <c r="O229" s="66">
        <f t="shared" si="30"/>
        <v>38126.560557683537</v>
      </c>
      <c r="P229" s="251"/>
      <c r="Q229" s="252"/>
      <c r="R229" s="248"/>
      <c r="S229" s="248"/>
      <c r="T229" s="253"/>
    </row>
    <row r="230" spans="1:20" s="247" customFormat="1" x14ac:dyDescent="0.25">
      <c r="A230" s="369">
        <f>'A) Base RI'!A231</f>
        <v>5762</v>
      </c>
      <c r="B230" s="260" t="str">
        <f>'A) Base RI'!B231</f>
        <v>Sergey</v>
      </c>
      <c r="C230" s="276">
        <v>0</v>
      </c>
      <c r="D230" s="249">
        <f>'B) D RI'!AA231</f>
        <v>140</v>
      </c>
      <c r="E230" s="250">
        <f>'B) D RI'!S231</f>
        <v>78</v>
      </c>
      <c r="F230" s="14">
        <f>'B) D RI'!R231</f>
        <v>279750.78999999998</v>
      </c>
      <c r="G230" s="14">
        <f>'B) D RI'!U231</f>
        <v>3586.5485897435897</v>
      </c>
      <c r="H230" s="49">
        <f>'B) D RI'!T231</f>
        <v>260657.68999999997</v>
      </c>
      <c r="I230" s="14">
        <f t="shared" si="31"/>
        <v>6683.5305128205118</v>
      </c>
      <c r="J230" s="39">
        <f t="shared" si="39"/>
        <v>12142.383211011962</v>
      </c>
      <c r="K230" s="14">
        <f t="shared" si="28"/>
        <v>6683.5305128205118</v>
      </c>
      <c r="L230" s="14">
        <f t="shared" si="32"/>
        <v>5458.8526981914501</v>
      </c>
      <c r="M230" s="14">
        <f>'D) Ecrêtage'!M229</f>
        <v>3586.5485897435897</v>
      </c>
      <c r="N230" s="14">
        <f t="shared" si="29"/>
        <v>4669.4186242683309</v>
      </c>
      <c r="O230" s="66">
        <f t="shared" si="30"/>
        <v>11352.949137088843</v>
      </c>
      <c r="P230" s="251"/>
      <c r="Q230" s="252"/>
      <c r="R230" s="248"/>
      <c r="S230" s="248"/>
      <c r="T230" s="253"/>
    </row>
    <row r="231" spans="1:20" s="247" customFormat="1" x14ac:dyDescent="0.25">
      <c r="A231" s="369">
        <f>'A) Base RI'!A232</f>
        <v>5763</v>
      </c>
      <c r="B231" s="260" t="str">
        <f>'A) Base RI'!B232</f>
        <v>Valeyres-sous-Rances</v>
      </c>
      <c r="C231" s="276">
        <v>0</v>
      </c>
      <c r="D231" s="249">
        <f>'B) D RI'!AA232</f>
        <v>623</v>
      </c>
      <c r="E231" s="250">
        <f>'B) D RI'!S232</f>
        <v>65</v>
      </c>
      <c r="F231" s="14">
        <f>'B) D RI'!R232</f>
        <v>1045580.2999999999</v>
      </c>
      <c r="G231" s="14">
        <f>'B) D RI'!U232</f>
        <v>16085.850769230768</v>
      </c>
      <c r="H231" s="49">
        <f>'B) D RI'!T232</f>
        <v>961759.1</v>
      </c>
      <c r="I231" s="14">
        <f t="shared" si="31"/>
        <v>29592.58769230769</v>
      </c>
      <c r="J231" s="39">
        <f t="shared" si="39"/>
        <v>54033.60528900323</v>
      </c>
      <c r="K231" s="14">
        <f t="shared" si="28"/>
        <v>29592.58769230769</v>
      </c>
      <c r="L231" s="14">
        <f t="shared" si="32"/>
        <v>24441.017596695539</v>
      </c>
      <c r="M231" s="14">
        <f>'D) Ecrêtage'!M230</f>
        <v>16085.850769230768</v>
      </c>
      <c r="N231" s="14">
        <f t="shared" si="29"/>
        <v>20942.577324574067</v>
      </c>
      <c r="O231" s="66">
        <f t="shared" si="30"/>
        <v>50535.165016881758</v>
      </c>
      <c r="P231" s="251"/>
      <c r="Q231" s="252"/>
      <c r="R231" s="248"/>
      <c r="S231" s="248"/>
      <c r="T231" s="253"/>
    </row>
    <row r="232" spans="1:20" s="247" customFormat="1" x14ac:dyDescent="0.25">
      <c r="A232" s="369">
        <f>'A) Base RI'!A233</f>
        <v>5764</v>
      </c>
      <c r="B232" s="260" t="str">
        <f>'A) Base RI'!B233</f>
        <v>Vallorbe</v>
      </c>
      <c r="C232" s="276">
        <v>0</v>
      </c>
      <c r="D232" s="249">
        <f>'B) D RI'!AA233</f>
        <v>3747</v>
      </c>
      <c r="E232" s="250">
        <f>'B) D RI'!S233</f>
        <v>74</v>
      </c>
      <c r="F232" s="14">
        <f>'B) D RI'!R233</f>
        <v>6254007.0199999996</v>
      </c>
      <c r="G232" s="14">
        <f>'B) D RI'!U233</f>
        <v>84513.608378378369</v>
      </c>
      <c r="H232" s="49">
        <f>'B) D RI'!T233</f>
        <v>5859970.9699999997</v>
      </c>
      <c r="I232" s="14">
        <f t="shared" si="31"/>
        <v>158377.59378378378</v>
      </c>
      <c r="J232" s="39">
        <f t="shared" si="39"/>
        <v>324982.21351187013</v>
      </c>
      <c r="K232" s="14">
        <f t="shared" si="28"/>
        <v>158377.59378378378</v>
      </c>
      <c r="L232" s="14">
        <f t="shared" si="32"/>
        <v>166604.61972808634</v>
      </c>
      <c r="M232" s="14">
        <f>'D) Ecrêtage'!M231</f>
        <v>84513.608378378369</v>
      </c>
      <c r="N232" s="14">
        <f t="shared" si="29"/>
        <v>110030.41143639795</v>
      </c>
      <c r="O232" s="66">
        <f t="shared" si="30"/>
        <v>268408.00522018172</v>
      </c>
      <c r="P232" s="251"/>
      <c r="Q232" s="252"/>
      <c r="R232" s="248"/>
      <c r="S232" s="248"/>
      <c r="T232" s="253"/>
    </row>
    <row r="233" spans="1:20" s="247" customFormat="1" x14ac:dyDescent="0.25">
      <c r="A233" s="369">
        <f>'A) Base RI'!A234</f>
        <v>5765</v>
      </c>
      <c r="B233" s="260" t="str">
        <f>'A) Base RI'!B234</f>
        <v>Vaulion</v>
      </c>
      <c r="C233" s="276">
        <v>0</v>
      </c>
      <c r="D233" s="249">
        <f>'B) D RI'!AA234</f>
        <v>494</v>
      </c>
      <c r="E233" s="250">
        <f>'B) D RI'!S234</f>
        <v>81</v>
      </c>
      <c r="F233" s="14">
        <f>'B) D RI'!R234</f>
        <v>826121.2</v>
      </c>
      <c r="G233" s="14">
        <f>'B) D RI'!U234</f>
        <v>10199.027160493826</v>
      </c>
      <c r="H233" s="49">
        <f>'B) D RI'!T234</f>
        <v>768616.79999999993</v>
      </c>
      <c r="I233" s="14">
        <f t="shared" si="31"/>
        <v>18978.19259259259</v>
      </c>
      <c r="J233" s="39">
        <f t="shared" si="39"/>
        <v>42845.266473142205</v>
      </c>
      <c r="K233" s="14">
        <f t="shared" si="28"/>
        <v>18978.19259259259</v>
      </c>
      <c r="L233" s="14">
        <f t="shared" si="32"/>
        <v>23867.073880549615</v>
      </c>
      <c r="M233" s="14">
        <f>'D) Ecrêtage'!M232</f>
        <v>10199.027160493826</v>
      </c>
      <c r="N233" s="14">
        <f t="shared" si="29"/>
        <v>13278.372279359843</v>
      </c>
      <c r="O233" s="66">
        <f t="shared" si="30"/>
        <v>32256.564871952432</v>
      </c>
      <c r="P233" s="251"/>
      <c r="Q233" s="252"/>
      <c r="R233" s="248"/>
      <c r="S233" s="248"/>
      <c r="T233" s="253"/>
    </row>
    <row r="234" spans="1:20" s="247" customFormat="1" x14ac:dyDescent="0.25">
      <c r="A234" s="369">
        <f>'A) Base RI'!A235</f>
        <v>5766</v>
      </c>
      <c r="B234" s="260" t="str">
        <f>'A) Base RI'!B235</f>
        <v>Vuiteboeuf</v>
      </c>
      <c r="C234" s="276">
        <v>0</v>
      </c>
      <c r="D234" s="249">
        <f>'B) D RI'!AA235</f>
        <v>556</v>
      </c>
      <c r="E234" s="250">
        <f>'B) D RI'!S235</f>
        <v>77</v>
      </c>
      <c r="F234" s="14">
        <f>'B) D RI'!R235</f>
        <v>1002844.9642857142</v>
      </c>
      <c r="G234" s="14">
        <f>'B) D RI'!U235</f>
        <v>13023.960575139146</v>
      </c>
      <c r="H234" s="49">
        <f>'B) D RI'!T235</f>
        <v>929323.74999999988</v>
      </c>
      <c r="I234" s="14">
        <f t="shared" si="31"/>
        <v>24138.279220779219</v>
      </c>
      <c r="J234" s="39">
        <f t="shared" si="39"/>
        <v>48222.607609447507</v>
      </c>
      <c r="K234" s="14">
        <f t="shared" si="28"/>
        <v>24138.279220779219</v>
      </c>
      <c r="L234" s="14">
        <f t="shared" si="32"/>
        <v>24084.328388668288</v>
      </c>
      <c r="M234" s="14">
        <f>'D) Ecrêtage'!M233</f>
        <v>13023.960575139146</v>
      </c>
      <c r="N234" s="14">
        <f t="shared" si="29"/>
        <v>16956.22477977887</v>
      </c>
      <c r="O234" s="66">
        <f t="shared" si="30"/>
        <v>41094.504000558089</v>
      </c>
      <c r="P234" s="251"/>
      <c r="Q234" s="252"/>
      <c r="R234" s="248"/>
      <c r="S234" s="248"/>
      <c r="T234" s="253"/>
    </row>
    <row r="235" spans="1:20" s="247" customFormat="1" x14ac:dyDescent="0.25">
      <c r="A235" s="369">
        <f>'A) Base RI'!A236</f>
        <v>5785</v>
      </c>
      <c r="B235" s="260" t="str">
        <f>'A) Base RI'!B236</f>
        <v>Corcelles-le-Jorat</v>
      </c>
      <c r="C235" s="276">
        <v>0</v>
      </c>
      <c r="D235" s="249">
        <f>'B) D RI'!AA236</f>
        <v>425</v>
      </c>
      <c r="E235" s="250">
        <f>'B) D RI'!S236</f>
        <v>77</v>
      </c>
      <c r="F235" s="14">
        <f>'B) D RI'!R236</f>
        <v>945192.57999999984</v>
      </c>
      <c r="G235" s="14">
        <f>'B) D RI'!U236</f>
        <v>12275.22831168831</v>
      </c>
      <c r="H235" s="49">
        <f>'B) D RI'!T236</f>
        <v>877752.97999999986</v>
      </c>
      <c r="I235" s="14">
        <f t="shared" si="31"/>
        <v>22798.778701298699</v>
      </c>
      <c r="J235" s="39">
        <f t="shared" si="39"/>
        <v>36860.806176286314</v>
      </c>
      <c r="K235" s="14">
        <f t="shared" si="28"/>
        <v>22798.778701298699</v>
      </c>
      <c r="L235" s="14">
        <f t="shared" si="32"/>
        <v>14062.027474987615</v>
      </c>
      <c r="M235" s="14">
        <f>'D) Ecrêtage'!M234</f>
        <v>12275.22831168831</v>
      </c>
      <c r="N235" s="14">
        <f t="shared" si="29"/>
        <v>15981.431245530985</v>
      </c>
      <c r="O235" s="66">
        <f t="shared" si="30"/>
        <v>38780.20994682968</v>
      </c>
      <c r="P235" s="251"/>
      <c r="Q235" s="252"/>
      <c r="R235" s="248"/>
      <c r="S235" s="248"/>
      <c r="T235" s="253"/>
    </row>
    <row r="236" spans="1:20" s="247" customFormat="1" x14ac:dyDescent="0.25">
      <c r="A236" s="369">
        <f>'A) Base RI'!A237</f>
        <v>5788</v>
      </c>
      <c r="B236" s="260" t="str">
        <f>'A) Base RI'!B237</f>
        <v>Essertes</v>
      </c>
      <c r="C236" s="276">
        <v>0</v>
      </c>
      <c r="D236" s="249">
        <f>'B) D RI'!AA237</f>
        <v>335</v>
      </c>
      <c r="E236" s="250">
        <f>'B) D RI'!S237</f>
        <v>72</v>
      </c>
      <c r="F236" s="14">
        <f>'B) D RI'!R237</f>
        <v>695751.49999999988</v>
      </c>
      <c r="G236" s="14">
        <f>'B) D RI'!U237</f>
        <v>9663.2152777777756</v>
      </c>
      <c r="H236" s="49">
        <f>'B) D RI'!T237</f>
        <v>640819.41999999993</v>
      </c>
      <c r="I236" s="14">
        <f t="shared" si="31"/>
        <v>17800.539444444443</v>
      </c>
      <c r="J236" s="39">
        <f t="shared" si="39"/>
        <v>29054.988397778623</v>
      </c>
      <c r="K236" s="14">
        <f t="shared" si="28"/>
        <v>17800.539444444443</v>
      </c>
      <c r="L236" s="14">
        <f t="shared" si="32"/>
        <v>11254.44895333418</v>
      </c>
      <c r="M236" s="14">
        <f>'D) Ecrêtage'!M235</f>
        <v>9663.2152777777756</v>
      </c>
      <c r="N236" s="14">
        <f t="shared" si="29"/>
        <v>12580.785192037691</v>
      </c>
      <c r="O236" s="66">
        <f t="shared" si="30"/>
        <v>30381.324636482132</v>
      </c>
      <c r="P236" s="251"/>
      <c r="Q236" s="252"/>
      <c r="R236" s="248"/>
      <c r="S236" s="248"/>
      <c r="T236" s="253"/>
    </row>
    <row r="237" spans="1:20" s="247" customFormat="1" x14ac:dyDescent="0.25">
      <c r="A237" s="369">
        <f>'A) Base RI'!A238</f>
        <v>5790</v>
      </c>
      <c r="B237" s="260" t="str">
        <f>'A) Base RI'!B238</f>
        <v>Maracon</v>
      </c>
      <c r="C237" s="276">
        <v>0</v>
      </c>
      <c r="D237" s="249">
        <f>'B) D RI'!AA238</f>
        <v>449</v>
      </c>
      <c r="E237" s="250">
        <f>'B) D RI'!S238</f>
        <v>76</v>
      </c>
      <c r="F237" s="14">
        <f>'B) D RI'!R238</f>
        <v>917908.79999999993</v>
      </c>
      <c r="G237" s="14">
        <f>'B) D RI'!U238</f>
        <v>12077.747368421051</v>
      </c>
      <c r="H237" s="49">
        <f>'B) D RI'!T238</f>
        <v>844341.49999999988</v>
      </c>
      <c r="I237" s="14">
        <f t="shared" si="31"/>
        <v>22219.513157894733</v>
      </c>
      <c r="J237" s="39">
        <f t="shared" si="39"/>
        <v>38942.357583888363</v>
      </c>
      <c r="K237" s="14">
        <f t="shared" si="28"/>
        <v>22219.513157894733</v>
      </c>
      <c r="L237" s="14">
        <f t="shared" si="32"/>
        <v>16722.84442599363</v>
      </c>
      <c r="M237" s="14">
        <f>'D) Ecrêtage'!M236</f>
        <v>12077.747368421051</v>
      </c>
      <c r="N237" s="14">
        <f t="shared" si="29"/>
        <v>15724.325794048409</v>
      </c>
      <c r="O237" s="66">
        <f t="shared" si="30"/>
        <v>37943.838951943144</v>
      </c>
      <c r="P237" s="251"/>
      <c r="Q237" s="252"/>
      <c r="R237" s="248"/>
      <c r="S237" s="248"/>
      <c r="T237" s="253"/>
    </row>
    <row r="238" spans="1:20" s="247" customFormat="1" x14ac:dyDescent="0.25">
      <c r="A238" s="369">
        <f>'A) Base RI'!A239</f>
        <v>5792</v>
      </c>
      <c r="B238" s="260" t="str">
        <f>'A) Base RI'!B239</f>
        <v>Montpreveyres</v>
      </c>
      <c r="C238" s="276">
        <v>0</v>
      </c>
      <c r="D238" s="249">
        <f>'B) D RI'!AA239</f>
        <v>621</v>
      </c>
      <c r="E238" s="250">
        <f>'B) D RI'!S239</f>
        <v>77</v>
      </c>
      <c r="F238" s="14">
        <f>'B) D RI'!R239</f>
        <v>1206656.99</v>
      </c>
      <c r="G238" s="14">
        <f>'B) D RI'!U239</f>
        <v>15670.869999999999</v>
      </c>
      <c r="H238" s="49">
        <f>'B) D RI'!T239</f>
        <v>1101898.19</v>
      </c>
      <c r="I238" s="14">
        <f t="shared" si="31"/>
        <v>28620.732207792207</v>
      </c>
      <c r="J238" s="39">
        <f t="shared" si="39"/>
        <v>53860.142671703055</v>
      </c>
      <c r="K238" s="14">
        <f t="shared" si="28"/>
        <v>28620.732207792207</v>
      </c>
      <c r="L238" s="14">
        <f t="shared" si="32"/>
        <v>25239.410463910848</v>
      </c>
      <c r="M238" s="14">
        <f>'D) Ecrêtage'!M237</f>
        <v>15670.869999999999</v>
      </c>
      <c r="N238" s="14">
        <f t="shared" si="29"/>
        <v>20402.303330210623</v>
      </c>
      <c r="O238" s="66">
        <f t="shared" si="30"/>
        <v>49023.035538002834</v>
      </c>
      <c r="P238" s="251"/>
      <c r="Q238" s="252"/>
      <c r="R238" s="248"/>
      <c r="S238" s="248"/>
      <c r="T238" s="253"/>
    </row>
    <row r="239" spans="1:20" s="247" customFormat="1" x14ac:dyDescent="0.25">
      <c r="A239" s="369">
        <f>'A) Base RI'!A240</f>
        <v>5798</v>
      </c>
      <c r="B239" s="260" t="str">
        <f>'A) Base RI'!B240</f>
        <v>Ropraz</v>
      </c>
      <c r="C239" s="276">
        <v>0</v>
      </c>
      <c r="D239" s="249">
        <f>'B) D RI'!AA240</f>
        <v>438</v>
      </c>
      <c r="E239" s="250">
        <f>'B) D RI'!S240</f>
        <v>77.5</v>
      </c>
      <c r="F239" s="14">
        <f>'B) D RI'!R240</f>
        <v>850329.22</v>
      </c>
      <c r="G239" s="14">
        <f>'B) D RI'!U240</f>
        <v>10971.989935483871</v>
      </c>
      <c r="H239" s="49">
        <f>'B) D RI'!T240</f>
        <v>812413.57</v>
      </c>
      <c r="I239" s="14">
        <f t="shared" si="31"/>
        <v>20965.511483870967</v>
      </c>
      <c r="J239" s="39">
        <f t="shared" si="39"/>
        <v>37988.313188737418</v>
      </c>
      <c r="K239" s="14">
        <f t="shared" si="28"/>
        <v>20965.511483870967</v>
      </c>
      <c r="L239" s="14">
        <f t="shared" si="32"/>
        <v>17022.801704866451</v>
      </c>
      <c r="M239" s="14">
        <f>'D) Ecrêtage'!M238</f>
        <v>10971.989935483871</v>
      </c>
      <c r="N239" s="14">
        <f t="shared" si="29"/>
        <v>14284.712131474515</v>
      </c>
      <c r="O239" s="66">
        <f t="shared" si="30"/>
        <v>35250.22361534548</v>
      </c>
      <c r="P239" s="251"/>
      <c r="Q239" s="252"/>
      <c r="R239" s="248"/>
      <c r="S239" s="248"/>
      <c r="T239" s="253"/>
    </row>
    <row r="240" spans="1:20" s="247" customFormat="1" x14ac:dyDescent="0.25">
      <c r="A240" s="369">
        <f>'A) Base RI'!A241</f>
        <v>5799</v>
      </c>
      <c r="B240" s="260" t="str">
        <f>'A) Base RI'!B241</f>
        <v>Servion</v>
      </c>
      <c r="C240" s="276">
        <v>0</v>
      </c>
      <c r="D240" s="249">
        <f>'B) D RI'!AA241</f>
        <v>1918</v>
      </c>
      <c r="E240" s="250">
        <f>'B) D RI'!S241</f>
        <v>69</v>
      </c>
      <c r="F240" s="14">
        <f>'B) D RI'!R241</f>
        <v>4181307.4000000004</v>
      </c>
      <c r="G240" s="14">
        <f>'B) D RI'!U241</f>
        <v>60598.657971014502</v>
      </c>
      <c r="H240" s="49">
        <f>'B) D RI'!T241</f>
        <v>3828992.1500000004</v>
      </c>
      <c r="I240" s="14">
        <f t="shared" si="31"/>
        <v>110985.27971014494</v>
      </c>
      <c r="J240" s="39">
        <f t="shared" si="39"/>
        <v>166350.64999086387</v>
      </c>
      <c r="K240" s="14">
        <f t="shared" si="28"/>
        <v>110985.27971014494</v>
      </c>
      <c r="L240" s="14">
        <f t="shared" si="32"/>
        <v>55365.370280718926</v>
      </c>
      <c r="M240" s="14">
        <f>'D) Ecrêtage'!M239</f>
        <v>60598.657971014502</v>
      </c>
      <c r="N240" s="14">
        <f t="shared" si="29"/>
        <v>78894.93061510456</v>
      </c>
      <c r="O240" s="66">
        <f t="shared" si="30"/>
        <v>189880.2103252495</v>
      </c>
      <c r="P240" s="251"/>
      <c r="Q240" s="252"/>
      <c r="R240" s="248"/>
      <c r="S240" s="248"/>
      <c r="T240" s="253"/>
    </row>
    <row r="241" spans="1:20" s="247" customFormat="1" x14ac:dyDescent="0.25">
      <c r="A241" s="369">
        <f>'A) Base RI'!A242</f>
        <v>5803</v>
      </c>
      <c r="B241" s="260" t="str">
        <f>'A) Base RI'!B242</f>
        <v>Vulliens</v>
      </c>
      <c r="C241" s="276">
        <v>0</v>
      </c>
      <c r="D241" s="249">
        <f>'B) D RI'!AA242</f>
        <v>466</v>
      </c>
      <c r="E241" s="250">
        <f>'B) D RI'!S242</f>
        <v>78</v>
      </c>
      <c r="F241" s="14">
        <f>'B) D RI'!R242</f>
        <v>1108776.68</v>
      </c>
      <c r="G241" s="14">
        <f>'B) D RI'!U242</f>
        <v>14215.08564102564</v>
      </c>
      <c r="H241" s="49">
        <f>'B) D RI'!T242</f>
        <v>1033549.73</v>
      </c>
      <c r="I241" s="14">
        <f t="shared" si="31"/>
        <v>26501.275128205129</v>
      </c>
      <c r="J241" s="39">
        <f t="shared" si="39"/>
        <v>40416.789830939815</v>
      </c>
      <c r="K241" s="14">
        <f t="shared" si="28"/>
        <v>26501.275128205129</v>
      </c>
      <c r="L241" s="14">
        <f t="shared" si="32"/>
        <v>13915.514702734687</v>
      </c>
      <c r="M241" s="14">
        <f>'D) Ecrêtage'!M240</f>
        <v>14215.08564102564</v>
      </c>
      <c r="N241" s="14">
        <f t="shared" si="29"/>
        <v>18506.980730050509</v>
      </c>
      <c r="O241" s="66">
        <f t="shared" si="30"/>
        <v>45008.255858255638</v>
      </c>
      <c r="P241" s="251"/>
      <c r="Q241" s="252"/>
      <c r="R241" s="248"/>
      <c r="S241" s="248"/>
      <c r="T241" s="253"/>
    </row>
    <row r="242" spans="1:20" s="247" customFormat="1" x14ac:dyDescent="0.25">
      <c r="A242" s="369">
        <f>'A) Base RI'!A243</f>
        <v>5804</v>
      </c>
      <c r="B242" s="260" t="str">
        <f>'A) Base RI'!B243</f>
        <v>Jorat-Menthue</v>
      </c>
      <c r="C242" s="276">
        <v>0</v>
      </c>
      <c r="D242" s="249">
        <f>'B) D RI'!AA243</f>
        <v>1545</v>
      </c>
      <c r="E242" s="250">
        <f>'B) D RI'!S243</f>
        <v>72</v>
      </c>
      <c r="F242" s="14">
        <f>'B) D RI'!R243</f>
        <v>3495924.8000000003</v>
      </c>
      <c r="G242" s="14">
        <f>'B) D RI'!U243</f>
        <v>48554.511111111118</v>
      </c>
      <c r="H242" s="49">
        <f>'B) D RI'!T243</f>
        <v>3252166.45</v>
      </c>
      <c r="I242" s="14">
        <f t="shared" si="31"/>
        <v>90337.95694444445</v>
      </c>
      <c r="J242" s="39">
        <f t="shared" si="39"/>
        <v>133999.871864382</v>
      </c>
      <c r="K242" s="14">
        <f t="shared" si="28"/>
        <v>90337.95694444445</v>
      </c>
      <c r="L242" s="14">
        <f t="shared" si="32"/>
        <v>43661.914919937553</v>
      </c>
      <c r="M242" s="14">
        <f>'D) Ecrêtage'!M241</f>
        <v>48554.511111111118</v>
      </c>
      <c r="N242" s="14">
        <f t="shared" si="29"/>
        <v>63214.350175770145</v>
      </c>
      <c r="O242" s="66">
        <f t="shared" si="30"/>
        <v>153552.30712021459</v>
      </c>
      <c r="P242" s="251"/>
      <c r="Q242" s="252"/>
      <c r="R242" s="248"/>
      <c r="S242" s="248"/>
      <c r="T242" s="253"/>
    </row>
    <row r="243" spans="1:20" s="247" customFormat="1" x14ac:dyDescent="0.25">
      <c r="A243" s="369">
        <f>'A) Base RI'!A244</f>
        <v>5805</v>
      </c>
      <c r="B243" s="260" t="str">
        <f>'A) Base RI'!B244</f>
        <v>Oron</v>
      </c>
      <c r="C243" s="276">
        <v>0</v>
      </c>
      <c r="D243" s="249">
        <f>'B) D RI'!AA244</f>
        <v>5397</v>
      </c>
      <c r="E243" s="250">
        <f>'B) D RI'!S244</f>
        <v>69</v>
      </c>
      <c r="F243" s="14">
        <f>'B) D RI'!R244</f>
        <v>10150194.116363635</v>
      </c>
      <c r="G243" s="14">
        <f>'B) D RI'!U244</f>
        <v>147104.2625559947</v>
      </c>
      <c r="H243" s="49">
        <f>'B) D RI'!T244</f>
        <v>9285216.9799999986</v>
      </c>
      <c r="I243" s="14">
        <f t="shared" si="31"/>
        <v>269136.72405797098</v>
      </c>
      <c r="J243" s="39">
        <f t="shared" si="39"/>
        <v>468088.87278451113</v>
      </c>
      <c r="K243" s="14">
        <f t="shared" si="28"/>
        <v>269136.72405797098</v>
      </c>
      <c r="L243" s="14">
        <f t="shared" si="32"/>
        <v>198952.14872654015</v>
      </c>
      <c r="M243" s="14">
        <f>'D) Ecrêtage'!M242</f>
        <v>147104.2625559947</v>
      </c>
      <c r="N243" s="14">
        <f t="shared" si="29"/>
        <v>191518.7724634528</v>
      </c>
      <c r="O243" s="66">
        <f t="shared" si="30"/>
        <v>460655.4965214238</v>
      </c>
      <c r="P243" s="251"/>
      <c r="Q243" s="252"/>
      <c r="R243" s="248"/>
      <c r="S243" s="248"/>
      <c r="T243" s="253"/>
    </row>
    <row r="244" spans="1:20" s="247" customFormat="1" x14ac:dyDescent="0.25">
      <c r="A244" s="369">
        <f>'A) Base RI'!A245</f>
        <v>5806</v>
      </c>
      <c r="B244" s="260" t="str">
        <f>'A) Base RI'!B245</f>
        <v>Jorat-Mézières</v>
      </c>
      <c r="C244" s="276">
        <v>0</v>
      </c>
      <c r="D244" s="249">
        <f>'B) D RI'!AA245</f>
        <v>2814</v>
      </c>
      <c r="E244" s="250">
        <f>'B) D RI'!S245</f>
        <v>76</v>
      </c>
      <c r="F244" s="14">
        <f>'B) D RI'!R245</f>
        <v>6914492.9199999999</v>
      </c>
      <c r="G244" s="14">
        <f>'B) D RI'!U245</f>
        <v>90980.17</v>
      </c>
      <c r="H244" s="49">
        <f>'B) D RI'!T245</f>
        <v>6345898.4199999999</v>
      </c>
      <c r="I244" s="14">
        <f t="shared" ref="I244" si="40">+H244/E244*$I$5</f>
        <v>166997.32684210525</v>
      </c>
      <c r="J244" s="39">
        <f t="shared" ref="J244" si="41">+$I$315/$D$315*D244</f>
        <v>244061.90254134042</v>
      </c>
      <c r="K244" s="14">
        <f t="shared" ref="K244" si="42">IF(C244=1,0,IF(J244&gt;I244,I244,J244))</f>
        <v>166997.32684210525</v>
      </c>
      <c r="L244" s="14">
        <f t="shared" ref="L244" si="43">+J244-K244</f>
        <v>77064.575699235167</v>
      </c>
      <c r="M244" s="14">
        <f>'D) Ecrêtage'!M243</f>
        <v>90980.17</v>
      </c>
      <c r="N244" s="14">
        <f t="shared" ref="N244" si="44">+$N$5*M244</f>
        <v>118449.39211250738</v>
      </c>
      <c r="O244" s="66">
        <f t="shared" ref="O244" si="45">+N244+K244</f>
        <v>285446.71895461262</v>
      </c>
      <c r="P244" s="251"/>
      <c r="Q244" s="252"/>
      <c r="R244" s="248"/>
      <c r="S244" s="248"/>
      <c r="T244" s="253"/>
    </row>
    <row r="245" spans="1:20" s="247" customFormat="1" x14ac:dyDescent="0.25">
      <c r="A245" s="369">
        <f>'A) Base RI'!A246</f>
        <v>5812</v>
      </c>
      <c r="B245" s="260" t="str">
        <f>'A) Base RI'!B246</f>
        <v>Champtauroz</v>
      </c>
      <c r="C245" s="276">
        <v>0</v>
      </c>
      <c r="D245" s="249">
        <f>'B) D RI'!AA246</f>
        <v>130</v>
      </c>
      <c r="E245" s="250">
        <f>'B) D RI'!S246</f>
        <v>77</v>
      </c>
      <c r="F245" s="14">
        <f>'B) D RI'!R246</f>
        <v>179146.35500000001</v>
      </c>
      <c r="G245" s="14">
        <f>'B) D RI'!U246</f>
        <v>2326.5760389610391</v>
      </c>
      <c r="H245" s="49">
        <f>'B) D RI'!T246</f>
        <v>163127.23000000001</v>
      </c>
      <c r="I245" s="14">
        <f t="shared" si="31"/>
        <v>4237.0709090909095</v>
      </c>
      <c r="J245" s="39">
        <f t="shared" ref="J245:J276" si="46">+$I$315/$D$315*D245</f>
        <v>11275.070124511107</v>
      </c>
      <c r="K245" s="14">
        <f t="shared" si="28"/>
        <v>4237.0709090909095</v>
      </c>
      <c r="L245" s="14">
        <f t="shared" si="32"/>
        <v>7037.9992154201973</v>
      </c>
      <c r="M245" s="14">
        <f>'D) Ecrêtage'!M244</f>
        <v>2326.5760389610391</v>
      </c>
      <c r="N245" s="14">
        <f t="shared" si="29"/>
        <v>3029.0283862786846</v>
      </c>
      <c r="O245" s="66">
        <f t="shared" si="30"/>
        <v>7266.0992953695941</v>
      </c>
      <c r="P245" s="251"/>
      <c r="Q245" s="252"/>
      <c r="R245" s="248"/>
      <c r="S245" s="248"/>
      <c r="T245" s="253"/>
    </row>
    <row r="246" spans="1:20" s="247" customFormat="1" x14ac:dyDescent="0.25">
      <c r="A246" s="369">
        <f>'A) Base RI'!A247</f>
        <v>5813</v>
      </c>
      <c r="B246" s="260" t="str">
        <f>'A) Base RI'!B247</f>
        <v>Chevroux</v>
      </c>
      <c r="C246" s="276">
        <v>0</v>
      </c>
      <c r="D246" s="249">
        <f>'B) D RI'!AA247</f>
        <v>446</v>
      </c>
      <c r="E246" s="250">
        <f>'B) D RI'!S247</f>
        <v>70</v>
      </c>
      <c r="F246" s="14">
        <f>'B) D RI'!R247</f>
        <v>805233.0983333335</v>
      </c>
      <c r="G246" s="14">
        <f>'B) D RI'!U247</f>
        <v>11503.329976190478</v>
      </c>
      <c r="H246" s="49">
        <f>'B) D RI'!T247</f>
        <v>731804.14000000013</v>
      </c>
      <c r="I246" s="14">
        <f t="shared" si="31"/>
        <v>20908.68971428572</v>
      </c>
      <c r="J246" s="39">
        <f t="shared" si="46"/>
        <v>38682.163657938108</v>
      </c>
      <c r="K246" s="14">
        <f t="shared" si="28"/>
        <v>20908.68971428572</v>
      </c>
      <c r="L246" s="14">
        <f t="shared" si="32"/>
        <v>17773.473943652389</v>
      </c>
      <c r="M246" s="14">
        <f>'D) Ecrêtage'!M245</f>
        <v>11503.329976190478</v>
      </c>
      <c r="N246" s="14">
        <f t="shared" si="29"/>
        <v>14976.47721420334</v>
      </c>
      <c r="O246" s="66">
        <f t="shared" si="30"/>
        <v>35885.16692848906</v>
      </c>
      <c r="P246" s="251"/>
      <c r="Q246" s="252"/>
      <c r="R246" s="248"/>
      <c r="S246" s="248"/>
      <c r="T246" s="253"/>
    </row>
    <row r="247" spans="1:20" s="247" customFormat="1" x14ac:dyDescent="0.25">
      <c r="A247" s="369">
        <f>'A) Base RI'!A248</f>
        <v>5816</v>
      </c>
      <c r="B247" s="260" t="str">
        <f>'A) Base RI'!B248</f>
        <v>Corcelles-près-Payerne</v>
      </c>
      <c r="C247" s="276">
        <v>0</v>
      </c>
      <c r="D247" s="249">
        <f>'B) D RI'!AA248</f>
        <v>2393</v>
      </c>
      <c r="E247" s="250">
        <f>'B) D RI'!S248</f>
        <v>72</v>
      </c>
      <c r="F247" s="14">
        <f>'B) D RI'!R248</f>
        <v>4078156.8128571426</v>
      </c>
      <c r="G247" s="14">
        <f>'B) D RI'!U248</f>
        <v>56641.066845238092</v>
      </c>
      <c r="H247" s="49">
        <f>'B) D RI'!T248</f>
        <v>3758137.17</v>
      </c>
      <c r="I247" s="14">
        <f t="shared" si="31"/>
        <v>104392.69916666666</v>
      </c>
      <c r="J247" s="39">
        <f t="shared" si="46"/>
        <v>207548.02159965446</v>
      </c>
      <c r="K247" s="14">
        <f t="shared" si="28"/>
        <v>104392.69916666666</v>
      </c>
      <c r="L247" s="14">
        <f t="shared" si="32"/>
        <v>103155.3224329878</v>
      </c>
      <c r="M247" s="14">
        <f>'D) Ecrêtage'!M246</f>
        <v>56641.066845238092</v>
      </c>
      <c r="N247" s="14">
        <f t="shared" si="29"/>
        <v>73742.442297286849</v>
      </c>
      <c r="O247" s="66">
        <f t="shared" si="30"/>
        <v>178135.14146395351</v>
      </c>
      <c r="P247" s="251"/>
      <c r="Q247" s="252"/>
      <c r="R247" s="248"/>
      <c r="S247" s="248"/>
      <c r="T247" s="253"/>
    </row>
    <row r="248" spans="1:20" s="247" customFormat="1" x14ac:dyDescent="0.25">
      <c r="A248" s="369">
        <f>'A) Base RI'!A249</f>
        <v>5817</v>
      </c>
      <c r="B248" s="260" t="str">
        <f>'A) Base RI'!B249</f>
        <v>Grandcour</v>
      </c>
      <c r="C248" s="276">
        <v>0</v>
      </c>
      <c r="D248" s="249">
        <f>'B) D RI'!AA249</f>
        <v>885</v>
      </c>
      <c r="E248" s="250">
        <f>'B) D RI'!S249</f>
        <v>79.5</v>
      </c>
      <c r="F248" s="14">
        <f>'B) D RI'!R249</f>
        <v>1668748.7499999998</v>
      </c>
      <c r="G248" s="14">
        <f>'B) D RI'!U249</f>
        <v>20990.550314465407</v>
      </c>
      <c r="H248" s="49">
        <f>'B) D RI'!T249</f>
        <v>1557452.3499999999</v>
      </c>
      <c r="I248" s="14">
        <f t="shared" si="31"/>
        <v>39181.191194968553</v>
      </c>
      <c r="J248" s="39">
        <f t="shared" si="46"/>
        <v>76757.208155325614</v>
      </c>
      <c r="K248" s="14">
        <f t="shared" si="28"/>
        <v>39181.191194968553</v>
      </c>
      <c r="L248" s="14">
        <f t="shared" si="32"/>
        <v>37576.016960357061</v>
      </c>
      <c r="M248" s="14">
        <f>'D) Ecrêtage'!M247</f>
        <v>20990.550314465407</v>
      </c>
      <c r="N248" s="14">
        <f t="shared" si="29"/>
        <v>27328.130128306293</v>
      </c>
      <c r="O248" s="66">
        <f t="shared" si="30"/>
        <v>66509.321323274839</v>
      </c>
      <c r="P248" s="251"/>
      <c r="Q248" s="252"/>
      <c r="R248" s="248"/>
      <c r="S248" s="248"/>
      <c r="T248" s="253"/>
    </row>
    <row r="249" spans="1:20" s="247" customFormat="1" x14ac:dyDescent="0.25">
      <c r="A249" s="369">
        <f>'A) Base RI'!A250</f>
        <v>5819</v>
      </c>
      <c r="B249" s="260" t="str">
        <f>'A) Base RI'!B250</f>
        <v>Henniez</v>
      </c>
      <c r="C249" s="276">
        <v>0</v>
      </c>
      <c r="D249" s="249">
        <f>'B) D RI'!AA250</f>
        <v>338</v>
      </c>
      <c r="E249" s="250">
        <f>'B) D RI'!S250</f>
        <v>67</v>
      </c>
      <c r="F249" s="14">
        <f>'B) D RI'!R250</f>
        <v>1001632.8400000001</v>
      </c>
      <c r="G249" s="14">
        <f>'B) D RI'!U250</f>
        <v>14949.743880597016</v>
      </c>
      <c r="H249" s="49">
        <f>'B) D RI'!T250</f>
        <v>926267.69000000006</v>
      </c>
      <c r="I249" s="14">
        <f t="shared" si="31"/>
        <v>27649.781791044777</v>
      </c>
      <c r="J249" s="39">
        <f t="shared" si="46"/>
        <v>29315.182323728877</v>
      </c>
      <c r="K249" s="14">
        <f t="shared" si="28"/>
        <v>27649.781791044777</v>
      </c>
      <c r="L249" s="14">
        <f t="shared" si="32"/>
        <v>1665.4005326840997</v>
      </c>
      <c r="M249" s="14">
        <f>'D) Ecrêtage'!M248</f>
        <v>14949.743880597016</v>
      </c>
      <c r="N249" s="14">
        <f t="shared" si="29"/>
        <v>19463.450935455428</v>
      </c>
      <c r="O249" s="66">
        <f t="shared" si="30"/>
        <v>47113.23272650021</v>
      </c>
      <c r="P249" s="251"/>
      <c r="Q249" s="252"/>
      <c r="R249" s="248"/>
      <c r="S249" s="248"/>
      <c r="T249" s="253"/>
    </row>
    <row r="250" spans="1:20" s="247" customFormat="1" x14ac:dyDescent="0.25">
      <c r="A250" s="369">
        <f>'A) Base RI'!A251</f>
        <v>5821</v>
      </c>
      <c r="B250" s="260" t="str">
        <f>'A) Base RI'!B251</f>
        <v>Missy</v>
      </c>
      <c r="C250" s="276">
        <v>0</v>
      </c>
      <c r="D250" s="249">
        <f>'B) D RI'!AA251</f>
        <v>361</v>
      </c>
      <c r="E250" s="250">
        <f>'B) D RI'!S251</f>
        <v>72</v>
      </c>
      <c r="F250" s="14">
        <f>'B) D RI'!R251</f>
        <v>559890.61</v>
      </c>
      <c r="G250" s="14">
        <f>'B) D RI'!U251</f>
        <v>7776.2584722222218</v>
      </c>
      <c r="H250" s="49">
        <f>'B) D RI'!T251</f>
        <v>513005.80999999994</v>
      </c>
      <c r="I250" s="14">
        <f t="shared" si="31"/>
        <v>14250.161388888888</v>
      </c>
      <c r="J250" s="39">
        <f t="shared" si="46"/>
        <v>31310.002422680842</v>
      </c>
      <c r="K250" s="14">
        <f t="shared" si="28"/>
        <v>14250.161388888888</v>
      </c>
      <c r="L250" s="14">
        <f t="shared" si="32"/>
        <v>17059.841033791956</v>
      </c>
      <c r="M250" s="14">
        <f>'D) Ecrêtage'!M249</f>
        <v>7776.2584722222218</v>
      </c>
      <c r="N250" s="14">
        <f t="shared" si="29"/>
        <v>10124.108241877957</v>
      </c>
      <c r="O250" s="66">
        <f t="shared" si="30"/>
        <v>24374.269630766845</v>
      </c>
      <c r="P250" s="251"/>
      <c r="Q250" s="252"/>
      <c r="R250" s="248"/>
      <c r="S250" s="248"/>
      <c r="T250" s="253"/>
    </row>
    <row r="251" spans="1:20" s="247" customFormat="1" x14ac:dyDescent="0.25">
      <c r="A251" s="369">
        <f>'A) Base RI'!A252</f>
        <v>5822</v>
      </c>
      <c r="B251" s="260" t="str">
        <f>'A) Base RI'!B252</f>
        <v>Payerne</v>
      </c>
      <c r="C251" s="276">
        <v>0</v>
      </c>
      <c r="D251" s="249">
        <f>'B) D RI'!AA252</f>
        <v>9301</v>
      </c>
      <c r="E251" s="250">
        <f>'B) D RI'!S252</f>
        <v>75</v>
      </c>
      <c r="F251" s="14">
        <f>'B) D RI'!R252</f>
        <v>17362025.349999998</v>
      </c>
      <c r="G251" s="14">
        <f>'B) D RI'!U252</f>
        <v>231493.6713333333</v>
      </c>
      <c r="H251" s="49">
        <f>'B) D RI'!T252</f>
        <v>15987852.999999998</v>
      </c>
      <c r="I251" s="14">
        <f t="shared" si="31"/>
        <v>426342.74666666664</v>
      </c>
      <c r="J251" s="39">
        <f t="shared" si="46"/>
        <v>806687.9017544447</v>
      </c>
      <c r="K251" s="14">
        <f t="shared" si="28"/>
        <v>426342.74666666664</v>
      </c>
      <c r="L251" s="14">
        <f t="shared" si="32"/>
        <v>380345.15508777805</v>
      </c>
      <c r="M251" s="14">
        <f>'D) Ecrêtage'!M250</f>
        <v>231493.6713333333</v>
      </c>
      <c r="N251" s="14">
        <f t="shared" si="29"/>
        <v>301387.48528746329</v>
      </c>
      <c r="O251" s="66">
        <f t="shared" si="30"/>
        <v>727730.23195412988</v>
      </c>
      <c r="P251" s="251"/>
      <c r="Q251" s="252"/>
      <c r="R251" s="248"/>
      <c r="S251" s="248"/>
      <c r="T251" s="253"/>
    </row>
    <row r="252" spans="1:20" s="247" customFormat="1" x14ac:dyDescent="0.25">
      <c r="A252" s="369">
        <f>'A) Base RI'!A253</f>
        <v>5827</v>
      </c>
      <c r="B252" s="260" t="str">
        <f>'A) Base RI'!B253</f>
        <v>Trey</v>
      </c>
      <c r="C252" s="276">
        <v>0</v>
      </c>
      <c r="D252" s="249">
        <f>'B) D RI'!AA253</f>
        <v>260</v>
      </c>
      <c r="E252" s="250">
        <f>'B) D RI'!S253</f>
        <v>80</v>
      </c>
      <c r="F252" s="14">
        <f>'B) D RI'!R253</f>
        <v>496393.38999999996</v>
      </c>
      <c r="G252" s="14">
        <f>'B) D RI'!U253</f>
        <v>6204.9173749999991</v>
      </c>
      <c r="H252" s="49">
        <f>'B) D RI'!T253</f>
        <v>461111.33999999997</v>
      </c>
      <c r="I252" s="14">
        <f t="shared" si="31"/>
        <v>11527.7835</v>
      </c>
      <c r="J252" s="39">
        <f t="shared" si="46"/>
        <v>22550.140249022214</v>
      </c>
      <c r="K252" s="14">
        <f t="shared" si="28"/>
        <v>11527.7835</v>
      </c>
      <c r="L252" s="14">
        <f t="shared" si="32"/>
        <v>11022.356749022214</v>
      </c>
      <c r="M252" s="14">
        <f>'D) Ecrêtage'!M251</f>
        <v>6204.9173749999991</v>
      </c>
      <c r="N252" s="14">
        <f t="shared" si="29"/>
        <v>8078.3393917277244</v>
      </c>
      <c r="O252" s="66">
        <f t="shared" si="30"/>
        <v>19606.122891727726</v>
      </c>
      <c r="P252" s="251"/>
      <c r="Q252" s="252"/>
      <c r="R252" s="248"/>
      <c r="S252" s="248"/>
      <c r="T252" s="253"/>
    </row>
    <row r="253" spans="1:20" s="247" customFormat="1" x14ac:dyDescent="0.25">
      <c r="A253" s="369">
        <f>'A) Base RI'!A254</f>
        <v>5828</v>
      </c>
      <c r="B253" s="260" t="str">
        <f>'A) Base RI'!B254</f>
        <v>Treytorrens (Payerne)</v>
      </c>
      <c r="C253" s="276">
        <v>0</v>
      </c>
      <c r="D253" s="249">
        <f>'B) D RI'!AA254</f>
        <v>131</v>
      </c>
      <c r="E253" s="250">
        <f>'B) D RI'!S254</f>
        <v>84</v>
      </c>
      <c r="F253" s="14">
        <f>'B) D RI'!R254</f>
        <v>197612.98</v>
      </c>
      <c r="G253" s="14">
        <f>'B) D RI'!U254</f>
        <v>2352.5354761904764</v>
      </c>
      <c r="H253" s="49">
        <f>'B) D RI'!T254</f>
        <v>183963.78</v>
      </c>
      <c r="I253" s="14">
        <f t="shared" si="31"/>
        <v>4380.09</v>
      </c>
      <c r="J253" s="39">
        <f t="shared" si="46"/>
        <v>11361.801433161192</v>
      </c>
      <c r="K253" s="14">
        <f t="shared" si="28"/>
        <v>4380.09</v>
      </c>
      <c r="L253" s="14">
        <f t="shared" si="32"/>
        <v>6981.711433161192</v>
      </c>
      <c r="M253" s="14">
        <f>'D) Ecrêtage'!M252</f>
        <v>2352.5354761904764</v>
      </c>
      <c r="N253" s="14">
        <f t="shared" si="29"/>
        <v>3062.8256363762566</v>
      </c>
      <c r="O253" s="66">
        <f t="shared" si="30"/>
        <v>7442.9156363762568</v>
      </c>
      <c r="P253" s="251"/>
      <c r="Q253" s="252"/>
      <c r="R253" s="248"/>
      <c r="S253" s="248"/>
      <c r="T253" s="253"/>
    </row>
    <row r="254" spans="1:20" s="247" customFormat="1" x14ac:dyDescent="0.25">
      <c r="A254" s="369">
        <f>'A) Base RI'!A255</f>
        <v>5830</v>
      </c>
      <c r="B254" s="260" t="str">
        <f>'A) Base RI'!B255</f>
        <v>Villarzel</v>
      </c>
      <c r="C254" s="276">
        <v>0</v>
      </c>
      <c r="D254" s="249">
        <f>'B) D RI'!AA255</f>
        <v>424</v>
      </c>
      <c r="E254" s="250">
        <f>'B) D RI'!S255</f>
        <v>79</v>
      </c>
      <c r="F254" s="14">
        <f>'B) D RI'!R255</f>
        <v>769253.75000000012</v>
      </c>
      <c r="G254" s="14">
        <f>'B) D RI'!U255</f>
        <v>9737.3892405063307</v>
      </c>
      <c r="H254" s="49">
        <f>'B) D RI'!T255</f>
        <v>711935.40000000014</v>
      </c>
      <c r="I254" s="14">
        <f t="shared" si="31"/>
        <v>18023.681012658231</v>
      </c>
      <c r="J254" s="39">
        <f t="shared" si="46"/>
        <v>36774.074867636227</v>
      </c>
      <c r="K254" s="14">
        <f t="shared" ref="K254:K303" si="47">IF(C254=1,0,IF(J254&gt;I254,I254,J254))</f>
        <v>18023.681012658231</v>
      </c>
      <c r="L254" s="14">
        <f t="shared" si="32"/>
        <v>18750.393854977996</v>
      </c>
      <c r="M254" s="14">
        <f>'D) Ecrêtage'!M253</f>
        <v>9737.3892405063307</v>
      </c>
      <c r="N254" s="14">
        <f t="shared" ref="N254:N313" si="48">+$N$5*M254</f>
        <v>12677.354156415016</v>
      </c>
      <c r="O254" s="66">
        <f t="shared" ref="O254:O314" si="49">+N254+K254</f>
        <v>30701.03516907325</v>
      </c>
      <c r="P254" s="251"/>
      <c r="Q254" s="252"/>
      <c r="R254" s="248"/>
      <c r="S254" s="248"/>
      <c r="T254" s="253"/>
    </row>
    <row r="255" spans="1:20" s="247" customFormat="1" x14ac:dyDescent="0.25">
      <c r="A255" s="369">
        <f>'A) Base RI'!A256</f>
        <v>5831</v>
      </c>
      <c r="B255" s="260" t="str">
        <f>'A) Base RI'!B256</f>
        <v>Valbroye</v>
      </c>
      <c r="C255" s="276">
        <v>0</v>
      </c>
      <c r="D255" s="249">
        <f>'B) D RI'!AA256</f>
        <v>2974</v>
      </c>
      <c r="E255" s="250">
        <f>'B) D RI'!S256</f>
        <v>73</v>
      </c>
      <c r="F255" s="14">
        <f>'B) D RI'!R256</f>
        <v>5485416.5233333325</v>
      </c>
      <c r="G255" s="14">
        <f>'B) D RI'!U256</f>
        <v>75142.69210045661</v>
      </c>
      <c r="H255" s="49">
        <f>'B) D RI'!T256</f>
        <v>5082663.1899999995</v>
      </c>
      <c r="I255" s="14">
        <f t="shared" ref="I255:I286" si="50">+H255/E255*$I$5</f>
        <v>139251.04630136985</v>
      </c>
      <c r="J255" s="39">
        <f t="shared" si="46"/>
        <v>257938.9119253541</v>
      </c>
      <c r="K255" s="14">
        <f t="shared" si="47"/>
        <v>139251.04630136985</v>
      </c>
      <c r="L255" s="14">
        <f t="shared" ref="L255:L314" si="51">+J255-K255</f>
        <v>118687.86562398425</v>
      </c>
      <c r="M255" s="14">
        <f>'D) Ecrêtage'!M254</f>
        <v>75142.69210045661</v>
      </c>
      <c r="N255" s="14">
        <f t="shared" si="48"/>
        <v>97830.177729898685</v>
      </c>
      <c r="O255" s="66">
        <f t="shared" si="49"/>
        <v>237081.22403126853</v>
      </c>
      <c r="P255" s="251"/>
      <c r="Q255" s="252"/>
      <c r="R255" s="248"/>
      <c r="S255" s="248"/>
      <c r="T255" s="253"/>
    </row>
    <row r="256" spans="1:20" s="247" customFormat="1" x14ac:dyDescent="0.25">
      <c r="A256" s="369">
        <f>'A) Base RI'!A257</f>
        <v>5841</v>
      </c>
      <c r="B256" s="260" t="str">
        <f>'A) Base RI'!B257</f>
        <v>Château-d'Oex</v>
      </c>
      <c r="C256" s="276">
        <v>0</v>
      </c>
      <c r="D256" s="249">
        <f>'B) D RI'!AA257</f>
        <v>3477</v>
      </c>
      <c r="E256" s="250">
        <f>'B) D RI'!S257</f>
        <v>83</v>
      </c>
      <c r="F256" s="14">
        <f>'B) D RI'!R257</f>
        <v>8835960.8200000003</v>
      </c>
      <c r="G256" s="14">
        <f>'B) D RI'!U257</f>
        <v>106457.35927710844</v>
      </c>
      <c r="H256" s="49">
        <f>'B) D RI'!T257</f>
        <v>7915257.8999999994</v>
      </c>
      <c r="I256" s="14">
        <f t="shared" si="50"/>
        <v>190729.10602409637</v>
      </c>
      <c r="J256" s="39">
        <f t="shared" si="46"/>
        <v>301564.76017634704</v>
      </c>
      <c r="K256" s="14">
        <f t="shared" si="47"/>
        <v>190729.10602409637</v>
      </c>
      <c r="L256" s="14">
        <f t="shared" si="51"/>
        <v>110835.65415225067</v>
      </c>
      <c r="M256" s="14">
        <f>'D) Ecrêtage'!M255</f>
        <v>106457.35927710844</v>
      </c>
      <c r="N256" s="14">
        <f t="shared" si="48"/>
        <v>138599.53759458015</v>
      </c>
      <c r="O256" s="66">
        <f t="shared" si="49"/>
        <v>329328.64361867652</v>
      </c>
      <c r="P256" s="251"/>
      <c r="Q256" s="252"/>
      <c r="R256" s="248"/>
      <c r="S256" s="248"/>
      <c r="T256" s="253"/>
    </row>
    <row r="257" spans="1:20" s="247" customFormat="1" x14ac:dyDescent="0.25">
      <c r="A257" s="369">
        <f>'A) Base RI'!A258</f>
        <v>5842</v>
      </c>
      <c r="B257" s="260" t="str">
        <f>'A) Base RI'!B258</f>
        <v>Rossinière</v>
      </c>
      <c r="C257" s="276">
        <v>0</v>
      </c>
      <c r="D257" s="249">
        <f>'B) D RI'!AA258</f>
        <v>546</v>
      </c>
      <c r="E257" s="250">
        <f>'B) D RI'!S258</f>
        <v>81</v>
      </c>
      <c r="F257" s="14">
        <f>'B) D RI'!R258</f>
        <v>1095071.3699999999</v>
      </c>
      <c r="G257" s="14">
        <f>'B) D RI'!U258</f>
        <v>13519.399629629628</v>
      </c>
      <c r="H257" s="49">
        <f>'B) D RI'!T258</f>
        <v>1010579.47</v>
      </c>
      <c r="I257" s="14">
        <f t="shared" si="50"/>
        <v>24952.579506172839</v>
      </c>
      <c r="J257" s="39">
        <f t="shared" si="46"/>
        <v>47355.29452294665</v>
      </c>
      <c r="K257" s="14">
        <f t="shared" si="47"/>
        <v>24952.579506172839</v>
      </c>
      <c r="L257" s="14">
        <f t="shared" si="51"/>
        <v>22402.715016773811</v>
      </c>
      <c r="M257" s="14">
        <f>'D) Ecrêtage'!M256</f>
        <v>13519.399629629628</v>
      </c>
      <c r="N257" s="14">
        <f t="shared" si="48"/>
        <v>17601.249457499223</v>
      </c>
      <c r="O257" s="66">
        <f t="shared" si="49"/>
        <v>42553.828963672058</v>
      </c>
      <c r="P257" s="251"/>
      <c r="Q257" s="252"/>
      <c r="R257" s="248"/>
      <c r="S257" s="248"/>
      <c r="T257" s="253"/>
    </row>
    <row r="258" spans="1:20" s="247" customFormat="1" x14ac:dyDescent="0.25">
      <c r="A258" s="369">
        <f>'A) Base RI'!A259</f>
        <v>5843</v>
      </c>
      <c r="B258" s="260" t="str">
        <f>'A) Base RI'!B259</f>
        <v>Rougemont</v>
      </c>
      <c r="C258" s="276">
        <v>0</v>
      </c>
      <c r="D258" s="249">
        <f>'B) D RI'!AA259</f>
        <v>892</v>
      </c>
      <c r="E258" s="250">
        <f>'B) D RI'!S259</f>
        <v>69</v>
      </c>
      <c r="F258" s="14">
        <f>'B) D RI'!R259</f>
        <v>6086726.7133333329</v>
      </c>
      <c r="G258" s="14">
        <f>'B) D RI'!U259</f>
        <v>88213.430628019312</v>
      </c>
      <c r="H258" s="49">
        <f>'B) D RI'!T259</f>
        <v>5341518.38</v>
      </c>
      <c r="I258" s="14">
        <f t="shared" si="50"/>
        <v>154826.61971014494</v>
      </c>
      <c r="J258" s="39">
        <f t="shared" si="46"/>
        <v>77364.327315876217</v>
      </c>
      <c r="K258" s="14">
        <f t="shared" si="47"/>
        <v>77364.327315876217</v>
      </c>
      <c r="L258" s="14">
        <f t="shared" si="51"/>
        <v>0</v>
      </c>
      <c r="M258" s="14">
        <f>'D) Ecrêtage'!M257</f>
        <v>79766.061543453106</v>
      </c>
      <c r="N258" s="14">
        <f t="shared" si="48"/>
        <v>103849.45973425718</v>
      </c>
      <c r="O258" s="66">
        <f t="shared" si="49"/>
        <v>181213.7870501334</v>
      </c>
      <c r="P258" s="251"/>
      <c r="Q258" s="252"/>
      <c r="R258" s="248"/>
      <c r="S258" s="248"/>
      <c r="T258" s="253"/>
    </row>
    <row r="259" spans="1:20" s="247" customFormat="1" x14ac:dyDescent="0.25">
      <c r="A259" s="369">
        <f>'A) Base RI'!A260</f>
        <v>5851</v>
      </c>
      <c r="B259" s="260" t="str">
        <f>'A) Base RI'!B260</f>
        <v>Allaman</v>
      </c>
      <c r="C259" s="276">
        <v>0</v>
      </c>
      <c r="D259" s="249">
        <f>'B) D RI'!AA260</f>
        <v>432</v>
      </c>
      <c r="E259" s="250">
        <f>'B) D RI'!S260</f>
        <v>62</v>
      </c>
      <c r="F259" s="14">
        <f>'B) D RI'!R260</f>
        <v>1667839.0127272729</v>
      </c>
      <c r="G259" s="14">
        <f>'B) D RI'!U260</f>
        <v>26900.629237536661</v>
      </c>
      <c r="H259" s="49">
        <f>'B) D RI'!T260</f>
        <v>1438815.7400000002</v>
      </c>
      <c r="I259" s="14">
        <f t="shared" si="50"/>
        <v>46413.41096774194</v>
      </c>
      <c r="J259" s="39">
        <f t="shared" si="46"/>
        <v>37467.92533683691</v>
      </c>
      <c r="K259" s="14">
        <f t="shared" si="47"/>
        <v>37467.92533683691</v>
      </c>
      <c r="L259" s="14">
        <f t="shared" si="51"/>
        <v>0</v>
      </c>
      <c r="M259" s="14">
        <f>'D) Ecrêtage'!M258</f>
        <v>26406.752515655604</v>
      </c>
      <c r="N259" s="14">
        <f t="shared" si="48"/>
        <v>34379.621220149747</v>
      </c>
      <c r="O259" s="66">
        <f t="shared" si="49"/>
        <v>71847.546556986665</v>
      </c>
      <c r="P259" s="251"/>
      <c r="Q259" s="252"/>
      <c r="R259" s="248"/>
      <c r="S259" s="248"/>
      <c r="T259" s="253"/>
    </row>
    <row r="260" spans="1:20" s="247" customFormat="1" x14ac:dyDescent="0.25">
      <c r="A260" s="369">
        <f>'A) Base RI'!A261</f>
        <v>5852</v>
      </c>
      <c r="B260" s="260" t="str">
        <f>'A) Base RI'!B261</f>
        <v>Bursinel</v>
      </c>
      <c r="C260" s="276">
        <v>0</v>
      </c>
      <c r="D260" s="249">
        <f>'B) D RI'!AA261</f>
        <v>485</v>
      </c>
      <c r="E260" s="250">
        <f>'B) D RI'!S261</f>
        <v>65.5</v>
      </c>
      <c r="F260" s="14">
        <f>'B) D RI'!R261</f>
        <v>1959910.0799999998</v>
      </c>
      <c r="G260" s="14">
        <f>'B) D RI'!U261</f>
        <v>29922.291297709922</v>
      </c>
      <c r="H260" s="49">
        <f>'B) D RI'!T261</f>
        <v>1782360.4799999997</v>
      </c>
      <c r="I260" s="14">
        <f t="shared" si="50"/>
        <v>54423.220763358768</v>
      </c>
      <c r="J260" s="39">
        <f t="shared" si="46"/>
        <v>42064.684695291435</v>
      </c>
      <c r="K260" s="14">
        <f t="shared" si="47"/>
        <v>42064.684695291435</v>
      </c>
      <c r="L260" s="14">
        <f t="shared" si="51"/>
        <v>0</v>
      </c>
      <c r="M260" s="14">
        <f>'D) Ecrêtage'!M259</f>
        <v>29417.979610243983</v>
      </c>
      <c r="N260" s="14">
        <f t="shared" si="48"/>
        <v>38300.014190032147</v>
      </c>
      <c r="O260" s="66">
        <f t="shared" si="49"/>
        <v>80364.698885323582</v>
      </c>
      <c r="P260" s="251"/>
      <c r="Q260" s="252"/>
      <c r="R260" s="248"/>
      <c r="S260" s="248"/>
      <c r="T260" s="253"/>
    </row>
    <row r="261" spans="1:20" s="247" customFormat="1" x14ac:dyDescent="0.25">
      <c r="A261" s="369">
        <f>'A) Base RI'!A262</f>
        <v>5853</v>
      </c>
      <c r="B261" s="260" t="str">
        <f>'A) Base RI'!B262</f>
        <v>Bursins</v>
      </c>
      <c r="C261" s="276">
        <v>0</v>
      </c>
      <c r="D261" s="249">
        <f>'B) D RI'!AA262</f>
        <v>766</v>
      </c>
      <c r="E261" s="250">
        <f>'B) D RI'!S262</f>
        <v>71</v>
      </c>
      <c r="F261" s="14">
        <f>'B) D RI'!R262</f>
        <v>2878568.86</v>
      </c>
      <c r="G261" s="14">
        <f>'B) D RI'!U262</f>
        <v>40543.223380281692</v>
      </c>
      <c r="H261" s="49">
        <f>'B) D RI'!T262</f>
        <v>2711055.56</v>
      </c>
      <c r="I261" s="14">
        <f t="shared" si="50"/>
        <v>76367.762253521127</v>
      </c>
      <c r="J261" s="39">
        <f t="shared" si="46"/>
        <v>66436.182425965439</v>
      </c>
      <c r="K261" s="14">
        <f t="shared" si="47"/>
        <v>66436.182425965439</v>
      </c>
      <c r="L261" s="14">
        <f t="shared" si="51"/>
        <v>0</v>
      </c>
      <c r="M261" s="14">
        <f>'D) Ecrêtage'!M260</f>
        <v>40543.223380281692</v>
      </c>
      <c r="N261" s="14">
        <f t="shared" si="48"/>
        <v>52784.251377810826</v>
      </c>
      <c r="O261" s="66">
        <f t="shared" si="49"/>
        <v>119220.43380377626</v>
      </c>
      <c r="P261" s="251"/>
      <c r="Q261" s="252"/>
      <c r="R261" s="248"/>
      <c r="S261" s="248"/>
      <c r="T261" s="253"/>
    </row>
    <row r="262" spans="1:20" s="247" customFormat="1" x14ac:dyDescent="0.25">
      <c r="A262" s="369">
        <f>'A) Base RI'!A263</f>
        <v>5854</v>
      </c>
      <c r="B262" s="260" t="str">
        <f>'A) Base RI'!B263</f>
        <v>Burtigny</v>
      </c>
      <c r="C262" s="276">
        <v>0</v>
      </c>
      <c r="D262" s="249">
        <f>'B) D RI'!AA263</f>
        <v>359</v>
      </c>
      <c r="E262" s="250">
        <f>'B) D RI'!S263</f>
        <v>80</v>
      </c>
      <c r="F262" s="14">
        <f>'B) D RI'!R263</f>
        <v>846223.0266666665</v>
      </c>
      <c r="G262" s="14">
        <f>'B) D RI'!U263</f>
        <v>10577.787833333332</v>
      </c>
      <c r="H262" s="49">
        <f>'B) D RI'!T263</f>
        <v>783383.45999999985</v>
      </c>
      <c r="I262" s="14">
        <f t="shared" si="50"/>
        <v>19584.586499999998</v>
      </c>
      <c r="J262" s="39">
        <f t="shared" si="46"/>
        <v>31136.539805380671</v>
      </c>
      <c r="K262" s="14">
        <f t="shared" si="47"/>
        <v>19584.586499999998</v>
      </c>
      <c r="L262" s="14">
        <f t="shared" si="51"/>
        <v>11551.953305380674</v>
      </c>
      <c r="M262" s="14">
        <f>'D) Ecrêtage'!M261</f>
        <v>10577.787833333332</v>
      </c>
      <c r="N262" s="14">
        <f t="shared" si="48"/>
        <v>13771.490411079796</v>
      </c>
      <c r="O262" s="66">
        <f t="shared" si="49"/>
        <v>33356.076911079792</v>
      </c>
      <c r="P262" s="251"/>
      <c r="Q262" s="252"/>
      <c r="R262" s="248"/>
      <c r="S262" s="248"/>
      <c r="T262" s="253"/>
    </row>
    <row r="263" spans="1:20" s="247" customFormat="1" x14ac:dyDescent="0.25">
      <c r="A263" s="369">
        <f>'A) Base RI'!A264</f>
        <v>5855</v>
      </c>
      <c r="B263" s="260" t="str">
        <f>'A) Base RI'!B264</f>
        <v>Dully</v>
      </c>
      <c r="C263" s="276">
        <v>0</v>
      </c>
      <c r="D263" s="249">
        <f>'B) D RI'!AA264</f>
        <v>633</v>
      </c>
      <c r="E263" s="250">
        <f>'B) D RI'!S264</f>
        <v>49</v>
      </c>
      <c r="F263" s="14">
        <f>'B) D RI'!R264</f>
        <v>3890000.8600000003</v>
      </c>
      <c r="G263" s="14">
        <f>'B) D RI'!U264</f>
        <v>79387.772653061227</v>
      </c>
      <c r="H263" s="49">
        <f>'B) D RI'!T264</f>
        <v>3541714.9600000004</v>
      </c>
      <c r="I263" s="14">
        <f t="shared" si="50"/>
        <v>144559.79428571431</v>
      </c>
      <c r="J263" s="39">
        <f t="shared" si="46"/>
        <v>54900.918375504079</v>
      </c>
      <c r="K263" s="14">
        <f t="shared" si="47"/>
        <v>54900.918375504079</v>
      </c>
      <c r="L263" s="14">
        <f t="shared" si="51"/>
        <v>0</v>
      </c>
      <c r="M263" s="14">
        <f>'D) Ecrêtage'!M262</f>
        <v>68692.563814665671</v>
      </c>
      <c r="N263" s="14">
        <f t="shared" si="48"/>
        <v>89432.592030733402</v>
      </c>
      <c r="O263" s="66">
        <f t="shared" si="49"/>
        <v>144333.51040623747</v>
      </c>
      <c r="P263" s="251"/>
      <c r="Q263" s="252"/>
      <c r="R263" s="248"/>
      <c r="S263" s="248"/>
      <c r="T263" s="253"/>
    </row>
    <row r="264" spans="1:20" s="247" customFormat="1" x14ac:dyDescent="0.25">
      <c r="A264" s="369">
        <f>'A) Base RI'!A265</f>
        <v>5856</v>
      </c>
      <c r="B264" s="260" t="str">
        <f>'A) Base RI'!B265</f>
        <v>Essertines-sur-Rolle</v>
      </c>
      <c r="C264" s="276">
        <v>0</v>
      </c>
      <c r="D264" s="249">
        <f>'B) D RI'!AA265</f>
        <v>695</v>
      </c>
      <c r="E264" s="250">
        <f>'B) D RI'!S265</f>
        <v>68</v>
      </c>
      <c r="F264" s="14">
        <f>'B) D RI'!R265</f>
        <v>2166670.5553846154</v>
      </c>
      <c r="G264" s="14">
        <f>'B) D RI'!U265</f>
        <v>31862.802285067875</v>
      </c>
      <c r="H264" s="49">
        <f>'B) D RI'!T265</f>
        <v>1995256.94</v>
      </c>
      <c r="I264" s="14">
        <f t="shared" si="50"/>
        <v>58684.027647058821</v>
      </c>
      <c r="J264" s="39">
        <f t="shared" si="46"/>
        <v>60278.259511809381</v>
      </c>
      <c r="K264" s="14">
        <f t="shared" si="47"/>
        <v>58684.027647058821</v>
      </c>
      <c r="L264" s="14">
        <f t="shared" si="51"/>
        <v>1594.2318647505599</v>
      </c>
      <c r="M264" s="14">
        <f>'D) Ecrêtage'!M263</f>
        <v>31862.802285067875</v>
      </c>
      <c r="N264" s="14">
        <f t="shared" si="48"/>
        <v>41482.990872267015</v>
      </c>
      <c r="O264" s="66">
        <f t="shared" si="49"/>
        <v>100167.01851932584</v>
      </c>
      <c r="P264" s="251"/>
      <c r="Q264" s="252"/>
      <c r="R264" s="248"/>
      <c r="S264" s="248"/>
      <c r="T264" s="253"/>
    </row>
    <row r="265" spans="1:20" s="247" customFormat="1" x14ac:dyDescent="0.25">
      <c r="A265" s="369">
        <f>'A) Base RI'!A266</f>
        <v>5857</v>
      </c>
      <c r="B265" s="260" t="str">
        <f>'A) Base RI'!B266</f>
        <v>Gilly</v>
      </c>
      <c r="C265" s="276">
        <v>0</v>
      </c>
      <c r="D265" s="249">
        <f>'B) D RI'!AA266</f>
        <v>1230</v>
      </c>
      <c r="E265" s="250">
        <f>'B) D RI'!S266</f>
        <v>66</v>
      </c>
      <c r="F265" s="14">
        <f>'B) D RI'!R266</f>
        <v>4127669.41</v>
      </c>
      <c r="G265" s="14">
        <f>'B) D RI'!U266</f>
        <v>62540.44560606061</v>
      </c>
      <c r="H265" s="49">
        <f>'B) D RI'!T266</f>
        <v>3791599.41</v>
      </c>
      <c r="I265" s="14">
        <f t="shared" si="50"/>
        <v>114896.95181818183</v>
      </c>
      <c r="J265" s="39">
        <f t="shared" si="46"/>
        <v>106679.50963960509</v>
      </c>
      <c r="K265" s="14">
        <f t="shared" si="47"/>
        <v>106679.50963960509</v>
      </c>
      <c r="L265" s="14">
        <f t="shared" si="51"/>
        <v>0</v>
      </c>
      <c r="M265" s="14">
        <f>'D) Ecrêtage'!M264</f>
        <v>62540.44560606061</v>
      </c>
      <c r="N265" s="14">
        <f t="shared" si="48"/>
        <v>81422.993213611422</v>
      </c>
      <c r="O265" s="66">
        <f t="shared" si="49"/>
        <v>188102.50285321652</v>
      </c>
      <c r="P265" s="251"/>
      <c r="Q265" s="252"/>
      <c r="R265" s="248"/>
      <c r="S265" s="248"/>
      <c r="T265" s="253"/>
    </row>
    <row r="266" spans="1:20" s="247" customFormat="1" x14ac:dyDescent="0.25">
      <c r="A266" s="369">
        <f>'A) Base RI'!A267</f>
        <v>5858</v>
      </c>
      <c r="B266" s="260" t="str">
        <f>'A) Base RI'!B267</f>
        <v>Luins</v>
      </c>
      <c r="C266" s="276">
        <v>0</v>
      </c>
      <c r="D266" s="249">
        <f>'B) D RI'!AA267</f>
        <v>625</v>
      </c>
      <c r="E266" s="250">
        <f>'B) D RI'!S267</f>
        <v>60</v>
      </c>
      <c r="F266" s="14">
        <f>'B) D RI'!R267</f>
        <v>2102718.1166666667</v>
      </c>
      <c r="G266" s="14">
        <f>'B) D RI'!U267</f>
        <v>35045.301944444444</v>
      </c>
      <c r="H266" s="49">
        <f>'B) D RI'!T267</f>
        <v>1958408.85</v>
      </c>
      <c r="I266" s="14">
        <f t="shared" si="50"/>
        <v>65280.295000000006</v>
      </c>
      <c r="J266" s="39">
        <f t="shared" si="46"/>
        <v>54207.067906303397</v>
      </c>
      <c r="K266" s="14">
        <f t="shared" si="47"/>
        <v>54207.067906303397</v>
      </c>
      <c r="L266" s="14">
        <f t="shared" si="51"/>
        <v>0</v>
      </c>
      <c r="M266" s="14">
        <f>'D) Ecrêtage'!M265</f>
        <v>35027.999071405589</v>
      </c>
      <c r="N266" s="14">
        <f t="shared" si="48"/>
        <v>45603.840891102591</v>
      </c>
      <c r="O266" s="66">
        <f t="shared" si="49"/>
        <v>99810.90879740598</v>
      </c>
      <c r="P266" s="251"/>
      <c r="Q266" s="252"/>
      <c r="R266" s="248"/>
      <c r="S266" s="248"/>
      <c r="T266" s="253"/>
    </row>
    <row r="267" spans="1:20" s="247" customFormat="1" x14ac:dyDescent="0.25">
      <c r="A267" s="369">
        <f>'A) Base RI'!A268</f>
        <v>5859</v>
      </c>
      <c r="B267" s="260" t="str">
        <f>'A) Base RI'!B268</f>
        <v>Mont-sur-Rolle</v>
      </c>
      <c r="C267" s="276">
        <v>0</v>
      </c>
      <c r="D267" s="249">
        <f>'B) D RI'!AA268</f>
        <v>2660</v>
      </c>
      <c r="E267" s="250">
        <f>'B) D RI'!S268</f>
        <v>64</v>
      </c>
      <c r="F267" s="14">
        <f>'B) D RI'!R268</f>
        <v>8347544.3800000018</v>
      </c>
      <c r="G267" s="14">
        <f>'B) D RI'!U268</f>
        <v>130430.38093750003</v>
      </c>
      <c r="H267" s="49">
        <f>'B) D RI'!T268</f>
        <v>7730277.2800000012</v>
      </c>
      <c r="I267" s="14">
        <f t="shared" si="50"/>
        <v>241571.16500000004</v>
      </c>
      <c r="J267" s="39">
        <f t="shared" si="46"/>
        <v>230705.28100922727</v>
      </c>
      <c r="K267" s="14">
        <f t="shared" si="47"/>
        <v>230705.28100922727</v>
      </c>
      <c r="L267" s="14">
        <f t="shared" si="51"/>
        <v>0</v>
      </c>
      <c r="M267" s="14">
        <f>'D) Ecrêtage'!M266</f>
        <v>130430.38093750003</v>
      </c>
      <c r="N267" s="14">
        <f t="shared" si="48"/>
        <v>169810.6228538554</v>
      </c>
      <c r="O267" s="66">
        <f t="shared" si="49"/>
        <v>400515.90386308264</v>
      </c>
      <c r="P267" s="251"/>
      <c r="Q267" s="252"/>
      <c r="R267" s="248"/>
      <c r="S267" s="248"/>
      <c r="T267" s="253"/>
    </row>
    <row r="268" spans="1:20" s="247" customFormat="1" x14ac:dyDescent="0.25">
      <c r="A268" s="369">
        <f>'A) Base RI'!A269</f>
        <v>5860</v>
      </c>
      <c r="B268" s="260" t="str">
        <f>'A) Base RI'!B269</f>
        <v>Perroy</v>
      </c>
      <c r="C268" s="276">
        <v>0</v>
      </c>
      <c r="D268" s="249">
        <f>'B) D RI'!AA269</f>
        <v>1453</v>
      </c>
      <c r="E268" s="250">
        <f>'B) D RI'!S269</f>
        <v>60</v>
      </c>
      <c r="F268" s="14">
        <f>'B) D RI'!R269</f>
        <v>5564986.6823076922</v>
      </c>
      <c r="G268" s="14">
        <f>'B) D RI'!U269</f>
        <v>92749.778038461533</v>
      </c>
      <c r="H268" s="49">
        <f>'B) D RI'!T269</f>
        <v>5082661.49</v>
      </c>
      <c r="I268" s="14">
        <f t="shared" si="50"/>
        <v>169422.04966666669</v>
      </c>
      <c r="J268" s="39">
        <f t="shared" si="46"/>
        <v>126020.59146857414</v>
      </c>
      <c r="K268" s="14">
        <f t="shared" si="47"/>
        <v>126020.59146857414</v>
      </c>
      <c r="L268" s="14">
        <f t="shared" si="51"/>
        <v>0</v>
      </c>
      <c r="M268" s="14">
        <f>'D) Ecrêtage'!M267</f>
        <v>90679.789505177716</v>
      </c>
      <c r="N268" s="14">
        <f t="shared" si="48"/>
        <v>118058.31912358954</v>
      </c>
      <c r="O268" s="66">
        <f t="shared" si="49"/>
        <v>244078.91059216368</v>
      </c>
      <c r="P268" s="251"/>
      <c r="Q268" s="252"/>
      <c r="R268" s="248"/>
      <c r="S268" s="248"/>
      <c r="T268" s="253"/>
    </row>
    <row r="269" spans="1:20" s="247" customFormat="1" x14ac:dyDescent="0.25">
      <c r="A269" s="369">
        <f>'A) Base RI'!A270</f>
        <v>5861</v>
      </c>
      <c r="B269" s="260" t="str">
        <f>'A) Base RI'!B270</f>
        <v>Rolle</v>
      </c>
      <c r="C269" s="276">
        <v>0</v>
      </c>
      <c r="D269" s="249">
        <f>'B) D RI'!AA270</f>
        <v>6142</v>
      </c>
      <c r="E269" s="250">
        <f>'B) D RI'!S270</f>
        <v>59.5</v>
      </c>
      <c r="F269" s="14">
        <f>'B) D RI'!R270</f>
        <v>49669910.390000001</v>
      </c>
      <c r="G269" s="14">
        <f>'B) D RI'!U270</f>
        <v>834788.40991596645</v>
      </c>
      <c r="H269" s="49">
        <f>'B) D RI'!T270</f>
        <v>47695616.840000004</v>
      </c>
      <c r="I269" s="14">
        <f t="shared" si="50"/>
        <v>1603214.0114285715</v>
      </c>
      <c r="J269" s="39">
        <f t="shared" si="46"/>
        <v>532703.6977288248</v>
      </c>
      <c r="K269" s="14">
        <f t="shared" si="47"/>
        <v>532703.6977288248</v>
      </c>
      <c r="L269" s="14">
        <f t="shared" si="51"/>
        <v>0</v>
      </c>
      <c r="M269" s="14">
        <f>'D) Ecrêtage'!M268</f>
        <v>712955.93825545628</v>
      </c>
      <c r="N269" s="14">
        <f t="shared" si="48"/>
        <v>928215.42858582421</v>
      </c>
      <c r="O269" s="66">
        <f t="shared" si="49"/>
        <v>1460919.1263146489</v>
      </c>
      <c r="P269" s="251"/>
      <c r="Q269" s="252"/>
      <c r="R269" s="248"/>
      <c r="S269" s="248"/>
      <c r="T269" s="253"/>
    </row>
    <row r="270" spans="1:20" s="247" customFormat="1" x14ac:dyDescent="0.25">
      <c r="A270" s="369">
        <f>'A) Base RI'!A271</f>
        <v>5862</v>
      </c>
      <c r="B270" s="260" t="str">
        <f>'A) Base RI'!B271</f>
        <v>Tartegnin</v>
      </c>
      <c r="C270" s="276">
        <v>0</v>
      </c>
      <c r="D270" s="249">
        <f>'B) D RI'!AA271</f>
        <v>236</v>
      </c>
      <c r="E270" s="250">
        <f>'B) D RI'!S271</f>
        <v>84</v>
      </c>
      <c r="F270" s="14">
        <f>'B) D RI'!R271</f>
        <v>697319.41333333333</v>
      </c>
      <c r="G270" s="14">
        <f>'B) D RI'!U271</f>
        <v>8301.4215873015874</v>
      </c>
      <c r="H270" s="49">
        <f>'B) D RI'!T271</f>
        <v>652068.57999999996</v>
      </c>
      <c r="I270" s="14">
        <f t="shared" si="50"/>
        <v>15525.44238095238</v>
      </c>
      <c r="J270" s="39">
        <f t="shared" si="46"/>
        <v>20468.588841420162</v>
      </c>
      <c r="K270" s="14">
        <f t="shared" si="47"/>
        <v>15525.44238095238</v>
      </c>
      <c r="L270" s="14">
        <f t="shared" si="51"/>
        <v>4943.1464604677822</v>
      </c>
      <c r="M270" s="14">
        <f>'D) Ecrêtage'!M269</f>
        <v>8301.4215873015874</v>
      </c>
      <c r="N270" s="14">
        <f t="shared" si="48"/>
        <v>10807.831428381802</v>
      </c>
      <c r="O270" s="66">
        <f t="shared" si="49"/>
        <v>26333.273809334183</v>
      </c>
      <c r="P270" s="251"/>
      <c r="Q270" s="252"/>
      <c r="R270" s="248"/>
      <c r="S270" s="248"/>
      <c r="T270" s="253"/>
    </row>
    <row r="271" spans="1:20" s="247" customFormat="1" x14ac:dyDescent="0.25">
      <c r="A271" s="369">
        <f>'A) Base RI'!A272</f>
        <v>5863</v>
      </c>
      <c r="B271" s="260" t="str">
        <f>'A) Base RI'!B272</f>
        <v>Vinzel</v>
      </c>
      <c r="C271" s="276">
        <v>0</v>
      </c>
      <c r="D271" s="249">
        <f>'B) D RI'!AA272</f>
        <v>352</v>
      </c>
      <c r="E271" s="250">
        <f>'B) D RI'!S272</f>
        <v>70</v>
      </c>
      <c r="F271" s="14">
        <f>'B) D RI'!R272</f>
        <v>1716985.97</v>
      </c>
      <c r="G271" s="14">
        <f>'B) D RI'!U272</f>
        <v>24528.370999999999</v>
      </c>
      <c r="H271" s="49">
        <f>'B) D RI'!T272</f>
        <v>1642680.77</v>
      </c>
      <c r="I271" s="14">
        <f t="shared" si="50"/>
        <v>46933.736285714287</v>
      </c>
      <c r="J271" s="39">
        <f t="shared" si="46"/>
        <v>30529.420644830076</v>
      </c>
      <c r="K271" s="14">
        <f t="shared" si="47"/>
        <v>30529.420644830076</v>
      </c>
      <c r="L271" s="14">
        <f t="shared" si="51"/>
        <v>0</v>
      </c>
      <c r="M271" s="14">
        <f>'D) Ecrêtage'!M270</f>
        <v>23656.271771824515</v>
      </c>
      <c r="N271" s="14">
        <f t="shared" si="48"/>
        <v>30798.700541237522</v>
      </c>
      <c r="O271" s="66">
        <f t="shared" si="49"/>
        <v>61328.121186067598</v>
      </c>
      <c r="P271" s="251"/>
      <c r="Q271" s="252"/>
      <c r="R271" s="248"/>
      <c r="S271" s="248"/>
      <c r="T271" s="253"/>
    </row>
    <row r="272" spans="1:20" s="247" customFormat="1" x14ac:dyDescent="0.25">
      <c r="A272" s="369">
        <f>'A) Base RI'!A273</f>
        <v>5871</v>
      </c>
      <c r="B272" s="260" t="str">
        <f>'A) Base RI'!B273</f>
        <v>L'Abbaye</v>
      </c>
      <c r="C272" s="276">
        <v>0</v>
      </c>
      <c r="D272" s="249">
        <f>'B) D RI'!AA273</f>
        <v>1439</v>
      </c>
      <c r="E272" s="250">
        <f>'B) D RI'!S273</f>
        <v>77.23</v>
      </c>
      <c r="F272" s="14">
        <f>'B) D RI'!R273</f>
        <v>3783990.2800000003</v>
      </c>
      <c r="G272" s="14">
        <f>'B) D RI'!U273</f>
        <v>48996.378091415252</v>
      </c>
      <c r="H272" s="49">
        <f>'B) D RI'!T273</f>
        <v>3542891.68</v>
      </c>
      <c r="I272" s="14">
        <f t="shared" si="50"/>
        <v>91749.104752039362</v>
      </c>
      <c r="J272" s="39">
        <f t="shared" si="46"/>
        <v>124806.35314747294</v>
      </c>
      <c r="K272" s="14">
        <f t="shared" si="47"/>
        <v>91749.104752039362</v>
      </c>
      <c r="L272" s="14">
        <f t="shared" si="51"/>
        <v>33057.248395433577</v>
      </c>
      <c r="M272" s="14">
        <f>'D) Ecrêtage'!M271</f>
        <v>48996.378091415252</v>
      </c>
      <c r="N272" s="14">
        <f t="shared" si="48"/>
        <v>63789.628010617169</v>
      </c>
      <c r="O272" s="66">
        <f t="shared" si="49"/>
        <v>155538.73276265652</v>
      </c>
      <c r="P272" s="251"/>
      <c r="Q272" s="252"/>
      <c r="R272" s="248"/>
      <c r="S272" s="248"/>
      <c r="T272" s="253"/>
    </row>
    <row r="273" spans="1:20" s="247" customFormat="1" x14ac:dyDescent="0.25">
      <c r="A273" s="369">
        <f>'A) Base RI'!A274</f>
        <v>5872</v>
      </c>
      <c r="B273" s="260" t="str">
        <f>'A) Base RI'!B274</f>
        <v>Le Chenit</v>
      </c>
      <c r="C273" s="276">
        <v>0</v>
      </c>
      <c r="D273" s="249">
        <f>'B) D RI'!AA274</f>
        <v>4608</v>
      </c>
      <c r="E273" s="250">
        <f>'B) D RI'!S274</f>
        <v>69.7</v>
      </c>
      <c r="F273" s="14">
        <f>'B) D RI'!R274</f>
        <v>21992022.144285709</v>
      </c>
      <c r="G273" s="14">
        <f>'B) D RI'!U274</f>
        <v>315523.99059233442</v>
      </c>
      <c r="H273" s="49">
        <f>'B) D RI'!T274</f>
        <v>21324962.429999996</v>
      </c>
      <c r="I273" s="14">
        <f t="shared" si="50"/>
        <v>611907.09985652787</v>
      </c>
      <c r="J273" s="39">
        <f t="shared" si="46"/>
        <v>399657.87025959371</v>
      </c>
      <c r="K273" s="14">
        <f t="shared" si="47"/>
        <v>399657.87025959371</v>
      </c>
      <c r="L273" s="14">
        <f t="shared" si="51"/>
        <v>0</v>
      </c>
      <c r="M273" s="14">
        <f>'D) Ecrêtage'!M272</f>
        <v>305110.86205505329</v>
      </c>
      <c r="N273" s="14">
        <f t="shared" si="48"/>
        <v>397231.57405997545</v>
      </c>
      <c r="O273" s="66">
        <f t="shared" si="49"/>
        <v>796889.44431956916</v>
      </c>
      <c r="P273" s="251"/>
      <c r="Q273" s="252"/>
      <c r="R273" s="248"/>
      <c r="S273" s="248"/>
      <c r="T273" s="253"/>
    </row>
    <row r="274" spans="1:20" s="247" customFormat="1" x14ac:dyDescent="0.25">
      <c r="A274" s="369">
        <f>'A) Base RI'!A275</f>
        <v>5873</v>
      </c>
      <c r="B274" s="260" t="str">
        <f>'A) Base RI'!B275</f>
        <v>Le Lieu</v>
      </c>
      <c r="C274" s="276">
        <v>0</v>
      </c>
      <c r="D274" s="249">
        <f>'B) D RI'!AA275</f>
        <v>873</v>
      </c>
      <c r="E274" s="250">
        <f>'B) D RI'!S275</f>
        <v>65</v>
      </c>
      <c r="F274" s="14">
        <f>'B) D RI'!R275</f>
        <v>1988159.3566666667</v>
      </c>
      <c r="G274" s="14">
        <f>'B) D RI'!U275</f>
        <v>30587.067025641027</v>
      </c>
      <c r="H274" s="49">
        <f>'B) D RI'!T275</f>
        <v>1852887.69</v>
      </c>
      <c r="I274" s="14">
        <f t="shared" si="50"/>
        <v>57011.928923076921</v>
      </c>
      <c r="J274" s="39">
        <f t="shared" si="46"/>
        <v>75716.432451524583</v>
      </c>
      <c r="K274" s="14">
        <f t="shared" si="47"/>
        <v>57011.928923076921</v>
      </c>
      <c r="L274" s="14">
        <f t="shared" si="51"/>
        <v>18704.503528447662</v>
      </c>
      <c r="M274" s="14">
        <f>'D) Ecrêtage'!M273</f>
        <v>30587.067025641027</v>
      </c>
      <c r="N274" s="14">
        <f t="shared" si="48"/>
        <v>39822.078763885569</v>
      </c>
      <c r="O274" s="66">
        <f t="shared" si="49"/>
        <v>96834.00768696249</v>
      </c>
      <c r="P274" s="251"/>
      <c r="Q274" s="252"/>
      <c r="R274" s="248"/>
      <c r="S274" s="248"/>
      <c r="T274" s="253"/>
    </row>
    <row r="275" spans="1:20" s="247" customFormat="1" x14ac:dyDescent="0.25">
      <c r="A275" s="369">
        <f>'A) Base RI'!A276</f>
        <v>5881</v>
      </c>
      <c r="B275" s="260" t="str">
        <f>'A) Base RI'!B276</f>
        <v>Blonay</v>
      </c>
      <c r="C275" s="276">
        <v>1</v>
      </c>
      <c r="D275" s="249">
        <f>'B) D RI'!AA276</f>
        <v>6116</v>
      </c>
      <c r="E275" s="250">
        <f>'B) D RI'!S276</f>
        <v>70</v>
      </c>
      <c r="F275" s="14">
        <f>'B) D RI'!R276</f>
        <v>23268550.309999999</v>
      </c>
      <c r="G275" s="14">
        <f>'B) D RI'!U276</f>
        <v>332407.86157142854</v>
      </c>
      <c r="H275" s="49">
        <f>'B) D RI'!T276</f>
        <v>21662274.709999997</v>
      </c>
      <c r="I275" s="14">
        <f t="shared" si="50"/>
        <v>618922.13457142853</v>
      </c>
      <c r="J275" s="39">
        <f t="shared" si="46"/>
        <v>530448.68370392255</v>
      </c>
      <c r="K275" s="14">
        <f t="shared" si="47"/>
        <v>0</v>
      </c>
      <c r="L275" s="14">
        <f t="shared" si="51"/>
        <v>530448.68370392255</v>
      </c>
      <c r="M275" s="14">
        <f>'D) Ecrêtage'!M274</f>
        <v>332407.86157142854</v>
      </c>
      <c r="N275" s="14">
        <f t="shared" si="48"/>
        <v>432770.23044202069</v>
      </c>
      <c r="O275" s="66">
        <f t="shared" si="49"/>
        <v>432770.23044202069</v>
      </c>
      <c r="P275" s="251"/>
      <c r="Q275" s="252"/>
      <c r="R275" s="248"/>
      <c r="S275" s="248"/>
      <c r="T275" s="253"/>
    </row>
    <row r="276" spans="1:20" s="247" customFormat="1" x14ac:dyDescent="0.25">
      <c r="A276" s="369">
        <f>'A) Base RI'!A277</f>
        <v>5882</v>
      </c>
      <c r="B276" s="260" t="str">
        <f>'A) Base RI'!B277</f>
        <v>Chardonne</v>
      </c>
      <c r="C276" s="276">
        <v>1</v>
      </c>
      <c r="D276" s="249">
        <f>'B) D RI'!AA277</f>
        <v>2916</v>
      </c>
      <c r="E276" s="250">
        <f>'B) D RI'!S277</f>
        <v>68</v>
      </c>
      <c r="F276" s="14">
        <f>'B) D RI'!R277</f>
        <v>10274083.699999997</v>
      </c>
      <c r="G276" s="14">
        <f>'B) D RI'!U277</f>
        <v>151089.46617647054</v>
      </c>
      <c r="H276" s="49">
        <f>'B) D RI'!T277</f>
        <v>9423868.4299999978</v>
      </c>
      <c r="I276" s="14">
        <f t="shared" si="50"/>
        <v>277172.60088235285</v>
      </c>
      <c r="J276" s="39">
        <f t="shared" si="46"/>
        <v>252908.49602364915</v>
      </c>
      <c r="K276" s="14">
        <f t="shared" si="47"/>
        <v>0</v>
      </c>
      <c r="L276" s="14">
        <f t="shared" si="51"/>
        <v>252908.49602364915</v>
      </c>
      <c r="M276" s="14">
        <f>'D) Ecrêtage'!M275</f>
        <v>151089.46617647054</v>
      </c>
      <c r="N276" s="14">
        <f t="shared" si="48"/>
        <v>196707.21018883763</v>
      </c>
      <c r="O276" s="66">
        <f t="shared" si="49"/>
        <v>196707.21018883763</v>
      </c>
      <c r="P276" s="251"/>
      <c r="Q276" s="252"/>
      <c r="R276" s="248"/>
      <c r="S276" s="248"/>
      <c r="T276" s="253"/>
    </row>
    <row r="277" spans="1:20" s="247" customFormat="1" x14ac:dyDescent="0.25">
      <c r="A277" s="369">
        <f>'A) Base RI'!A278</f>
        <v>5883</v>
      </c>
      <c r="B277" s="260" t="str">
        <f>'A) Base RI'!B278</f>
        <v>Corseaux</v>
      </c>
      <c r="C277" s="276">
        <v>1</v>
      </c>
      <c r="D277" s="249">
        <f>'B) D RI'!AA278</f>
        <v>2212</v>
      </c>
      <c r="E277" s="250">
        <f>'B) D RI'!S278</f>
        <v>64</v>
      </c>
      <c r="F277" s="14">
        <f>'B) D RI'!R278</f>
        <v>9671528.3300000001</v>
      </c>
      <c r="G277" s="14">
        <f>'B) D RI'!U278</f>
        <v>151117.63015625</v>
      </c>
      <c r="H277" s="49">
        <f>'B) D RI'!T278</f>
        <v>9036206.9299999997</v>
      </c>
      <c r="I277" s="14">
        <f t="shared" si="50"/>
        <v>282381.46656249999</v>
      </c>
      <c r="J277" s="39">
        <f t="shared" ref="J277:J308" si="52">+$I$315/$D$315*D277</f>
        <v>191849.65473398898</v>
      </c>
      <c r="K277" s="14">
        <f t="shared" si="47"/>
        <v>0</v>
      </c>
      <c r="L277" s="14">
        <f t="shared" si="51"/>
        <v>191849.65473398898</v>
      </c>
      <c r="M277" s="14">
        <f>'D) Ecrêtage'!M276</f>
        <v>146181.03827538589</v>
      </c>
      <c r="N277" s="14">
        <f t="shared" si="48"/>
        <v>190316.80334401038</v>
      </c>
      <c r="O277" s="66">
        <f t="shared" si="49"/>
        <v>190316.80334401038</v>
      </c>
      <c r="P277" s="251"/>
      <c r="Q277" s="252"/>
      <c r="R277" s="248"/>
      <c r="S277" s="248"/>
      <c r="T277" s="253"/>
    </row>
    <row r="278" spans="1:20" s="247" customFormat="1" x14ac:dyDescent="0.25">
      <c r="A278" s="369">
        <f>'A) Base RI'!A279</f>
        <v>5884</v>
      </c>
      <c r="B278" s="260" t="str">
        <f>'A) Base RI'!B279</f>
        <v>Corsier-sur-Vevey</v>
      </c>
      <c r="C278" s="276">
        <v>1</v>
      </c>
      <c r="D278" s="249">
        <f>'B) D RI'!AA279</f>
        <v>3403</v>
      </c>
      <c r="E278" s="250">
        <f>'B) D RI'!S279</f>
        <v>66</v>
      </c>
      <c r="F278" s="14">
        <f>'B) D RI'!R279</f>
        <v>7685080.9933333332</v>
      </c>
      <c r="G278" s="14">
        <f>'B) D RI'!U279</f>
        <v>116440.6211111111</v>
      </c>
      <c r="H278" s="49">
        <f>'B) D RI'!T279</f>
        <v>6792920.4100000001</v>
      </c>
      <c r="I278" s="14">
        <f t="shared" si="50"/>
        <v>205846.07303030303</v>
      </c>
      <c r="J278" s="39">
        <f t="shared" si="52"/>
        <v>295146.64333624073</v>
      </c>
      <c r="K278" s="14">
        <f t="shared" si="47"/>
        <v>0</v>
      </c>
      <c r="L278" s="14">
        <f t="shared" si="51"/>
        <v>295146.64333624073</v>
      </c>
      <c r="M278" s="14">
        <f>'D) Ecrêtage'!M277</f>
        <v>116440.6211111111</v>
      </c>
      <c r="N278" s="14">
        <f t="shared" si="48"/>
        <v>151596.99951993831</v>
      </c>
      <c r="O278" s="66">
        <f t="shared" si="49"/>
        <v>151596.99951993831</v>
      </c>
      <c r="P278" s="251"/>
      <c r="Q278" s="252"/>
      <c r="R278" s="248"/>
      <c r="S278" s="248"/>
      <c r="T278" s="253"/>
    </row>
    <row r="279" spans="1:20" s="247" customFormat="1" x14ac:dyDescent="0.25">
      <c r="A279" s="369">
        <f>'A) Base RI'!A280</f>
        <v>5885</v>
      </c>
      <c r="B279" s="260" t="str">
        <f>'A) Base RI'!B280</f>
        <v>Jongny</v>
      </c>
      <c r="C279" s="276">
        <v>1</v>
      </c>
      <c r="D279" s="249">
        <f>'B) D RI'!AA280</f>
        <v>1488</v>
      </c>
      <c r="E279" s="250">
        <f>'B) D RI'!S280</f>
        <v>71</v>
      </c>
      <c r="F279" s="14">
        <f>'B) D RI'!R280</f>
        <v>5810861.7350000003</v>
      </c>
      <c r="G279" s="14">
        <f>'B) D RI'!U280</f>
        <v>81843.123028169022</v>
      </c>
      <c r="H279" s="49">
        <f>'B) D RI'!T280</f>
        <v>5456122.1100000003</v>
      </c>
      <c r="I279" s="14">
        <f t="shared" si="50"/>
        <v>153693.5805633803</v>
      </c>
      <c r="J279" s="39">
        <f t="shared" si="52"/>
        <v>129056.18727132713</v>
      </c>
      <c r="K279" s="14">
        <f t="shared" si="47"/>
        <v>0</v>
      </c>
      <c r="L279" s="14">
        <f t="shared" si="51"/>
        <v>129056.18727132713</v>
      </c>
      <c r="M279" s="14">
        <f>'D) Ecrêtage'!M278</f>
        <v>81843.123028169022</v>
      </c>
      <c r="N279" s="14">
        <f t="shared" si="48"/>
        <v>106553.63879047243</v>
      </c>
      <c r="O279" s="66">
        <f t="shared" si="49"/>
        <v>106553.63879047243</v>
      </c>
      <c r="P279" s="251"/>
      <c r="Q279" s="252"/>
      <c r="R279" s="248"/>
      <c r="S279" s="248"/>
      <c r="T279" s="253"/>
    </row>
    <row r="280" spans="1:20" s="247" customFormat="1" x14ac:dyDescent="0.25">
      <c r="A280" s="369">
        <f>'A) Base RI'!A281</f>
        <v>5886</v>
      </c>
      <c r="B280" s="260" t="str">
        <f>'A) Base RI'!B281</f>
        <v>Montreux</v>
      </c>
      <c r="C280" s="276">
        <v>1</v>
      </c>
      <c r="D280" s="249">
        <f>'B) D RI'!AA281</f>
        <v>26402</v>
      </c>
      <c r="E280" s="250">
        <f>'B) D RI'!S281</f>
        <v>65</v>
      </c>
      <c r="F280" s="14">
        <f>'B) D RI'!R281</f>
        <v>76390536.163333341</v>
      </c>
      <c r="G280" s="14">
        <f>'B) D RI'!U281</f>
        <v>1175239.0178974359</v>
      </c>
      <c r="H280" s="49">
        <f>'B) D RI'!T281</f>
        <v>69481666.870000005</v>
      </c>
      <c r="I280" s="14">
        <f t="shared" si="50"/>
        <v>2137897.4421538464</v>
      </c>
      <c r="J280" s="39">
        <f t="shared" si="52"/>
        <v>2289880.0109795555</v>
      </c>
      <c r="K280" s="14">
        <f t="shared" si="47"/>
        <v>0</v>
      </c>
      <c r="L280" s="14">
        <f t="shared" si="51"/>
        <v>2289880.0109795555</v>
      </c>
      <c r="M280" s="14">
        <f>'D) Ecrêtage'!M279</f>
        <v>1175239.0178974359</v>
      </c>
      <c r="N280" s="14">
        <f t="shared" si="48"/>
        <v>1530073.5012569386</v>
      </c>
      <c r="O280" s="66">
        <f t="shared" si="49"/>
        <v>1530073.5012569386</v>
      </c>
      <c r="P280" s="251"/>
      <c r="Q280" s="252"/>
      <c r="R280" s="248"/>
      <c r="S280" s="248"/>
      <c r="T280" s="253"/>
    </row>
    <row r="281" spans="1:20" s="247" customFormat="1" x14ac:dyDescent="0.25">
      <c r="A281" s="369">
        <f>'A) Base RI'!A282</f>
        <v>5888</v>
      </c>
      <c r="B281" s="260" t="str">
        <f>'A) Base RI'!B282</f>
        <v>Saint-Légier-La Chiésaz</v>
      </c>
      <c r="C281" s="276">
        <v>1</v>
      </c>
      <c r="D281" s="249">
        <f>'B) D RI'!AA282</f>
        <v>5130</v>
      </c>
      <c r="E281" s="250">
        <f>'B) D RI'!S282</f>
        <v>67</v>
      </c>
      <c r="F281" s="14">
        <f>'B) D RI'!R282</f>
        <v>20578086.545000006</v>
      </c>
      <c r="G281" s="14">
        <f>'B) D RI'!U282</f>
        <v>307135.62007462693</v>
      </c>
      <c r="H281" s="49">
        <f>'B) D RI'!T282</f>
        <v>19138666.170000006</v>
      </c>
      <c r="I281" s="14">
        <f t="shared" si="50"/>
        <v>571303.46776119422</v>
      </c>
      <c r="J281" s="39">
        <f t="shared" si="52"/>
        <v>444931.61337493832</v>
      </c>
      <c r="K281" s="14">
        <f t="shared" si="47"/>
        <v>0</v>
      </c>
      <c r="L281" s="14">
        <f t="shared" si="51"/>
        <v>444931.61337493832</v>
      </c>
      <c r="M281" s="14">
        <f>'D) Ecrêtage'!M280</f>
        <v>303486.51738409116</v>
      </c>
      <c r="N281" s="14">
        <f t="shared" si="48"/>
        <v>395116.79851210985</v>
      </c>
      <c r="O281" s="66">
        <f t="shared" si="49"/>
        <v>395116.79851210985</v>
      </c>
      <c r="P281" s="251"/>
      <c r="Q281" s="252"/>
      <c r="R281" s="248"/>
      <c r="S281" s="248"/>
      <c r="T281" s="253"/>
    </row>
    <row r="282" spans="1:20" s="247" customFormat="1" x14ac:dyDescent="0.25">
      <c r="A282" s="369">
        <f>'A) Base RI'!A283</f>
        <v>5889</v>
      </c>
      <c r="B282" s="260" t="str">
        <f>'A) Base RI'!B283</f>
        <v>La Tour-de-Peilz</v>
      </c>
      <c r="C282" s="276">
        <v>1</v>
      </c>
      <c r="D282" s="249">
        <f>'B) D RI'!AA283</f>
        <v>11637</v>
      </c>
      <c r="E282" s="250">
        <f>'B) D RI'!S283</f>
        <v>64</v>
      </c>
      <c r="F282" s="14">
        <f>'B) D RI'!R283</f>
        <v>39591105.638333336</v>
      </c>
      <c r="G282" s="14">
        <f>'B) D RI'!U283</f>
        <v>618611.02559895837</v>
      </c>
      <c r="H282" s="49">
        <f>'B) D RI'!T283</f>
        <v>37377096.43</v>
      </c>
      <c r="I282" s="14">
        <f t="shared" si="50"/>
        <v>1168034.2634375</v>
      </c>
      <c r="J282" s="39">
        <f t="shared" si="52"/>
        <v>1009292.2387610442</v>
      </c>
      <c r="K282" s="14">
        <f t="shared" si="47"/>
        <v>0</v>
      </c>
      <c r="L282" s="14">
        <f t="shared" si="51"/>
        <v>1009292.2387610442</v>
      </c>
      <c r="M282" s="14">
        <f>'D) Ecrêtage'!M281</f>
        <v>618611.02559895837</v>
      </c>
      <c r="N282" s="14">
        <f t="shared" si="48"/>
        <v>805385.39262227539</v>
      </c>
      <c r="O282" s="66">
        <f t="shared" si="49"/>
        <v>805385.39262227539</v>
      </c>
      <c r="P282" s="251"/>
      <c r="Q282" s="252"/>
      <c r="R282" s="248"/>
      <c r="S282" s="248"/>
      <c r="T282" s="253"/>
    </row>
    <row r="283" spans="1:20" s="247" customFormat="1" x14ac:dyDescent="0.25">
      <c r="A283" s="369">
        <f>'A) Base RI'!A284</f>
        <v>5890</v>
      </c>
      <c r="B283" s="260" t="str">
        <f>'A) Base RI'!B284</f>
        <v>Vevey</v>
      </c>
      <c r="C283" s="276">
        <v>1</v>
      </c>
      <c r="D283" s="249">
        <f>'B) D RI'!AA284</f>
        <v>19605</v>
      </c>
      <c r="E283" s="250">
        <f>'B) D RI'!S284</f>
        <v>73</v>
      </c>
      <c r="F283" s="14">
        <f>'B) D RI'!R284</f>
        <v>66372542.331666671</v>
      </c>
      <c r="G283" s="14">
        <f>'B) D RI'!U284</f>
        <v>909212.90865296812</v>
      </c>
      <c r="H283" s="49">
        <f>'B) D RI'!T284</f>
        <v>62419556.790000007</v>
      </c>
      <c r="I283" s="14">
        <f t="shared" si="50"/>
        <v>1710124.843561644</v>
      </c>
      <c r="J283" s="39">
        <f t="shared" si="52"/>
        <v>1700367.3060849251</v>
      </c>
      <c r="K283" s="14">
        <f t="shared" si="47"/>
        <v>0</v>
      </c>
      <c r="L283" s="14">
        <f t="shared" si="51"/>
        <v>1700367.3060849251</v>
      </c>
      <c r="M283" s="14">
        <f>'D) Ecrêtage'!M282</f>
        <v>909212.90865296812</v>
      </c>
      <c r="N283" s="14">
        <f t="shared" si="48"/>
        <v>1183727.3587287073</v>
      </c>
      <c r="O283" s="66">
        <f t="shared" si="49"/>
        <v>1183727.3587287073</v>
      </c>
      <c r="P283" s="251"/>
      <c r="Q283" s="252"/>
      <c r="R283" s="248"/>
      <c r="S283" s="248"/>
      <c r="T283" s="253"/>
    </row>
    <row r="284" spans="1:20" s="247" customFormat="1" x14ac:dyDescent="0.25">
      <c r="A284" s="369">
        <f>'A) Base RI'!A285</f>
        <v>5891</v>
      </c>
      <c r="B284" s="260" t="str">
        <f>'A) Base RI'!B285</f>
        <v>Veytaux</v>
      </c>
      <c r="C284" s="276">
        <v>1</v>
      </c>
      <c r="D284" s="249">
        <f>'B) D RI'!AA285</f>
        <v>850</v>
      </c>
      <c r="E284" s="250">
        <f>'B) D RI'!S285</f>
        <v>69</v>
      </c>
      <c r="F284" s="14">
        <f>'B) D RI'!R285</f>
        <v>2726223.2466666666</v>
      </c>
      <c r="G284" s="14">
        <f>'B) D RI'!U285</f>
        <v>39510.481835748789</v>
      </c>
      <c r="H284" s="49">
        <f>'B) D RI'!T285</f>
        <v>2487726.58</v>
      </c>
      <c r="I284" s="14">
        <f t="shared" si="50"/>
        <v>72108.016811594207</v>
      </c>
      <c r="J284" s="39">
        <f t="shared" si="52"/>
        <v>73721.612352572629</v>
      </c>
      <c r="K284" s="14">
        <f t="shared" si="47"/>
        <v>0</v>
      </c>
      <c r="L284" s="14">
        <f t="shared" si="51"/>
        <v>73721.612352572629</v>
      </c>
      <c r="M284" s="14">
        <f>'D) Ecrêtage'!M283</f>
        <v>39510.481835748789</v>
      </c>
      <c r="N284" s="14">
        <f t="shared" si="48"/>
        <v>51439.698953263214</v>
      </c>
      <c r="O284" s="66">
        <f t="shared" si="49"/>
        <v>51439.698953263214</v>
      </c>
      <c r="P284" s="251"/>
      <c r="Q284" s="252"/>
      <c r="R284" s="248"/>
      <c r="S284" s="248"/>
      <c r="T284" s="253"/>
    </row>
    <row r="285" spans="1:20" s="247" customFormat="1" x14ac:dyDescent="0.25">
      <c r="A285" s="369">
        <f>'A) Base RI'!A286</f>
        <v>5902</v>
      </c>
      <c r="B285" s="260" t="str">
        <f>'A) Base RI'!B286</f>
        <v>Belmont-sur-Yverdon</v>
      </c>
      <c r="C285" s="276">
        <v>0</v>
      </c>
      <c r="D285" s="249">
        <f>'B) D RI'!AA286</f>
        <v>368</v>
      </c>
      <c r="E285" s="250">
        <f>'B) D RI'!S286</f>
        <v>76</v>
      </c>
      <c r="F285" s="14">
        <f>'B) D RI'!R286</f>
        <v>701263.00999999989</v>
      </c>
      <c r="G285" s="14">
        <f>'B) D RI'!U286</f>
        <v>9227.1448684210518</v>
      </c>
      <c r="H285" s="49">
        <f>'B) D RI'!T286</f>
        <v>650946.90999999992</v>
      </c>
      <c r="I285" s="14">
        <f t="shared" si="50"/>
        <v>17130.181842105259</v>
      </c>
      <c r="J285" s="39">
        <f t="shared" si="52"/>
        <v>31917.121583231441</v>
      </c>
      <c r="K285" s="14">
        <f t="shared" si="47"/>
        <v>17130.181842105259</v>
      </c>
      <c r="L285" s="14">
        <f t="shared" si="51"/>
        <v>14786.939741126182</v>
      </c>
      <c r="M285" s="14">
        <f>'D) Ecrêtage'!M284</f>
        <v>9227.1448684210518</v>
      </c>
      <c r="N285" s="14">
        <f t="shared" si="48"/>
        <v>12013.054060005774</v>
      </c>
      <c r="O285" s="66">
        <f t="shared" si="49"/>
        <v>29143.235902111031</v>
      </c>
      <c r="P285" s="251"/>
      <c r="Q285" s="252"/>
      <c r="R285" s="248"/>
      <c r="S285" s="248"/>
      <c r="T285" s="253"/>
    </row>
    <row r="286" spans="1:20" s="247" customFormat="1" x14ac:dyDescent="0.25">
      <c r="A286" s="369">
        <f>'A) Base RI'!A287</f>
        <v>5903</v>
      </c>
      <c r="B286" s="260" t="str">
        <f>'A) Base RI'!B287</f>
        <v>Bioley-Magnoux</v>
      </c>
      <c r="C286" s="276">
        <v>0</v>
      </c>
      <c r="D286" s="249">
        <f>'B) D RI'!AA287</f>
        <v>230</v>
      </c>
      <c r="E286" s="250">
        <f>'B) D RI'!S287</f>
        <v>74</v>
      </c>
      <c r="F286" s="14">
        <f>'B) D RI'!R287</f>
        <v>440589.42571428575</v>
      </c>
      <c r="G286" s="14">
        <f>'B) D RI'!U287</f>
        <v>5953.911158301159</v>
      </c>
      <c r="H286" s="49">
        <f>'B) D RI'!T287</f>
        <v>407516.64</v>
      </c>
      <c r="I286" s="14">
        <f t="shared" si="50"/>
        <v>11013.963243243245</v>
      </c>
      <c r="J286" s="39">
        <f t="shared" si="52"/>
        <v>19948.20098951965</v>
      </c>
      <c r="K286" s="14">
        <f t="shared" si="47"/>
        <v>11013.963243243245</v>
      </c>
      <c r="L286" s="14">
        <f t="shared" si="51"/>
        <v>8934.2377462764052</v>
      </c>
      <c r="M286" s="14">
        <f>'D) Ecrêtage'!M285</f>
        <v>5953.911158301159</v>
      </c>
      <c r="N286" s="14">
        <f t="shared" si="48"/>
        <v>7751.5480284621035</v>
      </c>
      <c r="O286" s="66">
        <f t="shared" si="49"/>
        <v>18765.511271705349</v>
      </c>
      <c r="P286" s="251"/>
      <c r="Q286" s="252"/>
      <c r="R286" s="248"/>
      <c r="S286" s="248"/>
      <c r="T286" s="253"/>
    </row>
    <row r="287" spans="1:20" s="247" customFormat="1" x14ac:dyDescent="0.25">
      <c r="A287" s="369">
        <f>'A) Base RI'!A288</f>
        <v>5904</v>
      </c>
      <c r="B287" s="260" t="str">
        <f>'A) Base RI'!B288</f>
        <v>Chamblon</v>
      </c>
      <c r="C287" s="276">
        <v>1</v>
      </c>
      <c r="D287" s="249">
        <f>'B) D RI'!AA288</f>
        <v>548</v>
      </c>
      <c r="E287" s="250">
        <f>'B) D RI'!S288</f>
        <v>66</v>
      </c>
      <c r="F287" s="14">
        <f>'B) D RI'!R288</f>
        <v>1512324.6500000001</v>
      </c>
      <c r="G287" s="14">
        <f>'B) D RI'!U288</f>
        <v>22914.009848484849</v>
      </c>
      <c r="H287" s="49">
        <f>'B) D RI'!T288</f>
        <v>1417533.2500000002</v>
      </c>
      <c r="I287" s="14">
        <f t="shared" ref="I287:I314" si="53">+H287/E287*$I$5</f>
        <v>42955.553030303039</v>
      </c>
      <c r="J287" s="39">
        <f t="shared" si="52"/>
        <v>47528.757140246817</v>
      </c>
      <c r="K287" s="14">
        <f t="shared" si="47"/>
        <v>0</v>
      </c>
      <c r="L287" s="14">
        <f t="shared" si="51"/>
        <v>47528.757140246817</v>
      </c>
      <c r="M287" s="14">
        <f>'D) Ecrêtage'!M286</f>
        <v>22914.009848484849</v>
      </c>
      <c r="N287" s="14">
        <f t="shared" si="48"/>
        <v>29832.330906977179</v>
      </c>
      <c r="O287" s="66">
        <f t="shared" si="49"/>
        <v>29832.330906977179</v>
      </c>
      <c r="P287" s="251"/>
      <c r="Q287" s="252"/>
      <c r="R287" s="248"/>
      <c r="S287" s="248"/>
      <c r="T287" s="253"/>
    </row>
    <row r="288" spans="1:20" s="247" customFormat="1" x14ac:dyDescent="0.25">
      <c r="A288" s="369">
        <f>'A) Base RI'!A289</f>
        <v>5905</v>
      </c>
      <c r="B288" s="260" t="str">
        <f>'A) Base RI'!B289</f>
        <v>Champvent</v>
      </c>
      <c r="C288" s="276">
        <v>0</v>
      </c>
      <c r="D288" s="249">
        <f>'B) D RI'!AA289</f>
        <v>652</v>
      </c>
      <c r="E288" s="250">
        <f>'B) D RI'!S289</f>
        <v>71</v>
      </c>
      <c r="F288" s="14">
        <f>'B) D RI'!R289</f>
        <v>1493750.55</v>
      </c>
      <c r="G288" s="14">
        <f>'B) D RI'!U289</f>
        <v>21038.740140845071</v>
      </c>
      <c r="H288" s="49">
        <f>'B) D RI'!T289</f>
        <v>1403318.3</v>
      </c>
      <c r="I288" s="14">
        <f t="shared" si="53"/>
        <v>39530.092957746478</v>
      </c>
      <c r="J288" s="39">
        <f t="shared" si="52"/>
        <v>56548.813239855706</v>
      </c>
      <c r="K288" s="14">
        <f t="shared" si="47"/>
        <v>39530.092957746478</v>
      </c>
      <c r="L288" s="14">
        <f t="shared" si="51"/>
        <v>17018.720282109229</v>
      </c>
      <c r="M288" s="14">
        <f>'D) Ecrêtage'!M287</f>
        <v>21038.740140845071</v>
      </c>
      <c r="N288" s="14">
        <f t="shared" si="48"/>
        <v>27390.869686175643</v>
      </c>
      <c r="O288" s="66">
        <f t="shared" si="49"/>
        <v>66920.962643922117</v>
      </c>
      <c r="P288" s="251"/>
      <c r="Q288" s="252"/>
      <c r="R288" s="248"/>
      <c r="S288" s="248"/>
      <c r="T288" s="253"/>
    </row>
    <row r="289" spans="1:20" s="247" customFormat="1" x14ac:dyDescent="0.25">
      <c r="A289" s="369">
        <f>'A) Base RI'!A290</f>
        <v>5907</v>
      </c>
      <c r="B289" s="260" t="str">
        <f>'A) Base RI'!B290</f>
        <v>Chavannes-le-Chêne</v>
      </c>
      <c r="C289" s="276">
        <v>0</v>
      </c>
      <c r="D289" s="249">
        <f>'B) D RI'!AA290</f>
        <v>300</v>
      </c>
      <c r="E289" s="250">
        <f>'B) D RI'!S290</f>
        <v>78</v>
      </c>
      <c r="F289" s="14">
        <f>'B) D RI'!R290</f>
        <v>687909.82000000007</v>
      </c>
      <c r="G289" s="14">
        <f>'B) D RI'!U290</f>
        <v>8819.3566666666684</v>
      </c>
      <c r="H289" s="49">
        <f>'B) D RI'!T290</f>
        <v>649394.42000000004</v>
      </c>
      <c r="I289" s="14">
        <f t="shared" si="53"/>
        <v>16651.138974358975</v>
      </c>
      <c r="J289" s="39">
        <f t="shared" si="52"/>
        <v>26019.392595025631</v>
      </c>
      <c r="K289" s="14">
        <f t="shared" si="47"/>
        <v>16651.138974358975</v>
      </c>
      <c r="L289" s="14">
        <f t="shared" si="51"/>
        <v>9368.2536206666555</v>
      </c>
      <c r="M289" s="14">
        <f>'D) Ecrêtage'!M288</f>
        <v>8819.3566666666684</v>
      </c>
      <c r="N289" s="14">
        <f t="shared" si="48"/>
        <v>11482.144251764492</v>
      </c>
      <c r="O289" s="66">
        <f t="shared" si="49"/>
        <v>28133.283226123465</v>
      </c>
      <c r="P289" s="251"/>
      <c r="Q289" s="252"/>
      <c r="R289" s="248"/>
      <c r="S289" s="248"/>
      <c r="T289" s="253"/>
    </row>
    <row r="290" spans="1:20" s="247" customFormat="1" x14ac:dyDescent="0.25">
      <c r="A290" s="369">
        <f>'A) Base RI'!A291</f>
        <v>5908</v>
      </c>
      <c r="B290" s="260" t="str">
        <f>'A) Base RI'!B291</f>
        <v>Chêne-Pâquier</v>
      </c>
      <c r="C290" s="276">
        <v>0</v>
      </c>
      <c r="D290" s="249">
        <f>'B) D RI'!AA291</f>
        <v>140</v>
      </c>
      <c r="E290" s="250">
        <f>'B) D RI'!S291</f>
        <v>79</v>
      </c>
      <c r="F290" s="14">
        <f>'B) D RI'!R291</f>
        <v>230295.17</v>
      </c>
      <c r="G290" s="14">
        <f>'B) D RI'!U291</f>
        <v>2915.1287341772154</v>
      </c>
      <c r="H290" s="49">
        <f>'B) D RI'!T291</f>
        <v>214210.57</v>
      </c>
      <c r="I290" s="14">
        <f t="shared" si="53"/>
        <v>5423.0524050632912</v>
      </c>
      <c r="J290" s="39">
        <f t="shared" si="52"/>
        <v>12142.383211011962</v>
      </c>
      <c r="K290" s="14">
        <f t="shared" si="47"/>
        <v>5423.0524050632912</v>
      </c>
      <c r="L290" s="14">
        <f t="shared" si="51"/>
        <v>6719.3308059486708</v>
      </c>
      <c r="M290" s="14">
        <f>'D) Ecrêtage'!M289</f>
        <v>2915.1287341772154</v>
      </c>
      <c r="N290" s="14">
        <f t="shared" si="48"/>
        <v>3795.2800757900795</v>
      </c>
      <c r="O290" s="66">
        <f t="shared" si="49"/>
        <v>9218.3324808533707</v>
      </c>
      <c r="P290" s="251"/>
      <c r="Q290" s="252"/>
      <c r="R290" s="248"/>
      <c r="S290" s="248"/>
      <c r="T290" s="253"/>
    </row>
    <row r="291" spans="1:20" s="247" customFormat="1" x14ac:dyDescent="0.25">
      <c r="A291" s="369">
        <f>'A) Base RI'!A292</f>
        <v>5909</v>
      </c>
      <c r="B291" s="260" t="str">
        <f>'A) Base RI'!B292</f>
        <v>Cheseaux-Noréaz</v>
      </c>
      <c r="C291" s="276">
        <v>1</v>
      </c>
      <c r="D291" s="249">
        <f>'B) D RI'!AA292</f>
        <v>670</v>
      </c>
      <c r="E291" s="250">
        <f>'B) D RI'!S292</f>
        <v>70</v>
      </c>
      <c r="F291" s="14">
        <f>'B) D RI'!R292</f>
        <v>1733977.7599999998</v>
      </c>
      <c r="G291" s="14">
        <f>'B) D RI'!U292</f>
        <v>24771.110857142852</v>
      </c>
      <c r="H291" s="49">
        <f>'B) D RI'!T292</f>
        <v>1586483.3599999999</v>
      </c>
      <c r="I291" s="14">
        <f t="shared" si="53"/>
        <v>45328.095999999998</v>
      </c>
      <c r="J291" s="39">
        <f t="shared" si="52"/>
        <v>58109.976795557246</v>
      </c>
      <c r="K291" s="14">
        <f t="shared" si="47"/>
        <v>0</v>
      </c>
      <c r="L291" s="14">
        <f t="shared" si="51"/>
        <v>58109.976795557246</v>
      </c>
      <c r="M291" s="14">
        <f>'D) Ecrêtage'!M290</f>
        <v>24771.110857142852</v>
      </c>
      <c r="N291" s="14">
        <f t="shared" si="48"/>
        <v>32250.137837510116</v>
      </c>
      <c r="O291" s="66">
        <f t="shared" si="49"/>
        <v>32250.137837510116</v>
      </c>
      <c r="P291" s="251"/>
      <c r="Q291" s="252"/>
      <c r="R291" s="248"/>
      <c r="S291" s="248"/>
      <c r="T291" s="253"/>
    </row>
    <row r="292" spans="1:20" s="247" customFormat="1" x14ac:dyDescent="0.25">
      <c r="A292" s="369">
        <f>'A) Base RI'!A293</f>
        <v>5910</v>
      </c>
      <c r="B292" s="260" t="str">
        <f>'A) Base RI'!B293</f>
        <v>Cronay</v>
      </c>
      <c r="C292" s="276">
        <v>0</v>
      </c>
      <c r="D292" s="249">
        <f>'B) D RI'!AA293</f>
        <v>380</v>
      </c>
      <c r="E292" s="250">
        <f>'B) D RI'!S293</f>
        <v>79</v>
      </c>
      <c r="F292" s="14">
        <f>'B) D RI'!R293</f>
        <v>797684.16</v>
      </c>
      <c r="G292" s="14">
        <f>'B) D RI'!U293</f>
        <v>10097.267848101266</v>
      </c>
      <c r="H292" s="49">
        <f>'B) D RI'!T293</f>
        <v>747250.16</v>
      </c>
      <c r="I292" s="14">
        <f t="shared" si="53"/>
        <v>18917.725569620256</v>
      </c>
      <c r="J292" s="39">
        <f t="shared" si="52"/>
        <v>32957.897287032465</v>
      </c>
      <c r="K292" s="14">
        <f t="shared" si="47"/>
        <v>18917.725569620256</v>
      </c>
      <c r="L292" s="14">
        <f t="shared" si="51"/>
        <v>14040.17171741221</v>
      </c>
      <c r="M292" s="14">
        <f>'D) Ecrêtage'!M291</f>
        <v>10097.267848101266</v>
      </c>
      <c r="N292" s="14">
        <f t="shared" si="48"/>
        <v>13145.889248225856</v>
      </c>
      <c r="O292" s="66">
        <f t="shared" si="49"/>
        <v>32063.614817846112</v>
      </c>
      <c r="P292" s="251"/>
      <c r="Q292" s="252"/>
      <c r="R292" s="248"/>
      <c r="S292" s="248"/>
      <c r="T292" s="253"/>
    </row>
    <row r="293" spans="1:20" s="247" customFormat="1" x14ac:dyDescent="0.25">
      <c r="A293" s="369">
        <f>'A) Base RI'!A294</f>
        <v>5911</v>
      </c>
      <c r="B293" s="260" t="str">
        <f>'A) Base RI'!B294</f>
        <v>Cuarny</v>
      </c>
      <c r="C293" s="276">
        <v>0</v>
      </c>
      <c r="D293" s="249">
        <f>'B) D RI'!AA294</f>
        <v>237</v>
      </c>
      <c r="E293" s="250">
        <f>'B) D RI'!S294</f>
        <v>79</v>
      </c>
      <c r="F293" s="14">
        <f>'B) D RI'!R294</f>
        <v>611584.62</v>
      </c>
      <c r="G293" s="14">
        <f>'B) D RI'!U294</f>
        <v>7741.5774683544305</v>
      </c>
      <c r="H293" s="49">
        <f>'B) D RI'!T294</f>
        <v>582059.37</v>
      </c>
      <c r="I293" s="14">
        <f t="shared" si="53"/>
        <v>14735.680253164557</v>
      </c>
      <c r="J293" s="39">
        <f t="shared" si="52"/>
        <v>20555.320150070249</v>
      </c>
      <c r="K293" s="14">
        <f t="shared" si="47"/>
        <v>14735.680253164557</v>
      </c>
      <c r="L293" s="14">
        <f t="shared" si="51"/>
        <v>5819.6398969056918</v>
      </c>
      <c r="M293" s="14">
        <f>'D) Ecrêtage'!M292</f>
        <v>7741.5774683544305</v>
      </c>
      <c r="N293" s="14">
        <f t="shared" si="48"/>
        <v>10078.956162848082</v>
      </c>
      <c r="O293" s="66">
        <f t="shared" si="49"/>
        <v>24814.63641601264</v>
      </c>
      <c r="P293" s="251"/>
      <c r="Q293" s="252"/>
      <c r="R293" s="248"/>
      <c r="S293" s="248"/>
      <c r="T293" s="253"/>
    </row>
    <row r="294" spans="1:20" s="247" customFormat="1" x14ac:dyDescent="0.25">
      <c r="A294" s="369">
        <f>'A) Base RI'!A295</f>
        <v>5912</v>
      </c>
      <c r="B294" s="260" t="str">
        <f>'A) Base RI'!B295</f>
        <v>Démoret</v>
      </c>
      <c r="C294" s="276">
        <v>0</v>
      </c>
      <c r="D294" s="249">
        <f>'B) D RI'!AA295</f>
        <v>126</v>
      </c>
      <c r="E294" s="250">
        <f>'B) D RI'!S295</f>
        <v>81</v>
      </c>
      <c r="F294" s="14">
        <f>'B) D RI'!R295</f>
        <v>223707.49000000002</v>
      </c>
      <c r="G294" s="14">
        <f>'B) D RI'!U295</f>
        <v>2761.8208641975311</v>
      </c>
      <c r="H294" s="49">
        <f>'B) D RI'!T295</f>
        <v>207069.99000000002</v>
      </c>
      <c r="I294" s="14">
        <f t="shared" si="53"/>
        <v>5112.83925925926</v>
      </c>
      <c r="J294" s="39">
        <f t="shared" si="52"/>
        <v>10928.144889910765</v>
      </c>
      <c r="K294" s="14">
        <f t="shared" si="47"/>
        <v>5112.83925925926</v>
      </c>
      <c r="L294" s="14">
        <f t="shared" si="51"/>
        <v>5815.3056306515055</v>
      </c>
      <c r="M294" s="14">
        <f>'D) Ecrêtage'!M293</f>
        <v>2761.8208641975311</v>
      </c>
      <c r="N294" s="14">
        <f t="shared" si="48"/>
        <v>3595.6846693937523</v>
      </c>
      <c r="O294" s="66">
        <f t="shared" si="49"/>
        <v>8708.5239286530123</v>
      </c>
      <c r="P294" s="251"/>
      <c r="Q294" s="252"/>
      <c r="R294" s="248"/>
      <c r="S294" s="248"/>
      <c r="T294" s="253"/>
    </row>
    <row r="295" spans="1:20" s="247" customFormat="1" x14ac:dyDescent="0.25">
      <c r="A295" s="369">
        <f>'A) Base RI'!A296</f>
        <v>5913</v>
      </c>
      <c r="B295" s="260" t="str">
        <f>'A) Base RI'!B296</f>
        <v>Donneloye</v>
      </c>
      <c r="C295" s="276">
        <v>0</v>
      </c>
      <c r="D295" s="249">
        <f>'B) D RI'!AA296</f>
        <v>779</v>
      </c>
      <c r="E295" s="250">
        <f>'B) D RI'!S296</f>
        <v>73</v>
      </c>
      <c r="F295" s="14">
        <f>'B) D RI'!R296</f>
        <v>1534751.97</v>
      </c>
      <c r="G295" s="14">
        <f>'B) D RI'!U296</f>
        <v>21023.999589041094</v>
      </c>
      <c r="H295" s="49">
        <f>'B) D RI'!T296</f>
        <v>1431676.57</v>
      </c>
      <c r="I295" s="14">
        <f t="shared" si="53"/>
        <v>39224.015616438359</v>
      </c>
      <c r="J295" s="39">
        <f t="shared" si="52"/>
        <v>67563.68943841655</v>
      </c>
      <c r="K295" s="14">
        <f t="shared" si="47"/>
        <v>39224.015616438359</v>
      </c>
      <c r="L295" s="14">
        <f t="shared" si="51"/>
        <v>28339.673821978191</v>
      </c>
      <c r="M295" s="14">
        <f>'D) Ecrêtage'!M294</f>
        <v>21023.999589041094</v>
      </c>
      <c r="N295" s="14">
        <f t="shared" si="48"/>
        <v>27371.678587713373</v>
      </c>
      <c r="O295" s="66">
        <f t="shared" si="49"/>
        <v>66595.694204151732</v>
      </c>
      <c r="P295" s="251"/>
      <c r="Q295" s="252"/>
      <c r="R295" s="248"/>
      <c r="S295" s="248"/>
      <c r="T295" s="253"/>
    </row>
    <row r="296" spans="1:20" s="247" customFormat="1" x14ac:dyDescent="0.25">
      <c r="A296" s="369">
        <f>'A) Base RI'!A297</f>
        <v>5914</v>
      </c>
      <c r="B296" s="260" t="str">
        <f>'A) Base RI'!B297</f>
        <v>Ependes</v>
      </c>
      <c r="C296" s="276">
        <v>1</v>
      </c>
      <c r="D296" s="249">
        <f>'B) D RI'!AA297</f>
        <v>350</v>
      </c>
      <c r="E296" s="250">
        <f>'B) D RI'!S297</f>
        <v>75</v>
      </c>
      <c r="F296" s="14">
        <f>'B) D RI'!R297</f>
        <v>662854.62000000011</v>
      </c>
      <c r="G296" s="14">
        <f>'B) D RI'!U297</f>
        <v>8838.0616000000009</v>
      </c>
      <c r="H296" s="49">
        <f>'B) D RI'!T297</f>
        <v>612014.47000000009</v>
      </c>
      <c r="I296" s="14">
        <f t="shared" si="53"/>
        <v>16320.385866666669</v>
      </c>
      <c r="J296" s="39">
        <f t="shared" si="52"/>
        <v>30355.958027529905</v>
      </c>
      <c r="K296" s="14">
        <f t="shared" si="47"/>
        <v>0</v>
      </c>
      <c r="L296" s="14">
        <f t="shared" si="51"/>
        <v>30355.958027529905</v>
      </c>
      <c r="M296" s="14">
        <f>'D) Ecrêtage'!M295</f>
        <v>8838.0616000000009</v>
      </c>
      <c r="N296" s="14">
        <f t="shared" si="48"/>
        <v>11506.496679143318</v>
      </c>
      <c r="O296" s="66">
        <f t="shared" si="49"/>
        <v>11506.496679143318</v>
      </c>
      <c r="P296" s="251"/>
      <c r="Q296" s="252"/>
      <c r="R296" s="248"/>
      <c r="S296" s="248"/>
      <c r="T296" s="253"/>
    </row>
    <row r="297" spans="1:20" s="247" customFormat="1" x14ac:dyDescent="0.25">
      <c r="A297" s="369">
        <f>'A) Base RI'!A298</f>
        <v>5919</v>
      </c>
      <c r="B297" s="260" t="str">
        <f>'A) Base RI'!B298</f>
        <v>Mathod</v>
      </c>
      <c r="C297" s="276">
        <v>1</v>
      </c>
      <c r="D297" s="249">
        <f>'B) D RI'!AA298</f>
        <v>614</v>
      </c>
      <c r="E297" s="250">
        <f>'B) D RI'!S298</f>
        <v>74</v>
      </c>
      <c r="F297" s="14">
        <f>'B) D RI'!R298</f>
        <v>1249407.0333333332</v>
      </c>
      <c r="G297" s="14">
        <f>'B) D RI'!U298</f>
        <v>16883.878828828827</v>
      </c>
      <c r="H297" s="49">
        <f>'B) D RI'!T298</f>
        <v>1152561.7</v>
      </c>
      <c r="I297" s="14">
        <f t="shared" si="53"/>
        <v>31150.316216216215</v>
      </c>
      <c r="J297" s="39">
        <f t="shared" si="52"/>
        <v>53253.02351115246</v>
      </c>
      <c r="K297" s="14">
        <f t="shared" si="47"/>
        <v>0</v>
      </c>
      <c r="L297" s="14">
        <f t="shared" si="51"/>
        <v>53253.02351115246</v>
      </c>
      <c r="M297" s="14">
        <f>'D) Ecrêtage'!M296</f>
        <v>16883.878828828827</v>
      </c>
      <c r="N297" s="14">
        <f t="shared" si="48"/>
        <v>21981.550306797708</v>
      </c>
      <c r="O297" s="66">
        <f t="shared" si="49"/>
        <v>21981.550306797708</v>
      </c>
      <c r="P297" s="251"/>
      <c r="Q297" s="252"/>
      <c r="R297" s="248"/>
      <c r="S297" s="248"/>
      <c r="T297" s="253"/>
    </row>
    <row r="298" spans="1:20" s="247" customFormat="1" x14ac:dyDescent="0.25">
      <c r="A298" s="369">
        <f>'A) Base RI'!A299</f>
        <v>5921</v>
      </c>
      <c r="B298" s="260" t="str">
        <f>'A) Base RI'!B299</f>
        <v>Molondin</v>
      </c>
      <c r="C298" s="276">
        <v>0</v>
      </c>
      <c r="D298" s="249">
        <f>'B) D RI'!AA299</f>
        <v>218</v>
      </c>
      <c r="E298" s="250">
        <f>'B) D RI'!S299</f>
        <v>81</v>
      </c>
      <c r="F298" s="14">
        <f>'B) D RI'!R299</f>
        <v>446964.80999999994</v>
      </c>
      <c r="G298" s="14">
        <f>'B) D RI'!U299</f>
        <v>5518.0840740740732</v>
      </c>
      <c r="H298" s="49">
        <f>'B) D RI'!T299</f>
        <v>418055.95999999996</v>
      </c>
      <c r="I298" s="14">
        <f t="shared" si="53"/>
        <v>10322.369382716048</v>
      </c>
      <c r="J298" s="39">
        <f t="shared" si="52"/>
        <v>18907.425285718626</v>
      </c>
      <c r="K298" s="14">
        <f t="shared" si="47"/>
        <v>10322.369382716048</v>
      </c>
      <c r="L298" s="14">
        <f t="shared" si="51"/>
        <v>8585.0559030025779</v>
      </c>
      <c r="M298" s="14">
        <f>'D) Ecrêtage'!M297</f>
        <v>5518.0840740740732</v>
      </c>
      <c r="N298" s="14">
        <f t="shared" si="48"/>
        <v>7184.1336875912866</v>
      </c>
      <c r="O298" s="66">
        <f t="shared" si="49"/>
        <v>17506.503070307335</v>
      </c>
      <c r="P298" s="251"/>
      <c r="Q298" s="252"/>
      <c r="R298" s="248"/>
      <c r="S298" s="248"/>
      <c r="T298" s="253"/>
    </row>
    <row r="299" spans="1:20" s="247" customFormat="1" x14ac:dyDescent="0.25">
      <c r="A299" s="369">
        <f>'A) Base RI'!A300</f>
        <v>5922</v>
      </c>
      <c r="B299" s="260" t="str">
        <f>'A) Base RI'!B300</f>
        <v>Montagny-près-Yverdon</v>
      </c>
      <c r="C299" s="276">
        <v>0</v>
      </c>
      <c r="D299" s="249">
        <f>'B) D RI'!AA300</f>
        <v>733</v>
      </c>
      <c r="E299" s="250">
        <f>'B) D RI'!S300</f>
        <v>61</v>
      </c>
      <c r="F299" s="14">
        <f>'B) D RI'!R300</f>
        <v>2746735.0399999996</v>
      </c>
      <c r="G299" s="14">
        <f>'B) D RI'!U300</f>
        <v>45028.443278688515</v>
      </c>
      <c r="H299" s="49">
        <f>'B) D RI'!T300</f>
        <v>2391411.5399999996</v>
      </c>
      <c r="I299" s="14">
        <f t="shared" si="53"/>
        <v>78406.935737704902</v>
      </c>
      <c r="J299" s="39">
        <f t="shared" si="52"/>
        <v>63574.049240512628</v>
      </c>
      <c r="K299" s="14">
        <f t="shared" si="47"/>
        <v>63574.049240512628</v>
      </c>
      <c r="L299" s="14">
        <f t="shared" si="51"/>
        <v>0</v>
      </c>
      <c r="M299" s="14">
        <f>'D) Ecrêtage'!M298</f>
        <v>44301.234100704613</v>
      </c>
      <c r="N299" s="14">
        <f t="shared" si="48"/>
        <v>57676.900901178182</v>
      </c>
      <c r="O299" s="66">
        <f t="shared" si="49"/>
        <v>121250.95014169082</v>
      </c>
      <c r="P299" s="251"/>
      <c r="Q299" s="252"/>
      <c r="R299" s="248"/>
      <c r="S299" s="248"/>
      <c r="T299" s="253"/>
    </row>
    <row r="300" spans="1:20" s="247" customFormat="1" x14ac:dyDescent="0.25">
      <c r="A300" s="369">
        <f>'A) Base RI'!A301</f>
        <v>5923</v>
      </c>
      <c r="B300" s="260" t="str">
        <f>'A) Base RI'!B301</f>
        <v>Oppens</v>
      </c>
      <c r="C300" s="276">
        <v>0</v>
      </c>
      <c r="D300" s="249">
        <f>'B) D RI'!AA301</f>
        <v>182</v>
      </c>
      <c r="E300" s="250">
        <f>'B) D RI'!S301</f>
        <v>81</v>
      </c>
      <c r="F300" s="14">
        <f>'B) D RI'!R301</f>
        <v>395362.77999999997</v>
      </c>
      <c r="G300" s="14">
        <f>'B) D RI'!U301</f>
        <v>4881.0219753086412</v>
      </c>
      <c r="H300" s="49">
        <f>'B) D RI'!T301</f>
        <v>372687.37999999995</v>
      </c>
      <c r="I300" s="14">
        <f t="shared" si="53"/>
        <v>9202.1575308641968</v>
      </c>
      <c r="J300" s="39">
        <f t="shared" si="52"/>
        <v>15785.09817431555</v>
      </c>
      <c r="K300" s="14">
        <f t="shared" si="47"/>
        <v>9202.1575308641968</v>
      </c>
      <c r="L300" s="14">
        <f t="shared" si="51"/>
        <v>6582.940643451353</v>
      </c>
      <c r="M300" s="14">
        <f>'D) Ecrêtage'!M299</f>
        <v>4881.0219753086412</v>
      </c>
      <c r="N300" s="14">
        <f t="shared" si="48"/>
        <v>6354.7263745835889</v>
      </c>
      <c r="O300" s="66">
        <f t="shared" si="49"/>
        <v>15556.883905447787</v>
      </c>
      <c r="P300" s="251"/>
      <c r="Q300" s="252"/>
      <c r="R300" s="248"/>
      <c r="S300" s="248"/>
      <c r="T300" s="253"/>
    </row>
    <row r="301" spans="1:20" s="247" customFormat="1" x14ac:dyDescent="0.25">
      <c r="A301" s="369">
        <f>'A) Base RI'!A302</f>
        <v>5924</v>
      </c>
      <c r="B301" s="260" t="str">
        <f>'A) Base RI'!B302</f>
        <v>Orges</v>
      </c>
      <c r="C301" s="276">
        <v>0</v>
      </c>
      <c r="D301" s="249">
        <f>'B) D RI'!AA302</f>
        <v>292</v>
      </c>
      <c r="E301" s="250">
        <f>'B) D RI'!S302</f>
        <v>74</v>
      </c>
      <c r="F301" s="14">
        <f>'B) D RI'!R302</f>
        <v>701257.17999999993</v>
      </c>
      <c r="G301" s="14">
        <f>'B) D RI'!U302</f>
        <v>9476.448378378378</v>
      </c>
      <c r="H301" s="49">
        <f>'B) D RI'!T302</f>
        <v>659102.87999999989</v>
      </c>
      <c r="I301" s="14">
        <f t="shared" si="53"/>
        <v>17813.591351351348</v>
      </c>
      <c r="J301" s="39">
        <f t="shared" si="52"/>
        <v>25325.542125824948</v>
      </c>
      <c r="K301" s="14">
        <f t="shared" si="47"/>
        <v>17813.591351351348</v>
      </c>
      <c r="L301" s="14">
        <f t="shared" si="51"/>
        <v>7511.9507744736002</v>
      </c>
      <c r="M301" s="14">
        <f>'D) Ecrêtage'!M300</f>
        <v>9476.448378378378</v>
      </c>
      <c r="N301" s="14">
        <f t="shared" si="48"/>
        <v>12337.628626155296</v>
      </c>
      <c r="O301" s="66">
        <f t="shared" si="49"/>
        <v>30151.219977506644</v>
      </c>
      <c r="P301" s="251"/>
      <c r="Q301" s="252"/>
      <c r="R301" s="248"/>
      <c r="S301" s="248"/>
      <c r="T301" s="253"/>
    </row>
    <row r="302" spans="1:20" s="247" customFormat="1" x14ac:dyDescent="0.25">
      <c r="A302" s="369">
        <f>'A) Base RI'!A303</f>
        <v>5925</v>
      </c>
      <c r="B302" s="260" t="str">
        <f>'A) Base RI'!B303</f>
        <v>Orzens</v>
      </c>
      <c r="C302" s="276">
        <v>0</v>
      </c>
      <c r="D302" s="249">
        <f>'B) D RI'!AA303</f>
        <v>200</v>
      </c>
      <c r="E302" s="250">
        <f>'B) D RI'!S303</f>
        <v>79</v>
      </c>
      <c r="F302" s="14">
        <f>'B) D RI'!R303</f>
        <v>385159.97000000003</v>
      </c>
      <c r="G302" s="14">
        <f>'B) D RI'!U303</f>
        <v>4875.4426582278484</v>
      </c>
      <c r="H302" s="49">
        <f>'B) D RI'!T303</f>
        <v>356573.27</v>
      </c>
      <c r="I302" s="14">
        <f t="shared" si="53"/>
        <v>9027.1713924050637</v>
      </c>
      <c r="J302" s="39">
        <f t="shared" si="52"/>
        <v>17346.261730017086</v>
      </c>
      <c r="K302" s="14">
        <f t="shared" si="47"/>
        <v>9027.1713924050637</v>
      </c>
      <c r="L302" s="14">
        <f t="shared" si="51"/>
        <v>8319.0903376120223</v>
      </c>
      <c r="M302" s="14">
        <f>'D) Ecrêtage'!M301</f>
        <v>4875.4426582278484</v>
      </c>
      <c r="N302" s="14">
        <f t="shared" si="48"/>
        <v>6347.4625200906503</v>
      </c>
      <c r="O302" s="66">
        <f t="shared" si="49"/>
        <v>15374.633912495714</v>
      </c>
      <c r="P302" s="251"/>
      <c r="Q302" s="252"/>
      <c r="R302" s="248"/>
      <c r="S302" s="248"/>
      <c r="T302" s="253"/>
    </row>
    <row r="303" spans="1:20" s="247" customFormat="1" x14ac:dyDescent="0.25">
      <c r="A303" s="369">
        <f>'A) Base RI'!A304</f>
        <v>5926</v>
      </c>
      <c r="B303" s="260" t="str">
        <f>'A) Base RI'!B304</f>
        <v>Pomy</v>
      </c>
      <c r="C303" s="276">
        <v>1</v>
      </c>
      <c r="D303" s="249">
        <f>'B) D RI'!AA304</f>
        <v>760</v>
      </c>
      <c r="E303" s="250">
        <f>'B) D RI'!S304</f>
        <v>71</v>
      </c>
      <c r="F303" s="14">
        <f>'B) D RI'!R304</f>
        <v>1616984.29</v>
      </c>
      <c r="G303" s="14">
        <f>'B) D RI'!U304</f>
        <v>22774.42661971831</v>
      </c>
      <c r="H303" s="49">
        <f>'B) D RI'!T304</f>
        <v>1506703.74</v>
      </c>
      <c r="I303" s="14">
        <f t="shared" si="53"/>
        <v>42442.358873239435</v>
      </c>
      <c r="J303" s="39">
        <f t="shared" si="52"/>
        <v>65915.79457406493</v>
      </c>
      <c r="K303" s="14">
        <f t="shared" si="47"/>
        <v>0</v>
      </c>
      <c r="L303" s="14">
        <f t="shared" si="51"/>
        <v>65915.79457406493</v>
      </c>
      <c r="M303" s="14">
        <f>'D) Ecrêtage'!M302</f>
        <v>22774.42661971831</v>
      </c>
      <c r="N303" s="14">
        <f t="shared" si="48"/>
        <v>29650.603959264314</v>
      </c>
      <c r="O303" s="66">
        <f t="shared" si="49"/>
        <v>29650.603959264314</v>
      </c>
      <c r="P303" s="251"/>
      <c r="Q303" s="252"/>
      <c r="R303" s="248"/>
      <c r="S303" s="248"/>
      <c r="T303" s="253"/>
    </row>
    <row r="304" spans="1:20" s="247" customFormat="1" x14ac:dyDescent="0.25">
      <c r="A304" s="369">
        <f>'A) Base RI'!A305</f>
        <v>5928</v>
      </c>
      <c r="B304" s="260" t="str">
        <f>'A) Base RI'!B305</f>
        <v>Rovray</v>
      </c>
      <c r="C304" s="276">
        <v>0</v>
      </c>
      <c r="D304" s="249">
        <f>'B) D RI'!AA305</f>
        <v>172</v>
      </c>
      <c r="E304" s="250">
        <f>'B) D RI'!S305</f>
        <v>73</v>
      </c>
      <c r="F304" s="14">
        <f>'B) D RI'!R305</f>
        <v>324976.16000000003</v>
      </c>
      <c r="G304" s="14">
        <f>'B) D RI'!U305</f>
        <v>4451.7282191780823</v>
      </c>
      <c r="H304" s="49">
        <f>'B) D RI'!T305</f>
        <v>305419.36000000004</v>
      </c>
      <c r="I304" s="14">
        <f t="shared" si="53"/>
        <v>8367.653698630138</v>
      </c>
      <c r="J304" s="39">
        <f t="shared" si="52"/>
        <v>14917.785087814695</v>
      </c>
      <c r="K304" s="14">
        <f t="shared" ref="K304:K314" si="54">IF(C304=1,0,IF(J304&gt;I304,I304,J304))</f>
        <v>8367.653698630138</v>
      </c>
      <c r="L304" s="14">
        <f t="shared" si="51"/>
        <v>6550.1313891845566</v>
      </c>
      <c r="M304" s="14">
        <f>'D) Ecrêtage'!M303</f>
        <v>4451.7282191780823</v>
      </c>
      <c r="N304" s="14">
        <f t="shared" si="48"/>
        <v>5795.8179393568826</v>
      </c>
      <c r="O304" s="66">
        <f t="shared" si="49"/>
        <v>14163.471637987021</v>
      </c>
      <c r="P304" s="251"/>
      <c r="Q304" s="252"/>
      <c r="R304" s="248"/>
      <c r="S304" s="248"/>
      <c r="T304" s="253"/>
    </row>
    <row r="305" spans="1:20" s="247" customFormat="1" x14ac:dyDescent="0.25">
      <c r="A305" s="369">
        <f>'A) Base RI'!A306</f>
        <v>5929</v>
      </c>
      <c r="B305" s="260" t="str">
        <f>'A) Base RI'!B306</f>
        <v>Suchy</v>
      </c>
      <c r="C305" s="276">
        <v>1</v>
      </c>
      <c r="D305" s="249">
        <f>'B) D RI'!AA306</f>
        <v>606</v>
      </c>
      <c r="E305" s="250">
        <f>'B) D RI'!S306</f>
        <v>70</v>
      </c>
      <c r="F305" s="14">
        <f>'B) D RI'!R306</f>
        <v>1160865.1900000002</v>
      </c>
      <c r="G305" s="14">
        <f>'B) D RI'!U306</f>
        <v>16583.788428571432</v>
      </c>
      <c r="H305" s="49">
        <f>'B) D RI'!T306</f>
        <v>1070468.6900000002</v>
      </c>
      <c r="I305" s="14">
        <f t="shared" si="53"/>
        <v>30584.819714285721</v>
      </c>
      <c r="J305" s="39">
        <f t="shared" si="52"/>
        <v>52559.173041951777</v>
      </c>
      <c r="K305" s="14">
        <f t="shared" si="54"/>
        <v>0</v>
      </c>
      <c r="L305" s="14">
        <f t="shared" si="51"/>
        <v>52559.173041951777</v>
      </c>
      <c r="M305" s="14">
        <f>'D) Ecrêtage'!M304</f>
        <v>16583.788428571432</v>
      </c>
      <c r="N305" s="14">
        <f t="shared" si="48"/>
        <v>21590.854999355575</v>
      </c>
      <c r="O305" s="66">
        <f t="shared" si="49"/>
        <v>21590.854999355575</v>
      </c>
      <c r="P305" s="251"/>
      <c r="Q305" s="252"/>
      <c r="R305" s="248"/>
      <c r="S305" s="248"/>
      <c r="T305" s="253"/>
    </row>
    <row r="306" spans="1:20" s="247" customFormat="1" x14ac:dyDescent="0.25">
      <c r="A306" s="369">
        <f>'A) Base RI'!A307</f>
        <v>5930</v>
      </c>
      <c r="B306" s="260" t="str">
        <f>'A) Base RI'!B307</f>
        <v>Suscévaz</v>
      </c>
      <c r="C306" s="276">
        <v>1</v>
      </c>
      <c r="D306" s="249">
        <f>'B) D RI'!AA307</f>
        <v>202</v>
      </c>
      <c r="E306" s="250">
        <f>'B) D RI'!S307</f>
        <v>66</v>
      </c>
      <c r="F306" s="14">
        <f>'B) D RI'!R307</f>
        <v>322510.51</v>
      </c>
      <c r="G306" s="14">
        <f>'B) D RI'!U307</f>
        <v>4886.5228787878787</v>
      </c>
      <c r="H306" s="49">
        <f>'B) D RI'!T307</f>
        <v>295749.91000000003</v>
      </c>
      <c r="I306" s="14">
        <f t="shared" si="53"/>
        <v>8962.1184848484863</v>
      </c>
      <c r="J306" s="39">
        <f t="shared" si="52"/>
        <v>17519.72434731726</v>
      </c>
      <c r="K306" s="14">
        <f t="shared" si="54"/>
        <v>0</v>
      </c>
      <c r="L306" s="14">
        <f t="shared" si="51"/>
        <v>17519.72434731726</v>
      </c>
      <c r="M306" s="14">
        <f>'D) Ecrêtage'!M305</f>
        <v>4886.5228787878787</v>
      </c>
      <c r="N306" s="14">
        <f t="shared" si="48"/>
        <v>6361.8881404187732</v>
      </c>
      <c r="O306" s="66">
        <f t="shared" si="49"/>
        <v>6361.8881404187732</v>
      </c>
      <c r="P306" s="251"/>
      <c r="Q306" s="252"/>
      <c r="R306" s="248"/>
      <c r="S306" s="248"/>
      <c r="T306" s="253"/>
    </row>
    <row r="307" spans="1:20" s="247" customFormat="1" x14ac:dyDescent="0.25">
      <c r="A307" s="369">
        <f>'A) Base RI'!A308</f>
        <v>5931</v>
      </c>
      <c r="B307" s="260" t="str">
        <f>'A) Base RI'!B308</f>
        <v>Treycovagnes</v>
      </c>
      <c r="C307" s="276">
        <v>1</v>
      </c>
      <c r="D307" s="249">
        <f>'B) D RI'!AA308</f>
        <v>446</v>
      </c>
      <c r="E307" s="250">
        <f>'B) D RI'!S308</f>
        <v>77</v>
      </c>
      <c r="F307" s="14">
        <f>'B) D RI'!R308</f>
        <v>1260395.6099999999</v>
      </c>
      <c r="G307" s="14">
        <f>'B) D RI'!U308</f>
        <v>16368.774155844154</v>
      </c>
      <c r="H307" s="49">
        <f>'B) D RI'!T308</f>
        <v>1188190.71</v>
      </c>
      <c r="I307" s="14">
        <f t="shared" si="53"/>
        <v>30862.096363636363</v>
      </c>
      <c r="J307" s="39">
        <f t="shared" si="52"/>
        <v>38682.163657938108</v>
      </c>
      <c r="K307" s="14">
        <f t="shared" si="54"/>
        <v>0</v>
      </c>
      <c r="L307" s="14">
        <f t="shared" si="51"/>
        <v>38682.163657938108</v>
      </c>
      <c r="M307" s="14">
        <f>'D) Ecrêtage'!M306</f>
        <v>16368.774155844154</v>
      </c>
      <c r="N307" s="14">
        <f t="shared" si="48"/>
        <v>21310.922461308452</v>
      </c>
      <c r="O307" s="66">
        <f t="shared" si="49"/>
        <v>21310.922461308452</v>
      </c>
      <c r="P307" s="251"/>
      <c r="Q307" s="252"/>
      <c r="R307" s="248"/>
      <c r="S307" s="248"/>
      <c r="T307" s="253"/>
    </row>
    <row r="308" spans="1:20" s="247" customFormat="1" x14ac:dyDescent="0.25">
      <c r="A308" s="369">
        <f>'A) Base RI'!A309</f>
        <v>5932</v>
      </c>
      <c r="B308" s="260" t="str">
        <f>'A) Base RI'!B309</f>
        <v>Ursins</v>
      </c>
      <c r="C308" s="276">
        <v>0</v>
      </c>
      <c r="D308" s="249">
        <f>'B) D RI'!AA309</f>
        <v>210</v>
      </c>
      <c r="E308" s="250">
        <f>'B) D RI'!S309</f>
        <v>78</v>
      </c>
      <c r="F308" s="14">
        <f>'B) D RI'!R309</f>
        <v>496569.35999999993</v>
      </c>
      <c r="G308" s="14">
        <f>'B) D RI'!U309</f>
        <v>6366.2738461538456</v>
      </c>
      <c r="H308" s="49">
        <f>'B) D RI'!T309</f>
        <v>466413.65999999992</v>
      </c>
      <c r="I308" s="14">
        <f t="shared" si="53"/>
        <v>11959.324615384614</v>
      </c>
      <c r="J308" s="39">
        <f t="shared" si="52"/>
        <v>18213.574816517943</v>
      </c>
      <c r="K308" s="14">
        <f t="shared" si="54"/>
        <v>11959.324615384614</v>
      </c>
      <c r="L308" s="14">
        <f t="shared" si="51"/>
        <v>6254.250201133329</v>
      </c>
      <c r="M308" s="14">
        <f>'D) Ecrêtage'!M307</f>
        <v>6366.2738461538456</v>
      </c>
      <c r="N308" s="14">
        <f t="shared" si="48"/>
        <v>8288.413476240783</v>
      </c>
      <c r="O308" s="66">
        <f t="shared" si="49"/>
        <v>20247.738091625397</v>
      </c>
      <c r="P308" s="251"/>
      <c r="Q308" s="252"/>
      <c r="R308" s="248"/>
      <c r="S308" s="248"/>
      <c r="T308" s="253"/>
    </row>
    <row r="309" spans="1:20" s="247" customFormat="1" x14ac:dyDescent="0.25">
      <c r="A309" s="369">
        <f>'A) Base RI'!A310</f>
        <v>5933</v>
      </c>
      <c r="B309" s="260" t="str">
        <f>'A) Base RI'!B310</f>
        <v>Valeyres-sous-Montagny</v>
      </c>
      <c r="C309" s="276">
        <v>0</v>
      </c>
      <c r="D309" s="249">
        <f>'B) D RI'!AA310</f>
        <v>689</v>
      </c>
      <c r="E309" s="250">
        <f>'B) D RI'!S310</f>
        <v>72</v>
      </c>
      <c r="F309" s="14">
        <f>'B) D RI'!R310</f>
        <v>1409649.31</v>
      </c>
      <c r="G309" s="14">
        <f>'B) D RI'!U310</f>
        <v>19578.46263888889</v>
      </c>
      <c r="H309" s="49">
        <f>'B) D RI'!T310</f>
        <v>1307750.1600000001</v>
      </c>
      <c r="I309" s="14">
        <f t="shared" si="53"/>
        <v>36326.393333333341</v>
      </c>
      <c r="J309" s="39">
        <f t="shared" ref="J309:J314" si="55">+$I$315/$D$315*D309</f>
        <v>59757.871659908866</v>
      </c>
      <c r="K309" s="14">
        <f t="shared" si="54"/>
        <v>36326.393333333341</v>
      </c>
      <c r="L309" s="14">
        <f t="shared" si="51"/>
        <v>23431.478326575525</v>
      </c>
      <c r="M309" s="14">
        <f>'D) Ecrêtage'!M308</f>
        <v>19578.46263888889</v>
      </c>
      <c r="N309" s="14">
        <f t="shared" si="48"/>
        <v>25489.697349145714</v>
      </c>
      <c r="O309" s="66">
        <f t="shared" si="49"/>
        <v>61816.090682479058</v>
      </c>
      <c r="P309" s="251"/>
      <c r="Q309" s="252"/>
      <c r="R309" s="248"/>
      <c r="S309" s="248"/>
      <c r="T309" s="253"/>
    </row>
    <row r="310" spans="1:20" s="247" customFormat="1" x14ac:dyDescent="0.25">
      <c r="A310" s="369">
        <f>'A) Base RI'!A311</f>
        <v>5934</v>
      </c>
      <c r="B310" s="260" t="str">
        <f>'A) Base RI'!B311</f>
        <v>Valeyres-sous-Ursins</v>
      </c>
      <c r="C310" s="276">
        <v>0</v>
      </c>
      <c r="D310" s="249">
        <f>'B) D RI'!AA311</f>
        <v>247</v>
      </c>
      <c r="E310" s="250">
        <f>'B) D RI'!S311</f>
        <v>79</v>
      </c>
      <c r="F310" s="14">
        <f>'B) D RI'!R311</f>
        <v>541629.71000000008</v>
      </c>
      <c r="G310" s="14">
        <f>'B) D RI'!U311</f>
        <v>6856.0722784810141</v>
      </c>
      <c r="H310" s="49">
        <f>'B) D RI'!T311</f>
        <v>515251.81000000006</v>
      </c>
      <c r="I310" s="14">
        <f t="shared" si="53"/>
        <v>13044.349620253166</v>
      </c>
      <c r="J310" s="39">
        <f t="shared" si="55"/>
        <v>21422.633236571102</v>
      </c>
      <c r="K310" s="14">
        <f t="shared" si="54"/>
        <v>13044.349620253166</v>
      </c>
      <c r="L310" s="14">
        <f t="shared" si="51"/>
        <v>8378.2836163179363</v>
      </c>
      <c r="M310" s="14">
        <f>'D) Ecrêtage'!M309</f>
        <v>6856.0722784810141</v>
      </c>
      <c r="N310" s="14">
        <f t="shared" si="48"/>
        <v>8926.0944848255349</v>
      </c>
      <c r="O310" s="66">
        <f t="shared" si="49"/>
        <v>21970.444105078699</v>
      </c>
      <c r="P310" s="251"/>
      <c r="Q310" s="252"/>
      <c r="R310" s="248"/>
      <c r="S310" s="248"/>
      <c r="T310" s="253"/>
    </row>
    <row r="311" spans="1:20" s="247" customFormat="1" x14ac:dyDescent="0.25">
      <c r="A311" s="369">
        <f>'A) Base RI'!A312</f>
        <v>5935</v>
      </c>
      <c r="B311" s="260" t="str">
        <f>'A) Base RI'!B312</f>
        <v>Villars-Epeney</v>
      </c>
      <c r="C311" s="276">
        <v>0</v>
      </c>
      <c r="D311" s="249">
        <f>'B) D RI'!AA312</f>
        <v>105</v>
      </c>
      <c r="E311" s="250">
        <f>'B) D RI'!S312</f>
        <v>60</v>
      </c>
      <c r="F311" s="14">
        <f>'B) D RI'!R312</f>
        <v>255158.12000000002</v>
      </c>
      <c r="G311" s="14">
        <f>'B) D RI'!U312</f>
        <v>4252.6353333333336</v>
      </c>
      <c r="H311" s="49">
        <f>'B) D RI'!T312</f>
        <v>237649.17</v>
      </c>
      <c r="I311" s="14">
        <f t="shared" si="53"/>
        <v>7921.6390000000001</v>
      </c>
      <c r="J311" s="39">
        <f t="shared" si="55"/>
        <v>9106.7874082589715</v>
      </c>
      <c r="K311" s="14">
        <f t="shared" si="54"/>
        <v>7921.6390000000001</v>
      </c>
      <c r="L311" s="14">
        <f t="shared" si="51"/>
        <v>1185.1484082589714</v>
      </c>
      <c r="M311" s="14">
        <f>'D) Ecrêtage'!M310</f>
        <v>4252.6353333333336</v>
      </c>
      <c r="N311" s="14">
        <f t="shared" si="48"/>
        <v>5536.6138589266602</v>
      </c>
      <c r="O311" s="66">
        <f t="shared" si="49"/>
        <v>13458.25285892666</v>
      </c>
      <c r="P311" s="251"/>
      <c r="Q311" s="252"/>
      <c r="R311" s="248"/>
      <c r="S311" s="248"/>
      <c r="T311" s="253"/>
    </row>
    <row r="312" spans="1:20" s="247" customFormat="1" x14ac:dyDescent="0.25">
      <c r="A312" s="369">
        <f>'A) Base RI'!A313</f>
        <v>5937</v>
      </c>
      <c r="B312" s="260" t="str">
        <f>'A) Base RI'!B313</f>
        <v>Vugelles-La Mothe</v>
      </c>
      <c r="C312" s="276">
        <v>0</v>
      </c>
      <c r="D312" s="249">
        <f>'B) D RI'!AA313</f>
        <v>134</v>
      </c>
      <c r="E312" s="250">
        <f>'B) D RI'!S313</f>
        <v>70</v>
      </c>
      <c r="F312" s="14">
        <f>'B) D RI'!R313</f>
        <v>159108.76428571428</v>
      </c>
      <c r="G312" s="14">
        <f>'B) D RI'!U313</f>
        <v>2272.9823469387752</v>
      </c>
      <c r="H312" s="49">
        <f>'B) D RI'!T313</f>
        <v>144973.04999999999</v>
      </c>
      <c r="I312" s="14">
        <f t="shared" si="53"/>
        <v>4142.0871428571427</v>
      </c>
      <c r="J312" s="39">
        <f t="shared" si="55"/>
        <v>11621.995359111448</v>
      </c>
      <c r="K312" s="14">
        <f t="shared" si="54"/>
        <v>4142.0871428571427</v>
      </c>
      <c r="L312" s="14">
        <f t="shared" si="51"/>
        <v>7479.9082162543054</v>
      </c>
      <c r="M312" s="14">
        <f>'D) Ecrêtage'!M311</f>
        <v>2272.9823469387752</v>
      </c>
      <c r="N312" s="14">
        <f t="shared" si="48"/>
        <v>2959.2533985961809</v>
      </c>
      <c r="O312" s="66">
        <f t="shared" si="49"/>
        <v>7101.3405414533236</v>
      </c>
      <c r="P312" s="251"/>
      <c r="Q312" s="252"/>
      <c r="R312" s="248"/>
      <c r="S312" s="248"/>
      <c r="T312" s="253"/>
    </row>
    <row r="313" spans="1:20" s="247" customFormat="1" x14ac:dyDescent="0.25">
      <c r="A313" s="369">
        <f>'A) Base RI'!A314</f>
        <v>5938</v>
      </c>
      <c r="B313" s="260" t="str">
        <f>'A) Base RI'!B314</f>
        <v>Yverdon-les-Bains</v>
      </c>
      <c r="C313" s="276">
        <v>1</v>
      </c>
      <c r="D313" s="249">
        <f>'B) D RI'!AA314</f>
        <v>29570</v>
      </c>
      <c r="E313" s="250">
        <f>'B) D RI'!S314</f>
        <v>76.5</v>
      </c>
      <c r="F313" s="14">
        <f>'B) D RI'!R314</f>
        <v>61907243.739999987</v>
      </c>
      <c r="G313" s="14">
        <f>'B) D RI'!U314</f>
        <v>809245.0162091502</v>
      </c>
      <c r="H313" s="49">
        <f>'B) D RI'!T314</f>
        <v>57431534.089999989</v>
      </c>
      <c r="I313" s="14">
        <f t="shared" si="53"/>
        <v>1501478.0154248362</v>
      </c>
      <c r="J313" s="39">
        <f t="shared" si="55"/>
        <v>2564644.7967830263</v>
      </c>
      <c r="K313" s="14">
        <f t="shared" si="54"/>
        <v>0</v>
      </c>
      <c r="L313" s="14">
        <f t="shared" si="51"/>
        <v>2564644.7967830263</v>
      </c>
      <c r="M313" s="14">
        <f>'D) Ecrêtage'!M312</f>
        <v>809245.0162091502</v>
      </c>
      <c r="N313" s="14">
        <f t="shared" si="48"/>
        <v>1053576.6226865703</v>
      </c>
      <c r="O313" s="66">
        <f t="shared" si="49"/>
        <v>1053576.6226865703</v>
      </c>
      <c r="P313" s="251"/>
      <c r="Q313" s="252"/>
      <c r="R313" s="248"/>
      <c r="S313" s="248"/>
      <c r="T313" s="253"/>
    </row>
    <row r="314" spans="1:20" s="247" customFormat="1" x14ac:dyDescent="0.25">
      <c r="A314" s="370">
        <f>'A) Base RI'!A315</f>
        <v>5939</v>
      </c>
      <c r="B314" s="260" t="str">
        <f>'A) Base RI'!B315</f>
        <v>Yvonand</v>
      </c>
      <c r="C314" s="276">
        <v>0</v>
      </c>
      <c r="D314" s="249">
        <f>'B) D RI'!AA315</f>
        <v>3236</v>
      </c>
      <c r="E314" s="250">
        <f>'B) D RI'!S315</f>
        <v>73</v>
      </c>
      <c r="F314" s="14">
        <f>'B) D RI'!R315</f>
        <v>6443057.9500000011</v>
      </c>
      <c r="G314" s="14">
        <f>'B) D RI'!U315</f>
        <v>88261.067808219188</v>
      </c>
      <c r="H314" s="49">
        <f>'B) D RI'!T315</f>
        <v>5953953.0000000009</v>
      </c>
      <c r="I314" s="24">
        <f t="shared" si="53"/>
        <v>163122.00000000003</v>
      </c>
      <c r="J314" s="122">
        <f t="shared" si="55"/>
        <v>280662.51479167648</v>
      </c>
      <c r="K314" s="14">
        <f t="shared" si="54"/>
        <v>163122.00000000003</v>
      </c>
      <c r="L314" s="24">
        <f t="shared" si="51"/>
        <v>117540.51479167645</v>
      </c>
      <c r="M314" s="24">
        <f>'D) Ecrêtage'!M313</f>
        <v>88261.067808219188</v>
      </c>
      <c r="N314" s="24">
        <f>+$N$5*M314</f>
        <v>114909.32396679801</v>
      </c>
      <c r="O314" s="115">
        <f t="shared" si="49"/>
        <v>278031.32396679802</v>
      </c>
      <c r="P314" s="251"/>
      <c r="Q314" s="252"/>
      <c r="R314" s="248"/>
      <c r="S314" s="248"/>
      <c r="T314" s="253"/>
    </row>
    <row r="315" spans="1:20" s="247" customFormat="1" x14ac:dyDescent="0.25">
      <c r="A315" s="38"/>
      <c r="B315" s="135">
        <f>COUNTA(B6:B314)</f>
        <v>309</v>
      </c>
      <c r="C315" s="270">
        <f>SUM(C6:C314)</f>
        <v>52</v>
      </c>
      <c r="D315" s="262">
        <f>SUM(D6:D314)</f>
        <v>778251</v>
      </c>
      <c r="E315" s="262"/>
      <c r="F315" s="262">
        <f t="shared" ref="F315:M315" si="56">SUM(F6:F314)</f>
        <v>2455499564.6445398</v>
      </c>
      <c r="G315" s="262">
        <f t="shared" si="56"/>
        <v>36265640.391085088</v>
      </c>
      <c r="H315" s="262">
        <f t="shared" si="56"/>
        <v>2284568513.3599997</v>
      </c>
      <c r="I315" s="279">
        <f>SUM(I6:I314)</f>
        <v>67498727.688237637</v>
      </c>
      <c r="J315" s="262">
        <f t="shared" si="56"/>
        <v>67498727.688237667</v>
      </c>
      <c r="K315" s="262">
        <f t="shared" si="56"/>
        <v>21008856.393722307</v>
      </c>
      <c r="L315" s="264">
        <f t="shared" si="56"/>
        <v>46489871.294515334</v>
      </c>
      <c r="M315" s="262">
        <f t="shared" si="56"/>
        <v>35263307.270035163</v>
      </c>
      <c r="N315" s="271">
        <f>Paramètres!B67-K315</f>
        <v>45910194.606277689</v>
      </c>
      <c r="O315" s="265">
        <f>SUM(O6:O314)</f>
        <v>66919050.99999997</v>
      </c>
      <c r="P315" s="248"/>
      <c r="R315" s="248"/>
      <c r="S315" s="248"/>
    </row>
    <row r="316" spans="1:20" s="247" customFormat="1" x14ac:dyDescent="0.25">
      <c r="A316" s="246"/>
      <c r="B316" s="246"/>
      <c r="C316" s="246"/>
      <c r="D316" s="246"/>
      <c r="E316" s="246"/>
      <c r="F316" s="246"/>
      <c r="G316" s="246"/>
      <c r="H316" s="246"/>
      <c r="I316" s="277"/>
      <c r="J316" s="246"/>
      <c r="K316" s="246"/>
      <c r="L316" s="254"/>
      <c r="M316" s="246"/>
      <c r="N316" s="254"/>
      <c r="O316" s="246"/>
      <c r="P316" s="248"/>
      <c r="R316" s="248"/>
      <c r="S316" s="248"/>
    </row>
    <row r="317" spans="1:20" x14ac:dyDescent="0.25">
      <c r="I317" s="277"/>
      <c r="J317" s="277"/>
      <c r="K317" s="277"/>
      <c r="L317" s="277"/>
      <c r="M317" s="277"/>
      <c r="N317" s="277"/>
      <c r="O317" s="277"/>
    </row>
  </sheetData>
  <sheetProtection password="E95E" sheet="1" objects="1" scenarios="1"/>
  <protectedRanges>
    <protectedRange sqref="C6:C314" name="Plage1"/>
  </protectedRanges>
  <mergeCells count="13">
    <mergeCell ref="O4:O5"/>
    <mergeCell ref="B4:B5"/>
    <mergeCell ref="A4:A5"/>
    <mergeCell ref="M4:M5"/>
    <mergeCell ref="L4:L5"/>
    <mergeCell ref="K4:K5"/>
    <mergeCell ref="J4:J5"/>
    <mergeCell ref="H4:H5"/>
    <mergeCell ref="G4:G5"/>
    <mergeCell ref="F4:F5"/>
    <mergeCell ref="E4:E5"/>
    <mergeCell ref="D4:D5"/>
    <mergeCell ref="C4:C5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8" fitToHeight="9" orientation="landscape" r:id="rId1"/>
  <headerFooter alignWithMargins="0">
    <oddFooter>&amp;L&amp;8SCL - Division finances communales&amp;C- &amp;N -&amp;R&amp;8ASFiCo/FW/Juillet 2014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rgb="FF00B0F0"/>
  </sheetPr>
  <dimension ref="A1:R317"/>
  <sheetViews>
    <sheetView topLeftCell="A295" workbookViewId="0">
      <selection activeCell="B32" sqref="B32"/>
    </sheetView>
  </sheetViews>
  <sheetFormatPr baseColWidth="10" defaultColWidth="10.75" defaultRowHeight="15" x14ac:dyDescent="0.25"/>
  <cols>
    <col min="1" max="1" width="7.5" style="18" customWidth="1"/>
    <col min="2" max="2" width="20.25" style="18" bestFit="1" customWidth="1"/>
    <col min="3" max="3" width="6.125" style="20" bestFit="1" customWidth="1"/>
    <col min="4" max="4" width="6.5" style="178" bestFit="1" customWidth="1"/>
    <col min="5" max="5" width="8.625" style="178" bestFit="1" customWidth="1"/>
    <col min="6" max="6" width="9.5" style="18" bestFit="1" customWidth="1"/>
    <col min="7" max="7" width="10.625" style="18" customWidth="1"/>
    <col min="8" max="8" width="10.75" style="18" customWidth="1"/>
    <col min="9" max="10" width="9.375" style="18" bestFit="1" customWidth="1"/>
    <col min="11" max="11" width="9.625" style="18" bestFit="1" customWidth="1"/>
    <col min="12" max="12" width="11.25" style="18" bestFit="1" customWidth="1"/>
    <col min="13" max="13" width="8.625" style="18" bestFit="1" customWidth="1"/>
    <col min="14" max="14" width="9.5" style="18" bestFit="1" customWidth="1"/>
    <col min="15" max="15" width="1.375" style="18" customWidth="1"/>
    <col min="16" max="16" width="13" style="8" bestFit="1" customWidth="1"/>
    <col min="17" max="16384" width="10.75" style="18"/>
  </cols>
  <sheetData>
    <row r="1" spans="1:18" s="51" customFormat="1" ht="20.25" customHeight="1" x14ac:dyDescent="0.2">
      <c r="A1" s="475" t="s">
        <v>486</v>
      </c>
      <c r="B1" s="476"/>
      <c r="C1" s="476"/>
      <c r="D1" s="476"/>
      <c r="E1" s="476"/>
      <c r="F1" s="82"/>
      <c r="G1" s="82"/>
      <c r="H1" s="82"/>
      <c r="I1" s="82"/>
      <c r="J1" s="82"/>
      <c r="K1" s="82"/>
      <c r="L1" s="82"/>
      <c r="M1" s="82"/>
      <c r="N1" s="82"/>
      <c r="P1" s="52"/>
    </row>
    <row r="2" spans="1:18" s="51" customFormat="1" ht="20.25" customHeight="1" x14ac:dyDescent="0.2">
      <c r="A2" s="325" t="str">
        <f>Paramètres!B5</f>
        <v>Acomptes 2018</v>
      </c>
      <c r="C2" s="152"/>
      <c r="D2" s="326"/>
      <c r="E2" s="326"/>
      <c r="F2" s="82"/>
      <c r="G2" s="82"/>
      <c r="H2" s="82"/>
      <c r="I2" s="82"/>
      <c r="J2" s="82"/>
      <c r="K2" s="82"/>
      <c r="L2" s="82"/>
      <c r="M2" s="82"/>
      <c r="N2" s="82"/>
      <c r="P2" s="52"/>
    </row>
    <row r="3" spans="1:18" x14ac:dyDescent="0.25">
      <c r="D3" s="18"/>
      <c r="E3" s="18"/>
    </row>
    <row r="4" spans="1:18" ht="53.25" customHeight="1" x14ac:dyDescent="0.25">
      <c r="A4" s="436" t="s">
        <v>50</v>
      </c>
      <c r="B4" s="436" t="s">
        <v>101</v>
      </c>
      <c r="C4" s="456" t="s">
        <v>367</v>
      </c>
      <c r="D4" s="466" t="s">
        <v>368</v>
      </c>
      <c r="E4" s="466" t="s">
        <v>434</v>
      </c>
      <c r="F4" s="466" t="s">
        <v>98</v>
      </c>
      <c r="G4" s="466" t="s">
        <v>150</v>
      </c>
      <c r="H4" s="466" t="s">
        <v>144</v>
      </c>
      <c r="I4" s="466" t="s">
        <v>418</v>
      </c>
      <c r="J4" s="466" t="s">
        <v>216</v>
      </c>
      <c r="K4" s="466" t="s">
        <v>131</v>
      </c>
      <c r="L4" s="466" t="s">
        <v>217</v>
      </c>
      <c r="M4" s="466" t="s">
        <v>514</v>
      </c>
      <c r="N4" s="473" t="s">
        <v>143</v>
      </c>
      <c r="O4" s="472" t="s">
        <v>533</v>
      </c>
    </row>
    <row r="5" spans="1:18" ht="14.25" customHeight="1" x14ac:dyDescent="0.25">
      <c r="A5" s="438"/>
      <c r="B5" s="438"/>
      <c r="C5" s="462"/>
      <c r="D5" s="477"/>
      <c r="E5" s="477"/>
      <c r="F5" s="477"/>
      <c r="G5" s="477"/>
      <c r="H5" s="477"/>
      <c r="I5" s="477"/>
      <c r="J5" s="477"/>
      <c r="K5" s="477"/>
      <c r="L5" s="467"/>
      <c r="M5" s="467"/>
      <c r="N5" s="474"/>
      <c r="O5" s="472"/>
    </row>
    <row r="6" spans="1:18" s="182" customFormat="1" x14ac:dyDescent="0.25">
      <c r="A6" s="371">
        <f>'B) D RI'!A7</f>
        <v>5401</v>
      </c>
      <c r="B6" s="180" t="str">
        <f>'B) D RI'!B7</f>
        <v>Aigle</v>
      </c>
      <c r="C6" s="376">
        <f>'B) D RI'!S7</f>
        <v>67.5</v>
      </c>
      <c r="D6" s="377">
        <f>'B) D RI'!AA7</f>
        <v>9740</v>
      </c>
      <c r="E6" s="374">
        <f>'D) Ecrêtage'!M5</f>
        <v>274204.16723456793</v>
      </c>
      <c r="F6" s="185">
        <f>'E) Fact soc'!G11</f>
        <v>5585230.1979759242</v>
      </c>
      <c r="G6" s="375">
        <f>'H) Péréquation directe'!I16</f>
        <v>-2640587.1604607655</v>
      </c>
      <c r="H6" s="185">
        <f>'I) Dépenses thématiques'!O5</f>
        <v>-2197980.2530008722</v>
      </c>
      <c r="I6" s="375">
        <f>'K) Plafonnement aide'!J5</f>
        <v>0</v>
      </c>
      <c r="J6" s="185">
        <f>'J) Plafonnement effort'!I5</f>
        <v>0</v>
      </c>
      <c r="K6" s="375">
        <f>'L) Plafonnement taux'!Q6</f>
        <v>0</v>
      </c>
      <c r="L6" s="372">
        <f>F6+G6+H6+I6+J6+K6</f>
        <v>746662.78451428656</v>
      </c>
      <c r="M6" s="267">
        <f>'M) Police'!O6</f>
        <v>356993.36375883763</v>
      </c>
      <c r="N6" s="266">
        <f>L6+M6</f>
        <v>1103656.1482731241</v>
      </c>
      <c r="P6" s="328"/>
      <c r="R6" s="381"/>
    </row>
    <row r="7" spans="1:18" s="182" customFormat="1" x14ac:dyDescent="0.25">
      <c r="A7" s="179">
        <f>'B) D RI'!A8</f>
        <v>5402</v>
      </c>
      <c r="B7" s="180" t="str">
        <f>'B) D RI'!B8</f>
        <v>Bex</v>
      </c>
      <c r="C7" s="376">
        <f>'B) D RI'!S8</f>
        <v>71</v>
      </c>
      <c r="D7" s="181">
        <f>'B) D RI'!AA8</f>
        <v>7424</v>
      </c>
      <c r="E7" s="374">
        <f>'D) Ecrêtage'!M6</f>
        <v>168618.65154929578</v>
      </c>
      <c r="F7" s="378">
        <f>'E) Fact soc'!G12</f>
        <v>3152818.1427217349</v>
      </c>
      <c r="G7" s="375">
        <f>'H) Péréquation directe'!I17</f>
        <v>-3409900.5903095193</v>
      </c>
      <c r="H7" s="378">
        <f>'I) Dépenses thématiques'!O6</f>
        <v>-1807072.7350107045</v>
      </c>
      <c r="I7" s="375">
        <f>'K) Plafonnement aide'!J6</f>
        <v>0</v>
      </c>
      <c r="J7" s="378">
        <f>'J) Plafonnement effort'!I6</f>
        <v>0</v>
      </c>
      <c r="K7" s="375">
        <f>'L) Plafonnement taux'!Q7</f>
        <v>0</v>
      </c>
      <c r="L7" s="373">
        <f t="shared" ref="L7:L61" si="0">F7+G7+H7+I7+J7+K7</f>
        <v>-2064155.1825984889</v>
      </c>
      <c r="M7" s="267">
        <f>'M) Police'!O7</f>
        <v>219528.90146110728</v>
      </c>
      <c r="N7" s="267">
        <f t="shared" ref="N7:N70" si="1">L7+M7</f>
        <v>-1844626.2811373817</v>
      </c>
      <c r="P7" s="328"/>
      <c r="R7" s="381"/>
    </row>
    <row r="8" spans="1:18" s="182" customFormat="1" x14ac:dyDescent="0.25">
      <c r="A8" s="179">
        <f>'B) D RI'!A9</f>
        <v>5403</v>
      </c>
      <c r="B8" s="180" t="str">
        <f>'B) D RI'!B9</f>
        <v>Chessel</v>
      </c>
      <c r="C8" s="376">
        <f>'B) D RI'!S9</f>
        <v>76</v>
      </c>
      <c r="D8" s="181">
        <f>'B) D RI'!AA9</f>
        <v>395</v>
      </c>
      <c r="E8" s="374">
        <f>'D) Ecrêtage'!M7</f>
        <v>8336.8572368421064</v>
      </c>
      <c r="F8" s="378">
        <f>'E) Fact soc'!G13</f>
        <v>152692.52041078772</v>
      </c>
      <c r="G8" s="375">
        <f>'H) Péréquation directe'!I18</f>
        <v>-102371.32822137856</v>
      </c>
      <c r="H8" s="378">
        <f>'I) Dépenses thématiques'!O7</f>
        <v>-30067.570407078565</v>
      </c>
      <c r="I8" s="375">
        <f>'K) Plafonnement aide'!J7</f>
        <v>0</v>
      </c>
      <c r="J8" s="378">
        <f>'J) Plafonnement effort'!I7</f>
        <v>0</v>
      </c>
      <c r="K8" s="375">
        <f>'L) Plafonnement taux'!Q8</f>
        <v>0</v>
      </c>
      <c r="L8" s="373">
        <f t="shared" si="0"/>
        <v>20253.6217823306</v>
      </c>
      <c r="M8" s="267">
        <f>'M) Police'!O8</f>
        <v>26208.558105026685</v>
      </c>
      <c r="N8" s="267">
        <f t="shared" si="1"/>
        <v>46462.179887357284</v>
      </c>
      <c r="P8" s="328"/>
      <c r="R8" s="381"/>
    </row>
    <row r="9" spans="1:18" s="182" customFormat="1" x14ac:dyDescent="0.25">
      <c r="A9" s="179">
        <f>'B) D RI'!A10</f>
        <v>5404</v>
      </c>
      <c r="B9" s="180" t="str">
        <f>'B) D RI'!B10</f>
        <v>Corbeyrier</v>
      </c>
      <c r="C9" s="376">
        <f>'B) D RI'!S10</f>
        <v>70</v>
      </c>
      <c r="D9" s="181">
        <f>'B) D RI'!AA10</f>
        <v>440</v>
      </c>
      <c r="E9" s="374">
        <f>'D) Ecrêtage'!M8</f>
        <v>11349.824285714287</v>
      </c>
      <c r="F9" s="378">
        <f>'E) Fact soc'!G14</f>
        <v>216400.2947608837</v>
      </c>
      <c r="G9" s="375">
        <f>'H) Péréquation directe'!I19</f>
        <v>2285.2504098924692</v>
      </c>
      <c r="H9" s="378">
        <f>'I) Dépenses thématiques'!O8</f>
        <v>-163500.96934740894</v>
      </c>
      <c r="I9" s="375">
        <f>'K) Plafonnement aide'!J8</f>
        <v>0</v>
      </c>
      <c r="J9" s="378">
        <f>'J) Plafonnement effort'!I8</f>
        <v>0</v>
      </c>
      <c r="K9" s="375">
        <f>'L) Plafonnement taux'!Q9</f>
        <v>0</v>
      </c>
      <c r="L9" s="373">
        <f t="shared" si="0"/>
        <v>55184.575823367224</v>
      </c>
      <c r="M9" s="267">
        <f>'M) Police'!O9</f>
        <v>35407.498545996837</v>
      </c>
      <c r="N9" s="267">
        <f t="shared" si="1"/>
        <v>90592.074369364069</v>
      </c>
      <c r="P9" s="328"/>
      <c r="R9" s="381"/>
    </row>
    <row r="10" spans="1:18" s="182" customFormat="1" x14ac:dyDescent="0.25">
      <c r="A10" s="179">
        <f>'B) D RI'!A11</f>
        <v>5405</v>
      </c>
      <c r="B10" s="180" t="str">
        <f>'B) D RI'!B11</f>
        <v>Gryon</v>
      </c>
      <c r="C10" s="376">
        <f>'B) D RI'!S11</f>
        <v>75</v>
      </c>
      <c r="D10" s="181">
        <f>'B) D RI'!AA11</f>
        <v>1342</v>
      </c>
      <c r="E10" s="374">
        <f>'D) Ecrêtage'!M9</f>
        <v>64864.951911111115</v>
      </c>
      <c r="F10" s="378">
        <f>'E) Fact soc'!G15</f>
        <v>1284230.4154042851</v>
      </c>
      <c r="G10" s="375">
        <f>'H) Péréquation directe'!I20</f>
        <v>1003285.7798597149</v>
      </c>
      <c r="H10" s="378">
        <f>'I) Dépenses thématiques'!O9</f>
        <v>-424703.77953359357</v>
      </c>
      <c r="I10" s="375">
        <f>'K) Plafonnement aide'!J9</f>
        <v>0</v>
      </c>
      <c r="J10" s="378">
        <f>'J) Plafonnement effort'!I9</f>
        <v>0</v>
      </c>
      <c r="K10" s="375">
        <f>'L) Plafonnement taux'!Q10</f>
        <v>0</v>
      </c>
      <c r="L10" s="373">
        <f t="shared" si="0"/>
        <v>1862812.4157304065</v>
      </c>
      <c r="M10" s="267">
        <f>'M) Police'!O10</f>
        <v>200553.66189412202</v>
      </c>
      <c r="N10" s="267">
        <f t="shared" si="1"/>
        <v>2063366.0776245287</v>
      </c>
      <c r="P10" s="328"/>
      <c r="R10" s="381"/>
    </row>
    <row r="11" spans="1:18" s="182" customFormat="1" x14ac:dyDescent="0.25">
      <c r="A11" s="179">
        <f>'B) D RI'!A12</f>
        <v>5406</v>
      </c>
      <c r="B11" s="180" t="str">
        <f>'B) D RI'!B12</f>
        <v>Lavey-Morcles</v>
      </c>
      <c r="C11" s="376">
        <f>'B) D RI'!S12</f>
        <v>71</v>
      </c>
      <c r="D11" s="181">
        <f>'B) D RI'!AA12</f>
        <v>922</v>
      </c>
      <c r="E11" s="374">
        <f>'D) Ecrêtage'!M10</f>
        <v>20248.886901408452</v>
      </c>
      <c r="F11" s="378">
        <f>'E) Fact soc'!G16</f>
        <v>319468.97795483534</v>
      </c>
      <c r="G11" s="375">
        <f>'H) Péréquation directe'!I21</f>
        <v>-142837.07311802759</v>
      </c>
      <c r="H11" s="378">
        <f>'I) Dépenses thématiques'!O10</f>
        <v>-74026.404902002338</v>
      </c>
      <c r="I11" s="375">
        <f>'K) Plafonnement aide'!J10</f>
        <v>0</v>
      </c>
      <c r="J11" s="378">
        <f>'J) Plafonnement effort'!I10</f>
        <v>0</v>
      </c>
      <c r="K11" s="375">
        <f>'L) Plafonnement taux'!Q11</f>
        <v>0</v>
      </c>
      <c r="L11" s="373">
        <f t="shared" si="0"/>
        <v>102605.49993480541</v>
      </c>
      <c r="M11" s="267">
        <f>'M) Police'!O11</f>
        <v>62886.848723855815</v>
      </c>
      <c r="N11" s="267">
        <f t="shared" si="1"/>
        <v>165492.34865866124</v>
      </c>
      <c r="P11" s="328"/>
      <c r="R11" s="381"/>
    </row>
    <row r="12" spans="1:18" s="182" customFormat="1" x14ac:dyDescent="0.25">
      <c r="A12" s="179">
        <f>'B) D RI'!A13</f>
        <v>5407</v>
      </c>
      <c r="B12" s="180" t="str">
        <f>'B) D RI'!B13</f>
        <v>Leysin</v>
      </c>
      <c r="C12" s="376">
        <f>'B) D RI'!S13</f>
        <v>78</v>
      </c>
      <c r="D12" s="181">
        <f>'B) D RI'!AA13</f>
        <v>4088</v>
      </c>
      <c r="E12" s="374">
        <f>'D) Ecrêtage'!M11</f>
        <v>82610.97474358973</v>
      </c>
      <c r="F12" s="378">
        <f>'E) Fact soc'!G17</f>
        <v>1515020.4877690799</v>
      </c>
      <c r="G12" s="375">
        <f>'H) Péréquation directe'!I22</f>
        <v>-2261105.0104731019</v>
      </c>
      <c r="H12" s="378">
        <f>'I) Dépenses thématiques'!O11</f>
        <v>-2222494.0930197225</v>
      </c>
      <c r="I12" s="375">
        <f>'K) Plafonnement aide'!J11</f>
        <v>209113.18687068889</v>
      </c>
      <c r="J12" s="378">
        <f>'J) Plafonnement effort'!I11</f>
        <v>0</v>
      </c>
      <c r="K12" s="375">
        <f>'L) Plafonnement taux'!Q12</f>
        <v>0</v>
      </c>
      <c r="L12" s="373">
        <f t="shared" si="0"/>
        <v>-2759465.4288530555</v>
      </c>
      <c r="M12" s="267">
        <f>'M) Police'!O12</f>
        <v>251245.69442443119</v>
      </c>
      <c r="N12" s="267">
        <f t="shared" si="1"/>
        <v>-2508219.7344286242</v>
      </c>
      <c r="P12" s="328"/>
      <c r="R12" s="381"/>
    </row>
    <row r="13" spans="1:18" s="182" customFormat="1" x14ac:dyDescent="0.25">
      <c r="A13" s="179">
        <f>'B) D RI'!A14</f>
        <v>5408</v>
      </c>
      <c r="B13" s="180" t="str">
        <f>'B) D RI'!B14</f>
        <v>Noville</v>
      </c>
      <c r="C13" s="376">
        <f>'B) D RI'!S14</f>
        <v>78.5</v>
      </c>
      <c r="D13" s="181">
        <f>'B) D RI'!AA14</f>
        <v>1056</v>
      </c>
      <c r="E13" s="374">
        <f>'D) Ecrêtage'!M12</f>
        <v>33419.560339702759</v>
      </c>
      <c r="F13" s="378">
        <f>'E) Fact soc'!G18</f>
        <v>648034.21051753045</v>
      </c>
      <c r="G13" s="375">
        <f>'H) Péréquation directe'!I23</f>
        <v>156034.15639708861</v>
      </c>
      <c r="H13" s="378">
        <f>'I) Dépenses thématiques'!O12</f>
        <v>-113088.00421116635</v>
      </c>
      <c r="I13" s="375">
        <f>'K) Plafonnement aide'!J12</f>
        <v>0</v>
      </c>
      <c r="J13" s="378">
        <f>'J) Plafonnement effort'!I12</f>
        <v>0</v>
      </c>
      <c r="K13" s="375">
        <f>'L) Plafonnement taux'!Q13</f>
        <v>0</v>
      </c>
      <c r="L13" s="373">
        <f t="shared" si="0"/>
        <v>690980.36270345259</v>
      </c>
      <c r="M13" s="267">
        <f>'M) Police'!O13</f>
        <v>104929.27738346871</v>
      </c>
      <c r="N13" s="267">
        <f t="shared" si="1"/>
        <v>795909.64008692128</v>
      </c>
      <c r="P13" s="328"/>
      <c r="R13" s="381"/>
    </row>
    <row r="14" spans="1:18" s="182" customFormat="1" x14ac:dyDescent="0.25">
      <c r="A14" s="179">
        <f>'B) D RI'!A15</f>
        <v>5409</v>
      </c>
      <c r="B14" s="180" t="str">
        <f>'B) D RI'!B15</f>
        <v>Ollon</v>
      </c>
      <c r="C14" s="376">
        <f>'B) D RI'!S15</f>
        <v>68</v>
      </c>
      <c r="D14" s="181">
        <f>'B) D RI'!AA15</f>
        <v>7473</v>
      </c>
      <c r="E14" s="374">
        <f>'D) Ecrêtage'!M13</f>
        <v>366034.73937782802</v>
      </c>
      <c r="F14" s="378">
        <f>'E) Fact soc'!G19</f>
        <v>7484894.4632142717</v>
      </c>
      <c r="G14" s="375">
        <f>'H) Péréquation directe'!I24</f>
        <v>3646332.0995452097</v>
      </c>
      <c r="H14" s="378">
        <f>'I) Dépenses thématiques'!O13</f>
        <v>-1649596.0928383127</v>
      </c>
      <c r="I14" s="375">
        <f>'K) Plafonnement aide'!J13</f>
        <v>0</v>
      </c>
      <c r="J14" s="378">
        <f>'J) Plafonnement effort'!I13</f>
        <v>0</v>
      </c>
      <c r="K14" s="375">
        <f>'L) Plafonnement taux'!Q14</f>
        <v>0</v>
      </c>
      <c r="L14" s="373">
        <f t="shared" si="0"/>
        <v>9481630.4699211679</v>
      </c>
      <c r="M14" s="267">
        <f>'M) Police'!O14</f>
        <v>476549.91600217717</v>
      </c>
      <c r="N14" s="267">
        <f t="shared" si="1"/>
        <v>9958180.3859233446</v>
      </c>
      <c r="P14" s="328"/>
      <c r="R14" s="381"/>
    </row>
    <row r="15" spans="1:18" s="182" customFormat="1" x14ac:dyDescent="0.25">
      <c r="A15" s="179">
        <f>'B) D RI'!A16</f>
        <v>5410</v>
      </c>
      <c r="B15" s="180" t="str">
        <f>'B) D RI'!B16</f>
        <v>Ormont-Dessous</v>
      </c>
      <c r="C15" s="376">
        <f>'B) D RI'!S16</f>
        <v>78.5</v>
      </c>
      <c r="D15" s="181">
        <f>'B) D RI'!AA16</f>
        <v>1105</v>
      </c>
      <c r="E15" s="374">
        <f>'D) Ecrêtage'!M14</f>
        <v>36452.210276008496</v>
      </c>
      <c r="F15" s="378">
        <f>'E) Fact soc'!G20</f>
        <v>669178.04752131249</v>
      </c>
      <c r="G15" s="375">
        <f>'H) Péréquation directe'!I25</f>
        <v>216123.07176954247</v>
      </c>
      <c r="H15" s="378">
        <f>'I) Dépenses thématiques'!O14</f>
        <v>-812171.10112875386</v>
      </c>
      <c r="I15" s="375">
        <f>'K) Plafonnement aide'!J14</f>
        <v>0</v>
      </c>
      <c r="J15" s="378">
        <f>'J) Plafonnement effort'!I14</f>
        <v>0</v>
      </c>
      <c r="K15" s="375">
        <f>'L) Plafonnement taux'!Q15</f>
        <v>0</v>
      </c>
      <c r="L15" s="373">
        <f t="shared" si="0"/>
        <v>73130.018162101158</v>
      </c>
      <c r="M15" s="267">
        <f>'M) Police'!O15</f>
        <v>111150.60384239774</v>
      </c>
      <c r="N15" s="267">
        <f t="shared" si="1"/>
        <v>184280.6220044989</v>
      </c>
      <c r="P15" s="328"/>
      <c r="R15" s="381"/>
    </row>
    <row r="16" spans="1:18" s="182" customFormat="1" x14ac:dyDescent="0.25">
      <c r="A16" s="179">
        <f>'B) D RI'!A17</f>
        <v>5411</v>
      </c>
      <c r="B16" s="180" t="str">
        <f>'B) D RI'!B17</f>
        <v>Ormont-Dessus</v>
      </c>
      <c r="C16" s="376">
        <f>'B) D RI'!S17</f>
        <v>76</v>
      </c>
      <c r="D16" s="181">
        <f>'B) D RI'!AA17</f>
        <v>1479</v>
      </c>
      <c r="E16" s="374">
        <f>'D) Ecrêtage'!M15</f>
        <v>74047.924868421047</v>
      </c>
      <c r="F16" s="378">
        <f>'E) Fact soc'!G21</f>
        <v>1354757.1991872212</v>
      </c>
      <c r="G16" s="375">
        <f>'H) Péréquation directe'!I26</f>
        <v>1128711.9439281109</v>
      </c>
      <c r="H16" s="378">
        <f>'I) Dépenses thématiques'!O15</f>
        <v>-923318.0112290862</v>
      </c>
      <c r="I16" s="375">
        <f>'K) Plafonnement aide'!J15</f>
        <v>0</v>
      </c>
      <c r="J16" s="378">
        <f>'J) Plafonnement effort'!I15</f>
        <v>0</v>
      </c>
      <c r="K16" s="375">
        <f>'L) Plafonnement taux'!Q16</f>
        <v>0</v>
      </c>
      <c r="L16" s="373">
        <f t="shared" si="0"/>
        <v>1560151.1318862461</v>
      </c>
      <c r="M16" s="267">
        <f>'M) Police'!O16</f>
        <v>223756.5090677226</v>
      </c>
      <c r="N16" s="267">
        <f t="shared" si="1"/>
        <v>1783907.6409539687</v>
      </c>
      <c r="P16" s="328"/>
      <c r="R16" s="381"/>
    </row>
    <row r="17" spans="1:18" s="182" customFormat="1" x14ac:dyDescent="0.25">
      <c r="A17" s="179">
        <f>'B) D RI'!A18</f>
        <v>5412</v>
      </c>
      <c r="B17" s="180" t="str">
        <f>'B) D RI'!B18</f>
        <v>Rennaz</v>
      </c>
      <c r="C17" s="376">
        <f>'B) D RI'!S18</f>
        <v>67.5</v>
      </c>
      <c r="D17" s="181">
        <f>'B) D RI'!AA18</f>
        <v>843</v>
      </c>
      <c r="E17" s="374">
        <f>'D) Ecrêtage'!M16</f>
        <v>26224.228148148151</v>
      </c>
      <c r="F17" s="378">
        <f>'E) Fact soc'!G22</f>
        <v>500459.94296183903</v>
      </c>
      <c r="G17" s="375">
        <f>'H) Péréquation directe'!I27</f>
        <v>192542.93600026774</v>
      </c>
      <c r="H17" s="378">
        <f>'I) Dépenses thématiques'!O16</f>
        <v>-100365.64966301576</v>
      </c>
      <c r="I17" s="375">
        <f>'K) Plafonnement aide'!J16</f>
        <v>0</v>
      </c>
      <c r="J17" s="378">
        <f>'J) Plafonnement effort'!I16</f>
        <v>0</v>
      </c>
      <c r="K17" s="375">
        <f>'L) Plafonnement taux'!Q17</f>
        <v>0</v>
      </c>
      <c r="L17" s="373">
        <f t="shared" si="0"/>
        <v>592637.22929909104</v>
      </c>
      <c r="M17" s="267">
        <f>'M) Police'!O17</f>
        <v>80073.034040125465</v>
      </c>
      <c r="N17" s="267">
        <f t="shared" si="1"/>
        <v>672710.26333921647</v>
      </c>
      <c r="P17" s="328"/>
      <c r="R17" s="381"/>
    </row>
    <row r="18" spans="1:18" s="182" customFormat="1" x14ac:dyDescent="0.25">
      <c r="A18" s="179">
        <f>'B) D RI'!A19</f>
        <v>5413</v>
      </c>
      <c r="B18" s="180" t="str">
        <f>'B) D RI'!B19</f>
        <v>Roche</v>
      </c>
      <c r="C18" s="376">
        <f>'B) D RI'!S19</f>
        <v>68</v>
      </c>
      <c r="D18" s="181">
        <f>'B) D RI'!AA19</f>
        <v>1597</v>
      </c>
      <c r="E18" s="374">
        <f>'D) Ecrêtage'!M17</f>
        <v>38924.228382352943</v>
      </c>
      <c r="F18" s="378">
        <f>'E) Fact soc'!G23</f>
        <v>766046.87459570635</v>
      </c>
      <c r="G18" s="375">
        <f>'H) Péréquation directe'!I28</f>
        <v>-189116.49771225825</v>
      </c>
      <c r="H18" s="378">
        <f>'I) Dépenses thématiques'!O17</f>
        <v>0</v>
      </c>
      <c r="I18" s="375">
        <f>'K) Plafonnement aide'!J17</f>
        <v>0</v>
      </c>
      <c r="J18" s="378">
        <f>'J) Plafonnement effort'!I17</f>
        <v>0</v>
      </c>
      <c r="K18" s="375">
        <f>'L) Plafonnement taux'!Q18</f>
        <v>0</v>
      </c>
      <c r="L18" s="373">
        <f t="shared" si="0"/>
        <v>576930.3768834481</v>
      </c>
      <c r="M18" s="267">
        <f>'M) Police'!O18</f>
        <v>122720.28717561344</v>
      </c>
      <c r="N18" s="267">
        <f t="shared" si="1"/>
        <v>699650.66405906156</v>
      </c>
      <c r="P18" s="328"/>
      <c r="R18" s="381"/>
    </row>
    <row r="19" spans="1:18" s="182" customFormat="1" x14ac:dyDescent="0.25">
      <c r="A19" s="179">
        <f>'B) D RI'!A20</f>
        <v>5414</v>
      </c>
      <c r="B19" s="180" t="str">
        <f>'B) D RI'!B20</f>
        <v>Villeneuve</v>
      </c>
      <c r="C19" s="376">
        <f>'B) D RI'!S20</f>
        <v>69</v>
      </c>
      <c r="D19" s="181">
        <f>'B) D RI'!AA20</f>
        <v>5457</v>
      </c>
      <c r="E19" s="374">
        <f>'D) Ecrêtage'!M18</f>
        <v>159863.47130434786</v>
      </c>
      <c r="F19" s="378">
        <f>'E) Fact soc'!G24</f>
        <v>3138632.2764347261</v>
      </c>
      <c r="G19" s="375">
        <f>'H) Péréquation directe'!I29</f>
        <v>-697778.53114329604</v>
      </c>
      <c r="H19" s="378">
        <f>'I) Dépenses thématiques'!O18</f>
        <v>-1535373.4474983043</v>
      </c>
      <c r="I19" s="375">
        <f>'K) Plafonnement aide'!J18</f>
        <v>0</v>
      </c>
      <c r="J19" s="378">
        <f>'J) Plafonnement effort'!I18</f>
        <v>0</v>
      </c>
      <c r="K19" s="375">
        <f>'L) Plafonnement taux'!Q19</f>
        <v>0</v>
      </c>
      <c r="L19" s="373">
        <f t="shared" si="0"/>
        <v>905480.29779312573</v>
      </c>
      <c r="M19" s="267">
        <f>'M) Police'!O19</f>
        <v>494385.8715706488</v>
      </c>
      <c r="N19" s="267">
        <f t="shared" si="1"/>
        <v>1399866.1693637746</v>
      </c>
      <c r="P19" s="328"/>
      <c r="R19" s="381"/>
    </row>
    <row r="20" spans="1:18" s="182" customFormat="1" x14ac:dyDescent="0.25">
      <c r="A20" s="179">
        <f>'B) D RI'!A21</f>
        <v>5415</v>
      </c>
      <c r="B20" s="180" t="str">
        <f>'B) D RI'!B21</f>
        <v>Yvorne</v>
      </c>
      <c r="C20" s="376">
        <f>'B) D RI'!S21</f>
        <v>68.5</v>
      </c>
      <c r="D20" s="181">
        <f>'B) D RI'!AA21</f>
        <v>1061</v>
      </c>
      <c r="E20" s="374">
        <f>'D) Ecrêtage'!M19</f>
        <v>35726.744476885644</v>
      </c>
      <c r="F20" s="378">
        <f>'E) Fact soc'!G25</f>
        <v>662153.06851199665</v>
      </c>
      <c r="G20" s="375">
        <f>'H) Péréquation directe'!I30</f>
        <v>321210.09713547886</v>
      </c>
      <c r="H20" s="378">
        <f>'I) Dépenses thématiques'!O19</f>
        <v>-90732.904483558144</v>
      </c>
      <c r="I20" s="375">
        <f>'K) Plafonnement aide'!J19</f>
        <v>0</v>
      </c>
      <c r="J20" s="378">
        <f>'J) Plafonnement effort'!I19</f>
        <v>0</v>
      </c>
      <c r="K20" s="375">
        <f>'L) Plafonnement taux'!Q20</f>
        <v>0</v>
      </c>
      <c r="L20" s="373">
        <f t="shared" si="0"/>
        <v>892630.26116391737</v>
      </c>
      <c r="M20" s="267">
        <f>'M) Police'!O20</f>
        <v>111573.22329564673</v>
      </c>
      <c r="N20" s="267">
        <f t="shared" si="1"/>
        <v>1004203.4844595641</v>
      </c>
      <c r="P20" s="328"/>
      <c r="R20" s="381"/>
    </row>
    <row r="21" spans="1:18" s="182" customFormat="1" x14ac:dyDescent="0.25">
      <c r="A21" s="179">
        <f>'B) D RI'!A22</f>
        <v>5421</v>
      </c>
      <c r="B21" s="180" t="str">
        <f>'B) D RI'!B22</f>
        <v>Apples</v>
      </c>
      <c r="C21" s="376">
        <f>'B) D RI'!S22</f>
        <v>76</v>
      </c>
      <c r="D21" s="181">
        <f>'B) D RI'!AA22</f>
        <v>1412</v>
      </c>
      <c r="E21" s="374">
        <f>'D) Ecrêtage'!M20</f>
        <v>59005.563421052633</v>
      </c>
      <c r="F21" s="378">
        <f>'E) Fact soc'!G26</f>
        <v>922812.7411839983</v>
      </c>
      <c r="G21" s="375">
        <f>'H) Péréquation directe'!I31</f>
        <v>754381.3377212279</v>
      </c>
      <c r="H21" s="378">
        <f>'I) Dépenses thématiques'!O20</f>
        <v>-273938.78224175691</v>
      </c>
      <c r="I21" s="375">
        <f>'K) Plafonnement aide'!J20</f>
        <v>0</v>
      </c>
      <c r="J21" s="378">
        <f>'J) Plafonnement effort'!I20</f>
        <v>0</v>
      </c>
      <c r="K21" s="375">
        <f>'L) Plafonnement taux'!Q21</f>
        <v>0</v>
      </c>
      <c r="L21" s="373">
        <f t="shared" si="0"/>
        <v>1403255.2966634692</v>
      </c>
      <c r="M21" s="267">
        <f>'M) Police'!O21</f>
        <v>187433.67381385126</v>
      </c>
      <c r="N21" s="267">
        <f t="shared" si="1"/>
        <v>1590688.9704773205</v>
      </c>
      <c r="P21" s="328"/>
      <c r="R21" s="381"/>
    </row>
    <row r="22" spans="1:18" s="182" customFormat="1" x14ac:dyDescent="0.25">
      <c r="A22" s="179">
        <f>'B) D RI'!A23</f>
        <v>5422</v>
      </c>
      <c r="B22" s="180" t="str">
        <f>'B) D RI'!B23</f>
        <v>Aubonne</v>
      </c>
      <c r="C22" s="376">
        <f>'B) D RI'!S23</f>
        <v>68</v>
      </c>
      <c r="D22" s="181">
        <f>'B) D RI'!AA23</f>
        <v>3272</v>
      </c>
      <c r="E22" s="374">
        <f>'D) Ecrêtage'!M21</f>
        <v>212504.17047865759</v>
      </c>
      <c r="F22" s="378">
        <f>'E) Fact soc'!G27</f>
        <v>4585383.8257899387</v>
      </c>
      <c r="G22" s="375">
        <f>'H) Péréquation directe'!I32</f>
        <v>3073671.2681910065</v>
      </c>
      <c r="H22" s="378">
        <f>'I) Dépenses thématiques'!O21</f>
        <v>0</v>
      </c>
      <c r="I22" s="375">
        <f>'K) Plafonnement aide'!J21</f>
        <v>0</v>
      </c>
      <c r="J22" s="378">
        <f>'J) Plafonnement effort'!I21</f>
        <v>0</v>
      </c>
      <c r="K22" s="375">
        <f>'L) Plafonnement taux'!Q22</f>
        <v>0</v>
      </c>
      <c r="L22" s="373">
        <f t="shared" si="0"/>
        <v>7659055.0939809456</v>
      </c>
      <c r="M22" s="267">
        <f>'M) Police'!O22</f>
        <v>560449.41413425514</v>
      </c>
      <c r="N22" s="267">
        <f t="shared" si="1"/>
        <v>8219504.5081152003</v>
      </c>
      <c r="P22" s="328"/>
      <c r="R22" s="381"/>
    </row>
    <row r="23" spans="1:18" s="182" customFormat="1" x14ac:dyDescent="0.25">
      <c r="A23" s="179">
        <f>'B) D RI'!A24</f>
        <v>5423</v>
      </c>
      <c r="B23" s="180" t="str">
        <f>'B) D RI'!B24</f>
        <v>Ballens</v>
      </c>
      <c r="C23" s="376">
        <f>'B) D RI'!S24</f>
        <v>69</v>
      </c>
      <c r="D23" s="181">
        <f>'B) D RI'!AA24</f>
        <v>508</v>
      </c>
      <c r="E23" s="374">
        <f>'D) Ecrêtage'!M22</f>
        <v>15358.055362318841</v>
      </c>
      <c r="F23" s="378">
        <f>'E) Fact soc'!G28</f>
        <v>242431.56127653297</v>
      </c>
      <c r="G23" s="375">
        <f>'H) Péréquation directe'!I33</f>
        <v>93323.005463693931</v>
      </c>
      <c r="H23" s="378">
        <f>'I) Dépenses thématiques'!O22</f>
        <v>-59108.423254097201</v>
      </c>
      <c r="I23" s="375">
        <f>'K) Plafonnement aide'!J22</f>
        <v>0</v>
      </c>
      <c r="J23" s="378">
        <f>'J) Plafonnement effort'!I22</f>
        <v>0</v>
      </c>
      <c r="K23" s="375">
        <f>'L) Plafonnement taux'!Q23</f>
        <v>0</v>
      </c>
      <c r="L23" s="373">
        <f t="shared" si="0"/>
        <v>276646.1434861297</v>
      </c>
      <c r="M23" s="267">
        <f>'M) Police'!O23</f>
        <v>48724.654189078559</v>
      </c>
      <c r="N23" s="267">
        <f t="shared" si="1"/>
        <v>325370.79767520825</v>
      </c>
      <c r="P23" s="328"/>
      <c r="R23" s="381"/>
    </row>
    <row r="24" spans="1:18" s="182" customFormat="1" x14ac:dyDescent="0.25">
      <c r="A24" s="179">
        <f>'B) D RI'!A25</f>
        <v>5424</v>
      </c>
      <c r="B24" s="180" t="str">
        <f>'B) D RI'!B25</f>
        <v>Berolle</v>
      </c>
      <c r="C24" s="376">
        <f>'B) D RI'!S25</f>
        <v>77</v>
      </c>
      <c r="D24" s="181">
        <f>'B) D RI'!AA25</f>
        <v>301</v>
      </c>
      <c r="E24" s="374">
        <f>'D) Ecrêtage'!M23</f>
        <v>9058.2428571428572</v>
      </c>
      <c r="F24" s="378">
        <f>'E) Fact soc'!G29</f>
        <v>160577.22302096285</v>
      </c>
      <c r="G24" s="375">
        <f>'H) Péréquation directe'!I34</f>
        <v>32386.044205633021</v>
      </c>
      <c r="H24" s="378">
        <f>'I) Dépenses thématiques'!O23</f>
        <v>-27706.487942930064</v>
      </c>
      <c r="I24" s="375">
        <f>'K) Plafonnement aide'!J23</f>
        <v>0</v>
      </c>
      <c r="J24" s="378">
        <f>'J) Plafonnement effort'!I23</f>
        <v>0</v>
      </c>
      <c r="K24" s="375">
        <f>'L) Plafonnement taux'!Q24</f>
        <v>0</v>
      </c>
      <c r="L24" s="373">
        <f t="shared" si="0"/>
        <v>165256.77928366582</v>
      </c>
      <c r="M24" s="267">
        <f>'M) Police'!O24</f>
        <v>28623.551050517643</v>
      </c>
      <c r="N24" s="267">
        <f t="shared" si="1"/>
        <v>193880.33033418347</v>
      </c>
      <c r="P24" s="328"/>
      <c r="R24" s="381"/>
    </row>
    <row r="25" spans="1:18" s="182" customFormat="1" x14ac:dyDescent="0.25">
      <c r="A25" s="179">
        <f>'B) D RI'!A26</f>
        <v>5425</v>
      </c>
      <c r="B25" s="180" t="str">
        <f>'B) D RI'!B26</f>
        <v>Bière</v>
      </c>
      <c r="C25" s="376">
        <f>'B) D RI'!S26</f>
        <v>68</v>
      </c>
      <c r="D25" s="181">
        <f>'B) D RI'!AA26</f>
        <v>1546</v>
      </c>
      <c r="E25" s="374">
        <f>'D) Ecrêtage'!M24</f>
        <v>39413.041470588236</v>
      </c>
      <c r="F25" s="378">
        <f>'E) Fact soc'!G30</f>
        <v>783224.18709232565</v>
      </c>
      <c r="G25" s="375">
        <f>'H) Péréquation directe'!I35</f>
        <v>-110701.84945306415</v>
      </c>
      <c r="H25" s="378">
        <f>'I) Dépenses thématiques'!O24</f>
        <v>-488581.50492897676</v>
      </c>
      <c r="I25" s="375">
        <f>'K) Plafonnement aide'!J24</f>
        <v>0</v>
      </c>
      <c r="J25" s="378">
        <f>'J) Plafonnement effort'!I24</f>
        <v>0</v>
      </c>
      <c r="K25" s="375">
        <f>'L) Plafonnement taux'!Q25</f>
        <v>0</v>
      </c>
      <c r="L25" s="373">
        <f t="shared" si="0"/>
        <v>183940.83271028474</v>
      </c>
      <c r="M25" s="267">
        <f>'M) Police'!O25</f>
        <v>124204.44533972006</v>
      </c>
      <c r="N25" s="267">
        <f t="shared" si="1"/>
        <v>308145.2780500048</v>
      </c>
      <c r="P25" s="328"/>
      <c r="R25" s="381"/>
    </row>
    <row r="26" spans="1:18" s="182" customFormat="1" x14ac:dyDescent="0.25">
      <c r="A26" s="179">
        <f>'B) D RI'!A27</f>
        <v>5426</v>
      </c>
      <c r="B26" s="180" t="str">
        <f>'B) D RI'!B27</f>
        <v>Bougy-Villars</v>
      </c>
      <c r="C26" s="376">
        <f>'B) D RI'!S27</f>
        <v>62</v>
      </c>
      <c r="D26" s="181">
        <f>'B) D RI'!AA27</f>
        <v>467</v>
      </c>
      <c r="E26" s="374">
        <f>'D) Ecrêtage'!M25</f>
        <v>39109.793972366126</v>
      </c>
      <c r="F26" s="378">
        <f>'E) Fact soc'!G31</f>
        <v>3857522.2878023651</v>
      </c>
      <c r="G26" s="375">
        <f>'H) Péréquation directe'!I36</f>
        <v>689481.32972888392</v>
      </c>
      <c r="H26" s="378">
        <f>'I) Dépenses thématiques'!O25</f>
        <v>0</v>
      </c>
      <c r="I26" s="375">
        <f>'K) Plafonnement aide'!J25</f>
        <v>0</v>
      </c>
      <c r="J26" s="378">
        <f>'J) Plafonnement effort'!I25</f>
        <v>-2631456.2828538297</v>
      </c>
      <c r="K26" s="375">
        <f>'L) Plafonnement taux'!Q26</f>
        <v>0</v>
      </c>
      <c r="L26" s="373">
        <f t="shared" si="0"/>
        <v>1915547.3346774196</v>
      </c>
      <c r="M26" s="267">
        <f>'M) Police'!O26</f>
        <v>91421.55439532215</v>
      </c>
      <c r="N26" s="267">
        <f t="shared" si="1"/>
        <v>2006968.8890727418</v>
      </c>
      <c r="P26" s="328"/>
      <c r="R26" s="381"/>
    </row>
    <row r="27" spans="1:18" s="182" customFormat="1" x14ac:dyDescent="0.25">
      <c r="A27" s="179">
        <f>'B) D RI'!A28</f>
        <v>5427</v>
      </c>
      <c r="B27" s="180" t="str">
        <f>'B) D RI'!B28</f>
        <v>Féchy</v>
      </c>
      <c r="C27" s="376">
        <f>'B) D RI'!S28</f>
        <v>64</v>
      </c>
      <c r="D27" s="181">
        <f>'B) D RI'!AA28</f>
        <v>887</v>
      </c>
      <c r="E27" s="374">
        <f>'D) Ecrêtage'!M26</f>
        <v>64993.710901769446</v>
      </c>
      <c r="F27" s="378">
        <f>'E) Fact soc'!G32</f>
        <v>1643479.0629502658</v>
      </c>
      <c r="G27" s="375">
        <f>'H) Péréquation directe'!I37</f>
        <v>1134862.2326559313</v>
      </c>
      <c r="H27" s="378">
        <f>'I) Dépenses thématiques'!O26</f>
        <v>0</v>
      </c>
      <c r="I27" s="375">
        <f>'K) Plafonnement aide'!J26</f>
        <v>0</v>
      </c>
      <c r="J27" s="378">
        <f>'J) Plafonnement effort'!I26</f>
        <v>0</v>
      </c>
      <c r="K27" s="375">
        <f>'L) Plafonnement taux'!Q27</f>
        <v>0</v>
      </c>
      <c r="L27" s="373">
        <f t="shared" si="0"/>
        <v>2778341.2956061969</v>
      </c>
      <c r="M27" s="267">
        <f>'M) Police'!O27</f>
        <v>161547.63233084924</v>
      </c>
      <c r="N27" s="267">
        <f t="shared" si="1"/>
        <v>2939888.9279370462</v>
      </c>
      <c r="P27" s="328"/>
      <c r="R27" s="381"/>
    </row>
    <row r="28" spans="1:18" s="182" customFormat="1" x14ac:dyDescent="0.25">
      <c r="A28" s="179">
        <f>'B) D RI'!A29</f>
        <v>5428</v>
      </c>
      <c r="B28" s="180" t="str">
        <f>'B) D RI'!B29</f>
        <v>Gimel</v>
      </c>
      <c r="C28" s="376">
        <f>'B) D RI'!S29</f>
        <v>71.5</v>
      </c>
      <c r="D28" s="181">
        <f>'B) D RI'!AA29</f>
        <v>1948</v>
      </c>
      <c r="E28" s="374">
        <f>'D) Ecrêtage'!M27</f>
        <v>58004.622727272719</v>
      </c>
      <c r="F28" s="378">
        <f>'E) Fact soc'!G33</f>
        <v>1191700.9579992131</v>
      </c>
      <c r="G28" s="375">
        <f>'H) Péréquation directe'!I38</f>
        <v>48250.656527320389</v>
      </c>
      <c r="H28" s="378">
        <f>'I) Dépenses thématiques'!O27</f>
        <v>-297495.89493323612</v>
      </c>
      <c r="I28" s="375">
        <f>'K) Plafonnement aide'!J27</f>
        <v>0</v>
      </c>
      <c r="J28" s="378">
        <f>'J) Plafonnement effort'!I27</f>
        <v>0</v>
      </c>
      <c r="K28" s="375">
        <f>'L) Plafonnement taux'!Q28</f>
        <v>0</v>
      </c>
      <c r="L28" s="373">
        <f t="shared" si="0"/>
        <v>942455.71959329746</v>
      </c>
      <c r="M28" s="267">
        <f>'M) Police'!O28</f>
        <v>182434.89729585851</v>
      </c>
      <c r="N28" s="267">
        <f t="shared" si="1"/>
        <v>1124890.6168891559</v>
      </c>
      <c r="P28" s="328"/>
      <c r="R28" s="381"/>
    </row>
    <row r="29" spans="1:18" s="182" customFormat="1" x14ac:dyDescent="0.25">
      <c r="A29" s="179">
        <f>'B) D RI'!A30</f>
        <v>5429</v>
      </c>
      <c r="B29" s="180" t="str">
        <f>'B) D RI'!B30</f>
        <v>Longirod</v>
      </c>
      <c r="C29" s="376">
        <f>'B) D RI'!S30</f>
        <v>81</v>
      </c>
      <c r="D29" s="181">
        <f>'B) D RI'!AA30</f>
        <v>460</v>
      </c>
      <c r="E29" s="374">
        <f>'D) Ecrêtage'!M28</f>
        <v>12171.349506172839</v>
      </c>
      <c r="F29" s="378">
        <f>'E) Fact soc'!G34</f>
        <v>267512.75049324293</v>
      </c>
      <c r="G29" s="375">
        <f>'H) Péréquation directe'!I39</f>
        <v>-43328.504510470608</v>
      </c>
      <c r="H29" s="378">
        <f>'I) Dépenses thématiques'!O28</f>
        <v>-109565.11537741064</v>
      </c>
      <c r="I29" s="375">
        <f>'K) Plafonnement aide'!J28</f>
        <v>0</v>
      </c>
      <c r="J29" s="378">
        <f>'J) Plafonnement effort'!I28</f>
        <v>0</v>
      </c>
      <c r="K29" s="375">
        <f>'L) Plafonnement taux'!Q29</f>
        <v>0</v>
      </c>
      <c r="L29" s="373">
        <f t="shared" si="0"/>
        <v>114619.13060536169</v>
      </c>
      <c r="M29" s="267">
        <f>'M) Police'!O29</f>
        <v>37980.453236958681</v>
      </c>
      <c r="N29" s="267">
        <f t="shared" si="1"/>
        <v>152599.58384232037</v>
      </c>
      <c r="P29" s="328"/>
      <c r="R29" s="381"/>
    </row>
    <row r="30" spans="1:18" s="182" customFormat="1" x14ac:dyDescent="0.25">
      <c r="A30" s="179">
        <f>'B) D RI'!A31</f>
        <v>5430</v>
      </c>
      <c r="B30" s="180" t="str">
        <f>'B) D RI'!B31</f>
        <v>Marchissy</v>
      </c>
      <c r="C30" s="376">
        <f>'B) D RI'!S31</f>
        <v>79</v>
      </c>
      <c r="D30" s="181">
        <f>'B) D RI'!AA31</f>
        <v>430</v>
      </c>
      <c r="E30" s="374">
        <f>'D) Ecrêtage'!M29</f>
        <v>10573.165189873416</v>
      </c>
      <c r="F30" s="378">
        <f>'E) Fact soc'!G35</f>
        <v>207435.65992393947</v>
      </c>
      <c r="G30" s="375">
        <f>'H) Péréquation directe'!I40</f>
        <v>-65306.070505790762</v>
      </c>
      <c r="H30" s="378">
        <f>'I) Dépenses thématiques'!O29</f>
        <v>-132599.86206066626</v>
      </c>
      <c r="I30" s="375">
        <f>'K) Plafonnement aide'!J29</f>
        <v>0</v>
      </c>
      <c r="J30" s="378">
        <f>'J) Plafonnement effort'!I29</f>
        <v>0</v>
      </c>
      <c r="K30" s="375">
        <f>'L) Plafonnement taux'!Q30</f>
        <v>0</v>
      </c>
      <c r="L30" s="373">
        <f t="shared" si="0"/>
        <v>9529.7273574824503</v>
      </c>
      <c r="M30" s="267">
        <f>'M) Police'!O30</f>
        <v>32877.423972985409</v>
      </c>
      <c r="N30" s="267">
        <f t="shared" si="1"/>
        <v>42407.151330467859</v>
      </c>
      <c r="P30" s="328"/>
      <c r="R30" s="381"/>
    </row>
    <row r="31" spans="1:18" s="182" customFormat="1" x14ac:dyDescent="0.25">
      <c r="A31" s="179">
        <f>'B) D RI'!A32</f>
        <v>5431</v>
      </c>
      <c r="B31" s="180" t="str">
        <f>'B) D RI'!B32</f>
        <v>Mollens</v>
      </c>
      <c r="C31" s="376">
        <f>'B) D RI'!S32</f>
        <v>74</v>
      </c>
      <c r="D31" s="181">
        <f>'B) D RI'!AA32</f>
        <v>295</v>
      </c>
      <c r="E31" s="374">
        <f>'D) Ecrêtage'!M30</f>
        <v>11206.031081081082</v>
      </c>
      <c r="F31" s="378">
        <f>'E) Fact soc'!G36</f>
        <v>194294.84080726534</v>
      </c>
      <c r="G31" s="375">
        <f>'H) Péréquation directe'!I41</f>
        <v>134481.0227711047</v>
      </c>
      <c r="H31" s="378">
        <f>'I) Dépenses thématiques'!O30</f>
        <v>-18049.934531929546</v>
      </c>
      <c r="I31" s="375">
        <f>'K) Plafonnement aide'!J30</f>
        <v>0</v>
      </c>
      <c r="J31" s="378">
        <f>'J) Plafonnement effort'!I30</f>
        <v>0</v>
      </c>
      <c r="K31" s="375">
        <f>'L) Plafonnement taux'!Q31</f>
        <v>0</v>
      </c>
      <c r="L31" s="373">
        <f t="shared" si="0"/>
        <v>310725.92904644052</v>
      </c>
      <c r="M31" s="267">
        <f>'M) Police'!O31</f>
        <v>35687.091913828655</v>
      </c>
      <c r="N31" s="267">
        <f t="shared" si="1"/>
        <v>346413.02096026915</v>
      </c>
      <c r="P31" s="328"/>
      <c r="R31" s="381"/>
    </row>
    <row r="32" spans="1:18" s="182" customFormat="1" x14ac:dyDescent="0.25">
      <c r="A32" s="179">
        <f>'B) D RI'!A33</f>
        <v>5432</v>
      </c>
      <c r="B32" s="180" t="str">
        <f>'B) D RI'!B33</f>
        <v>Montherod</v>
      </c>
      <c r="C32" s="376">
        <f>'B) D RI'!S33</f>
        <v>78</v>
      </c>
      <c r="D32" s="181">
        <f>'B) D RI'!AA33</f>
        <v>522</v>
      </c>
      <c r="E32" s="374">
        <f>'D) Ecrêtage'!M31</f>
        <v>17725.419230769232</v>
      </c>
      <c r="F32" s="378">
        <f>'E) Fact soc'!G37</f>
        <v>326822.10097195103</v>
      </c>
      <c r="G32" s="375">
        <f>'H) Péréquation directe'!I42</f>
        <v>138098.07719399768</v>
      </c>
      <c r="H32" s="378">
        <f>'I) Dépenses thématiques'!O31</f>
        <v>-10309.388649383181</v>
      </c>
      <c r="I32" s="375">
        <f>'K) Plafonnement aide'!J31</f>
        <v>0</v>
      </c>
      <c r="J32" s="378">
        <f>'J) Plafonnement effort'!I31</f>
        <v>0</v>
      </c>
      <c r="K32" s="375">
        <f>'L) Plafonnement taux'!Q32</f>
        <v>0</v>
      </c>
      <c r="L32" s="373">
        <f t="shared" si="0"/>
        <v>454610.78951656551</v>
      </c>
      <c r="M32" s="267">
        <f>'M) Police'!O32</f>
        <v>56048.757727107361</v>
      </c>
      <c r="N32" s="267">
        <f t="shared" si="1"/>
        <v>510659.54724367289</v>
      </c>
      <c r="P32" s="328"/>
      <c r="R32" s="381"/>
    </row>
    <row r="33" spans="1:18" s="182" customFormat="1" x14ac:dyDescent="0.25">
      <c r="A33" s="179">
        <f>'B) D RI'!A34</f>
        <v>5434</v>
      </c>
      <c r="B33" s="180" t="str">
        <f>'B) D RI'!B34</f>
        <v>Saint-George</v>
      </c>
      <c r="C33" s="376">
        <f>'B) D RI'!S34</f>
        <v>68.5</v>
      </c>
      <c r="D33" s="181">
        <f>'B) D RI'!AA34</f>
        <v>991</v>
      </c>
      <c r="E33" s="374">
        <f>'D) Ecrêtage'!M32</f>
        <v>35895.731094890507</v>
      </c>
      <c r="F33" s="378">
        <f>'E) Fact soc'!G38</f>
        <v>646624.98454410268</v>
      </c>
      <c r="G33" s="375">
        <f>'H) Péréquation directe'!I43</f>
        <v>408834.13241734728</v>
      </c>
      <c r="H33" s="378">
        <f>'I) Dépenses thématiques'!O32</f>
        <v>-73179.877209537837</v>
      </c>
      <c r="I33" s="375">
        <f>'K) Plafonnement aide'!J32</f>
        <v>0</v>
      </c>
      <c r="J33" s="378">
        <f>'J) Plafonnement effort'!I32</f>
        <v>0</v>
      </c>
      <c r="K33" s="375">
        <f>'L) Plafonnement taux'!Q33</f>
        <v>0</v>
      </c>
      <c r="L33" s="373">
        <f t="shared" si="0"/>
        <v>982279.23975191195</v>
      </c>
      <c r="M33" s="267">
        <f>'M) Police'!O33</f>
        <v>112668.48819628073</v>
      </c>
      <c r="N33" s="267">
        <f t="shared" si="1"/>
        <v>1094947.7279481927</v>
      </c>
      <c r="P33" s="328"/>
      <c r="R33" s="381"/>
    </row>
    <row r="34" spans="1:18" s="182" customFormat="1" x14ac:dyDescent="0.25">
      <c r="A34" s="179">
        <f>'B) D RI'!A35</f>
        <v>5435</v>
      </c>
      <c r="B34" s="180" t="str">
        <f>'B) D RI'!B35</f>
        <v>Saint-Livres</v>
      </c>
      <c r="C34" s="376">
        <f>'B) D RI'!S35</f>
        <v>69</v>
      </c>
      <c r="D34" s="181">
        <f>'B) D RI'!AA35</f>
        <v>689</v>
      </c>
      <c r="E34" s="374">
        <f>'D) Ecrêtage'!M33</f>
        <v>22398.12956521739</v>
      </c>
      <c r="F34" s="378">
        <f>'E) Fact soc'!G39</f>
        <v>348678.33798485994</v>
      </c>
      <c r="G34" s="375">
        <f>'H) Péréquation directe'!I44</f>
        <v>185832.09157411975</v>
      </c>
      <c r="H34" s="378">
        <f>'I) Dépenses thématiques'!O33</f>
        <v>-88461.276636179537</v>
      </c>
      <c r="I34" s="375">
        <f>'K) Plafonnement aide'!J33</f>
        <v>0</v>
      </c>
      <c r="J34" s="378">
        <f>'J) Plafonnement effort'!I33</f>
        <v>0</v>
      </c>
      <c r="K34" s="375">
        <f>'L) Plafonnement taux'!Q34</f>
        <v>0</v>
      </c>
      <c r="L34" s="373">
        <f t="shared" si="0"/>
        <v>446049.15292280016</v>
      </c>
      <c r="M34" s="267">
        <f>'M) Police'!O34</f>
        <v>70554.135013908657</v>
      </c>
      <c r="N34" s="267">
        <f t="shared" si="1"/>
        <v>516603.28793670883</v>
      </c>
      <c r="P34" s="328"/>
      <c r="R34" s="381"/>
    </row>
    <row r="35" spans="1:18" s="182" customFormat="1" x14ac:dyDescent="0.25">
      <c r="A35" s="179">
        <f>'B) D RI'!A36</f>
        <v>5436</v>
      </c>
      <c r="B35" s="180" t="str">
        <f>'B) D RI'!B36</f>
        <v>Saint-Oyens</v>
      </c>
      <c r="C35" s="376">
        <f>'B) D RI'!S36</f>
        <v>81</v>
      </c>
      <c r="D35" s="181">
        <f>'B) D RI'!AA36</f>
        <v>350</v>
      </c>
      <c r="E35" s="374">
        <f>'D) Ecrêtage'!M34</f>
        <v>10474.604814814815</v>
      </c>
      <c r="F35" s="378">
        <f>'E) Fact soc'!G40</f>
        <v>190610.4554646324</v>
      </c>
      <c r="G35" s="375">
        <f>'H) Péréquation directe'!I45</f>
        <v>21616.722891637328</v>
      </c>
      <c r="H35" s="378">
        <f>'I) Dépenses thématiques'!O34</f>
        <v>-43776.050144294335</v>
      </c>
      <c r="I35" s="375">
        <f>'K) Plafonnement aide'!J34</f>
        <v>0</v>
      </c>
      <c r="J35" s="378">
        <f>'J) Plafonnement effort'!I34</f>
        <v>0</v>
      </c>
      <c r="K35" s="375">
        <f>'L) Plafonnement taux'!Q35</f>
        <v>0</v>
      </c>
      <c r="L35" s="373">
        <f t="shared" si="0"/>
        <v>168451.12821197539</v>
      </c>
      <c r="M35" s="267">
        <f>'M) Police'!O35</f>
        <v>33082.826413403847</v>
      </c>
      <c r="N35" s="267">
        <f t="shared" si="1"/>
        <v>201533.95462537924</v>
      </c>
      <c r="P35" s="328"/>
      <c r="R35" s="381"/>
    </row>
    <row r="36" spans="1:18" s="182" customFormat="1" x14ac:dyDescent="0.25">
      <c r="A36" s="179">
        <f>'B) D RI'!A37</f>
        <v>5437</v>
      </c>
      <c r="B36" s="180" t="str">
        <f>'B) D RI'!B37</f>
        <v>Saubraz</v>
      </c>
      <c r="C36" s="376">
        <f>'B) D RI'!S37</f>
        <v>80</v>
      </c>
      <c r="D36" s="181">
        <f>'B) D RI'!AA37</f>
        <v>420</v>
      </c>
      <c r="E36" s="374">
        <f>'D) Ecrêtage'!M35</f>
        <v>10138.793125</v>
      </c>
      <c r="F36" s="378">
        <f>'E) Fact soc'!G41</f>
        <v>204937.26520195827</v>
      </c>
      <c r="G36" s="375">
        <f>'H) Péréquation directe'!I46</f>
        <v>-77660.669286602759</v>
      </c>
      <c r="H36" s="378">
        <f>'I) Dépenses thématiques'!O35</f>
        <v>-48448.200477133607</v>
      </c>
      <c r="I36" s="375">
        <f>'K) Plafonnement aide'!J35</f>
        <v>0</v>
      </c>
      <c r="J36" s="378">
        <f>'J) Plafonnement effort'!I35</f>
        <v>0</v>
      </c>
      <c r="K36" s="375">
        <f>'L) Plafonnement taux'!Q36</f>
        <v>0</v>
      </c>
      <c r="L36" s="373">
        <f t="shared" si="0"/>
        <v>78828.395438221909</v>
      </c>
      <c r="M36" s="267">
        <f>'M) Police'!O36</f>
        <v>31975.782060000754</v>
      </c>
      <c r="N36" s="267">
        <f t="shared" si="1"/>
        <v>110804.17749822266</v>
      </c>
      <c r="P36" s="328"/>
      <c r="R36" s="381"/>
    </row>
    <row r="37" spans="1:18" s="182" customFormat="1" x14ac:dyDescent="0.25">
      <c r="A37" s="179">
        <f>'B) D RI'!A38</f>
        <v>5451</v>
      </c>
      <c r="B37" s="180" t="str">
        <f>'B) D RI'!B38</f>
        <v>Avenches</v>
      </c>
      <c r="C37" s="376">
        <f>'B) D RI'!S38</f>
        <v>68</v>
      </c>
      <c r="D37" s="181">
        <f>'B) D RI'!AA38</f>
        <v>4129</v>
      </c>
      <c r="E37" s="374">
        <f>'D) Ecrêtage'!M36</f>
        <v>109207.82382352941</v>
      </c>
      <c r="F37" s="378">
        <f>'E) Fact soc'!G42</f>
        <v>2236478.1333562289</v>
      </c>
      <c r="G37" s="375">
        <f>'H) Péréquation directe'!I47</f>
        <v>-727500.04195767408</v>
      </c>
      <c r="H37" s="378">
        <f>'I) Dépenses thématiques'!O36</f>
        <v>-1655074.0035269</v>
      </c>
      <c r="I37" s="375">
        <f>'K) Plafonnement aide'!J36</f>
        <v>0</v>
      </c>
      <c r="J37" s="378">
        <f>'J) Plafonnement effort'!I36</f>
        <v>0</v>
      </c>
      <c r="K37" s="375">
        <f>'L) Plafonnement taux'!Q37</f>
        <v>0</v>
      </c>
      <c r="L37" s="373">
        <f t="shared" si="0"/>
        <v>-146095.91212834511</v>
      </c>
      <c r="M37" s="267">
        <f>'M) Police'!O37</f>
        <v>334278.34953861427</v>
      </c>
      <c r="N37" s="267">
        <f t="shared" si="1"/>
        <v>188182.43741026917</v>
      </c>
      <c r="P37" s="328"/>
      <c r="R37" s="381"/>
    </row>
    <row r="38" spans="1:18" s="182" customFormat="1" x14ac:dyDescent="0.25">
      <c r="A38" s="179">
        <f>'B) D RI'!A39</f>
        <v>5456</v>
      </c>
      <c r="B38" s="180" t="str">
        <f>'B) D RI'!B39</f>
        <v>Cudrefin</v>
      </c>
      <c r="C38" s="376">
        <f>'B) D RI'!S39</f>
        <v>59</v>
      </c>
      <c r="D38" s="181">
        <f>'B) D RI'!AA39</f>
        <v>1555</v>
      </c>
      <c r="E38" s="374">
        <f>'D) Ecrêtage'!M37</f>
        <v>51373.818644067804</v>
      </c>
      <c r="F38" s="378">
        <f>'E) Fact soc'!G43</f>
        <v>863474.26668898389</v>
      </c>
      <c r="G38" s="375">
        <f>'H) Péréquation directe'!I48</f>
        <v>411146.17521479283</v>
      </c>
      <c r="H38" s="378">
        <f>'I) Dépenses thématiques'!O37</f>
        <v>-298073.0478532238</v>
      </c>
      <c r="I38" s="375">
        <f>'K) Plafonnement aide'!J37</f>
        <v>0</v>
      </c>
      <c r="J38" s="378">
        <f>'J) Plafonnement effort'!I37</f>
        <v>0</v>
      </c>
      <c r="K38" s="375">
        <f>'L) Plafonnement taux'!Q38</f>
        <v>0</v>
      </c>
      <c r="L38" s="373">
        <f t="shared" si="0"/>
        <v>976547.39405055298</v>
      </c>
      <c r="M38" s="267">
        <f>'M) Police'!O38</f>
        <v>160070.45107940756</v>
      </c>
      <c r="N38" s="267">
        <f t="shared" si="1"/>
        <v>1136617.8451299604</v>
      </c>
      <c r="P38" s="328"/>
      <c r="R38" s="381"/>
    </row>
    <row r="39" spans="1:18" s="182" customFormat="1" x14ac:dyDescent="0.25">
      <c r="A39" s="179">
        <f>'B) D RI'!A40</f>
        <v>5458</v>
      </c>
      <c r="B39" s="180" t="str">
        <f>'B) D RI'!B40</f>
        <v>Faoug</v>
      </c>
      <c r="C39" s="376">
        <f>'B) D RI'!S40</f>
        <v>64</v>
      </c>
      <c r="D39" s="181">
        <f>'B) D RI'!AA40</f>
        <v>870</v>
      </c>
      <c r="E39" s="374">
        <f>'D) Ecrêtage'!M38</f>
        <v>31692.092968750003</v>
      </c>
      <c r="F39" s="378">
        <f>'E) Fact soc'!G44</f>
        <v>552979.47068260692</v>
      </c>
      <c r="G39" s="375">
        <f>'H) Péréquation directe'!I49</f>
        <v>384014.3179686509</v>
      </c>
      <c r="H39" s="378">
        <f>'I) Dépenses thématiques'!O38</f>
        <v>-75586.17327819702</v>
      </c>
      <c r="I39" s="375">
        <f>'K) Plafonnement aide'!J38</f>
        <v>0</v>
      </c>
      <c r="J39" s="378">
        <f>'J) Plafonnement effort'!I38</f>
        <v>0</v>
      </c>
      <c r="K39" s="375">
        <f>'L) Plafonnement taux'!Q39</f>
        <v>0</v>
      </c>
      <c r="L39" s="373">
        <f t="shared" si="0"/>
        <v>861407.61537306069</v>
      </c>
      <c r="M39" s="267">
        <f>'M) Police'!O39</f>
        <v>99394.977581289219</v>
      </c>
      <c r="N39" s="267">
        <f t="shared" si="1"/>
        <v>960802.59295434994</v>
      </c>
      <c r="P39" s="328"/>
      <c r="R39" s="381"/>
    </row>
    <row r="40" spans="1:18" s="182" customFormat="1" x14ac:dyDescent="0.25">
      <c r="A40" s="179">
        <f>'B) D RI'!A41</f>
        <v>5464</v>
      </c>
      <c r="B40" s="180" t="str">
        <f>'B) D RI'!B41</f>
        <v>Vully-les-Lacs</v>
      </c>
      <c r="C40" s="376">
        <f>'B) D RI'!S41</f>
        <v>67</v>
      </c>
      <c r="D40" s="181">
        <f>'B) D RI'!AA41</f>
        <v>2935</v>
      </c>
      <c r="E40" s="374">
        <f>'D) Ecrêtage'!M39</f>
        <v>96310.385124378095</v>
      </c>
      <c r="F40" s="378">
        <f>'E) Fact soc'!G45</f>
        <v>1987687.0748046502</v>
      </c>
      <c r="G40" s="375">
        <f>'H) Péréquation directe'!I50</f>
        <v>388423.57269347296</v>
      </c>
      <c r="H40" s="378">
        <f>'I) Dépenses thématiques'!O39</f>
        <v>-537439.53034091648</v>
      </c>
      <c r="I40" s="375">
        <f>'K) Plafonnement aide'!J39</f>
        <v>0</v>
      </c>
      <c r="J40" s="378">
        <f>'J) Plafonnement effort'!I39</f>
        <v>0</v>
      </c>
      <c r="K40" s="375">
        <f>'L) Plafonnement taux'!Q40</f>
        <v>0</v>
      </c>
      <c r="L40" s="373">
        <f t="shared" si="0"/>
        <v>1838671.1171572069</v>
      </c>
      <c r="M40" s="267">
        <f>'M) Police'!O40</f>
        <v>300851.42011861037</v>
      </c>
      <c r="N40" s="267">
        <f t="shared" si="1"/>
        <v>2139522.5372758172</v>
      </c>
      <c r="P40" s="328"/>
      <c r="R40" s="381"/>
    </row>
    <row r="41" spans="1:18" s="182" customFormat="1" x14ac:dyDescent="0.25">
      <c r="A41" s="179">
        <f>'B) D RI'!A42</f>
        <v>5471</v>
      </c>
      <c r="B41" s="180" t="str">
        <f>'B) D RI'!B42</f>
        <v>Bettens</v>
      </c>
      <c r="C41" s="376">
        <f>'B) D RI'!S42</f>
        <v>70</v>
      </c>
      <c r="D41" s="181">
        <f>'B) D RI'!AA42</f>
        <v>584</v>
      </c>
      <c r="E41" s="374">
        <f>'D) Ecrêtage'!M40</f>
        <v>16449.086587301586</v>
      </c>
      <c r="F41" s="378">
        <f>'E) Fact soc'!G46</f>
        <v>276510.45251795498</v>
      </c>
      <c r="G41" s="375">
        <f>'H) Péréquation directe'!I51</f>
        <v>56134.011122052209</v>
      </c>
      <c r="H41" s="378">
        <f>'I) Dépenses thématiques'!O40</f>
        <v>-27143.046109866387</v>
      </c>
      <c r="I41" s="375">
        <f>'K) Plafonnement aide'!J40</f>
        <v>0</v>
      </c>
      <c r="J41" s="378">
        <f>'J) Plafonnement effort'!I40</f>
        <v>0</v>
      </c>
      <c r="K41" s="375">
        <f>'L) Plafonnement taux'!Q41</f>
        <v>0</v>
      </c>
      <c r="L41" s="373">
        <f t="shared" si="0"/>
        <v>305501.41753014078</v>
      </c>
      <c r="M41" s="267">
        <f>'M) Police'!O41</f>
        <v>51651.367539613144</v>
      </c>
      <c r="N41" s="267">
        <f t="shared" si="1"/>
        <v>357152.78506975394</v>
      </c>
      <c r="P41" s="328"/>
      <c r="R41" s="381"/>
    </row>
    <row r="42" spans="1:18" s="182" customFormat="1" x14ac:dyDescent="0.25">
      <c r="A42" s="179">
        <f>'B) D RI'!A43</f>
        <v>5472</v>
      </c>
      <c r="B42" s="180" t="str">
        <f>'B) D RI'!B43</f>
        <v>Bournens</v>
      </c>
      <c r="C42" s="376">
        <f>'B) D RI'!S43</f>
        <v>80</v>
      </c>
      <c r="D42" s="181">
        <f>'B) D RI'!AA43</f>
        <v>370</v>
      </c>
      <c r="E42" s="374">
        <f>'D) Ecrêtage'!M41</f>
        <v>14191.801124999998</v>
      </c>
      <c r="F42" s="378">
        <f>'E) Fact soc'!G47</f>
        <v>269778.82912894071</v>
      </c>
      <c r="G42" s="375">
        <f>'H) Péréquation directe'!I52</f>
        <v>164748.79795794436</v>
      </c>
      <c r="H42" s="378">
        <f>'I) Dépenses thématiques'!O41</f>
        <v>-36691.573773240874</v>
      </c>
      <c r="I42" s="375">
        <f>'K) Plafonnement aide'!J41</f>
        <v>0</v>
      </c>
      <c r="J42" s="378">
        <f>'J) Plafonnement effort'!I41</f>
        <v>0</v>
      </c>
      <c r="K42" s="375">
        <f>'L) Plafonnement taux'!Q42</f>
        <v>0</v>
      </c>
      <c r="L42" s="373">
        <f t="shared" si="0"/>
        <v>397836.05331364414</v>
      </c>
      <c r="M42" s="267">
        <f>'M) Police'!O42</f>
        <v>45094.839527749209</v>
      </c>
      <c r="N42" s="267">
        <f t="shared" si="1"/>
        <v>442930.89284139336</v>
      </c>
      <c r="P42" s="328"/>
      <c r="R42" s="381"/>
    </row>
    <row r="43" spans="1:18" s="182" customFormat="1" x14ac:dyDescent="0.25">
      <c r="A43" s="179">
        <f>'B) D RI'!A44</f>
        <v>5473</v>
      </c>
      <c r="B43" s="180" t="str">
        <f>'B) D RI'!B44</f>
        <v>Boussens</v>
      </c>
      <c r="C43" s="376">
        <f>'B) D RI'!S44</f>
        <v>69</v>
      </c>
      <c r="D43" s="181">
        <f>'B) D RI'!AA44</f>
        <v>980</v>
      </c>
      <c r="E43" s="374">
        <f>'D) Ecrêtage'!M42</f>
        <v>32757.052898550723</v>
      </c>
      <c r="F43" s="378">
        <f>'E) Fact soc'!G48</f>
        <v>552131.16861878755</v>
      </c>
      <c r="G43" s="375">
        <f>'H) Péréquation directe'!I53</f>
        <v>298295.17859372677</v>
      </c>
      <c r="H43" s="378">
        <f>'I) Dépenses thématiques'!O42</f>
        <v>0</v>
      </c>
      <c r="I43" s="375">
        <f>'K) Plafonnement aide'!J42</f>
        <v>0</v>
      </c>
      <c r="J43" s="378">
        <f>'J) Plafonnement effort'!I42</f>
        <v>0</v>
      </c>
      <c r="K43" s="375">
        <f>'L) Plafonnement taux'!Q43</f>
        <v>0</v>
      </c>
      <c r="L43" s="373">
        <f t="shared" si="0"/>
        <v>850426.34721251437</v>
      </c>
      <c r="M43" s="267">
        <f>'M) Police'!O43</f>
        <v>103245.59930878313</v>
      </c>
      <c r="N43" s="267">
        <f t="shared" si="1"/>
        <v>953671.94652129756</v>
      </c>
      <c r="P43" s="328"/>
      <c r="R43" s="381"/>
    </row>
    <row r="44" spans="1:18" s="182" customFormat="1" x14ac:dyDescent="0.25">
      <c r="A44" s="179">
        <f>'B) D RI'!A45</f>
        <v>5474</v>
      </c>
      <c r="B44" s="180" t="str">
        <f>'B) D RI'!B45</f>
        <v>La Chaux (Cossonay)</v>
      </c>
      <c r="C44" s="376">
        <f>'B) D RI'!S45</f>
        <v>77</v>
      </c>
      <c r="D44" s="181">
        <f>'B) D RI'!AA45</f>
        <v>421</v>
      </c>
      <c r="E44" s="374">
        <f>'D) Ecrêtage'!M43</f>
        <v>12924.858852813852</v>
      </c>
      <c r="F44" s="378">
        <f>'E) Fact soc'!G49</f>
        <v>246522.67299209847</v>
      </c>
      <c r="G44" s="375">
        <f>'H) Péréquation directe'!I54</f>
        <v>56137.18293340021</v>
      </c>
      <c r="H44" s="378">
        <f>'I) Dépenses thématiques'!O43</f>
        <v>-108919.34329316628</v>
      </c>
      <c r="I44" s="375">
        <f>'K) Plafonnement aide'!J43</f>
        <v>0</v>
      </c>
      <c r="J44" s="378">
        <f>'J) Plafonnement effort'!I43</f>
        <v>0</v>
      </c>
      <c r="K44" s="375">
        <f>'L) Plafonnement taux'!Q44</f>
        <v>0</v>
      </c>
      <c r="L44" s="373">
        <f t="shared" si="0"/>
        <v>193740.51263233236</v>
      </c>
      <c r="M44" s="267">
        <f>'M) Police'!O44</f>
        <v>40958.535239088204</v>
      </c>
      <c r="N44" s="267">
        <f t="shared" si="1"/>
        <v>234699.04787142057</v>
      </c>
      <c r="P44" s="328"/>
      <c r="R44" s="381"/>
    </row>
    <row r="45" spans="1:18" s="182" customFormat="1" x14ac:dyDescent="0.25">
      <c r="A45" s="179">
        <f>'B) D RI'!A46</f>
        <v>5475</v>
      </c>
      <c r="B45" s="180" t="str">
        <f>'B) D RI'!B46</f>
        <v>Chavannes-le-Veyron</v>
      </c>
      <c r="C45" s="376">
        <f>'B) D RI'!S46</f>
        <v>77</v>
      </c>
      <c r="D45" s="181">
        <f>'B) D RI'!AA46</f>
        <v>143</v>
      </c>
      <c r="E45" s="374">
        <f>'D) Ecrêtage'!M44</f>
        <v>2672.7945454545452</v>
      </c>
      <c r="F45" s="378">
        <f>'E) Fact soc'!G50</f>
        <v>74452.110240418755</v>
      </c>
      <c r="G45" s="375">
        <f>'H) Péréquation directe'!I55</f>
        <v>-53833.12870070499</v>
      </c>
      <c r="H45" s="378">
        <f>'I) Dépenses thématiques'!O44</f>
        <v>-47933.73612059794</v>
      </c>
      <c r="I45" s="375">
        <f>'K) Plafonnement aide'!J44</f>
        <v>0</v>
      </c>
      <c r="J45" s="378">
        <f>'J) Plafonnement effort'!I44</f>
        <v>0</v>
      </c>
      <c r="K45" s="375">
        <f>'L) Plafonnement taux'!Q45</f>
        <v>0</v>
      </c>
      <c r="L45" s="373">
        <f t="shared" si="0"/>
        <v>-27314.754580884175</v>
      </c>
      <c r="M45" s="267">
        <f>'M) Police'!O45</f>
        <v>8318.7889159451988</v>
      </c>
      <c r="N45" s="267">
        <f t="shared" si="1"/>
        <v>-18995.965664938976</v>
      </c>
      <c r="P45" s="328"/>
      <c r="R45" s="381"/>
    </row>
    <row r="46" spans="1:18" s="182" customFormat="1" x14ac:dyDescent="0.25">
      <c r="A46" s="179">
        <f>'B) D RI'!A47</f>
        <v>5476</v>
      </c>
      <c r="B46" s="180" t="str">
        <f>'B) D RI'!B47</f>
        <v>Chevilly</v>
      </c>
      <c r="C46" s="376">
        <f>'B) D RI'!S47</f>
        <v>74</v>
      </c>
      <c r="D46" s="181">
        <f>'B) D RI'!AA47</f>
        <v>299</v>
      </c>
      <c r="E46" s="374">
        <f>'D) Ecrêtage'!M45</f>
        <v>10247.952162162162</v>
      </c>
      <c r="F46" s="378">
        <f>'E) Fact soc'!G51</f>
        <v>181627.09810638143</v>
      </c>
      <c r="G46" s="375">
        <f>'H) Péréquation directe'!I56</f>
        <v>91189.614007700904</v>
      </c>
      <c r="H46" s="378">
        <f>'I) Dépenses thématiques'!O45</f>
        <v>-27284.007801127565</v>
      </c>
      <c r="I46" s="375">
        <f>'K) Plafonnement aide'!J45</f>
        <v>0</v>
      </c>
      <c r="J46" s="378">
        <f>'J) Plafonnement effort'!I45</f>
        <v>0</v>
      </c>
      <c r="K46" s="375">
        <f>'L) Plafonnement taux'!Q46</f>
        <v>0</v>
      </c>
      <c r="L46" s="373">
        <f t="shared" si="0"/>
        <v>245532.70431295474</v>
      </c>
      <c r="M46" s="267">
        <f>'M) Police'!O46</f>
        <v>32514.440872485837</v>
      </c>
      <c r="N46" s="267">
        <f t="shared" si="1"/>
        <v>278047.14518544055</v>
      </c>
      <c r="P46" s="328"/>
      <c r="R46" s="381"/>
    </row>
    <row r="47" spans="1:18" s="182" customFormat="1" x14ac:dyDescent="0.25">
      <c r="A47" s="179">
        <f>'B) D RI'!A48</f>
        <v>5477</v>
      </c>
      <c r="B47" s="180" t="str">
        <f>'B) D RI'!B48</f>
        <v>Cossonay</v>
      </c>
      <c r="C47" s="376">
        <f>'B) D RI'!S48</f>
        <v>69.3</v>
      </c>
      <c r="D47" s="181">
        <f>'B) D RI'!AA48</f>
        <v>3632</v>
      </c>
      <c r="E47" s="374">
        <f>'D) Ecrêtage'!M46</f>
        <v>125937.08528138528</v>
      </c>
      <c r="F47" s="378">
        <f>'E) Fact soc'!G52</f>
        <v>2234039.9111241056</v>
      </c>
      <c r="G47" s="375">
        <f>'H) Péréquation directe'!I57</f>
        <v>528332.51048697392</v>
      </c>
      <c r="H47" s="378">
        <f>'I) Dépenses thématiques'!O46</f>
        <v>-639691.60205493157</v>
      </c>
      <c r="I47" s="375">
        <f>'K) Plafonnement aide'!J46</f>
        <v>0</v>
      </c>
      <c r="J47" s="378">
        <f>'J) Plafonnement effort'!I46</f>
        <v>0</v>
      </c>
      <c r="K47" s="375">
        <f>'L) Plafonnement taux'!Q47</f>
        <v>0</v>
      </c>
      <c r="L47" s="373">
        <f t="shared" si="0"/>
        <v>2122680.8195561478</v>
      </c>
      <c r="M47" s="267">
        <f>'M) Police'!O47</f>
        <v>399670.17956559273</v>
      </c>
      <c r="N47" s="267">
        <f t="shared" si="1"/>
        <v>2522350.9991217405</v>
      </c>
      <c r="P47" s="328"/>
      <c r="R47" s="381"/>
    </row>
    <row r="48" spans="1:18" s="182" customFormat="1" x14ac:dyDescent="0.25">
      <c r="A48" s="179">
        <f>'B) D RI'!A49</f>
        <v>5478</v>
      </c>
      <c r="B48" s="180" t="str">
        <f>'B) D RI'!B49</f>
        <v>Cottens</v>
      </c>
      <c r="C48" s="376">
        <f>'B) D RI'!S49</f>
        <v>74</v>
      </c>
      <c r="D48" s="181">
        <f>'B) D RI'!AA49</f>
        <v>483</v>
      </c>
      <c r="E48" s="374">
        <f>'D) Ecrêtage'!M47</f>
        <v>14465.317702702703</v>
      </c>
      <c r="F48" s="378">
        <f>'E) Fact soc'!G53</f>
        <v>228766.64378584054</v>
      </c>
      <c r="G48" s="375">
        <f>'H) Péréquation directe'!I58</f>
        <v>62400.12273354939</v>
      </c>
      <c r="H48" s="378">
        <f>'I) Dépenses thématiques'!O47</f>
        <v>-10092.02021220501</v>
      </c>
      <c r="I48" s="375">
        <f>'K) Plafonnement aide'!J47</f>
        <v>0</v>
      </c>
      <c r="J48" s="378">
        <f>'J) Plafonnement effort'!I47</f>
        <v>0</v>
      </c>
      <c r="K48" s="375">
        <f>'L) Plafonnement taux'!Q48</f>
        <v>0</v>
      </c>
      <c r="L48" s="373">
        <f t="shared" si="0"/>
        <v>281074.74630718492</v>
      </c>
      <c r="M48" s="267">
        <f>'M) Police'!O48</f>
        <v>45703.121228274693</v>
      </c>
      <c r="N48" s="267">
        <f t="shared" si="1"/>
        <v>326777.86753545963</v>
      </c>
      <c r="P48" s="328"/>
      <c r="R48" s="381"/>
    </row>
    <row r="49" spans="1:18" s="182" customFormat="1" x14ac:dyDescent="0.25">
      <c r="A49" s="179">
        <f>'B) D RI'!A50</f>
        <v>5479</v>
      </c>
      <c r="B49" s="180" t="str">
        <f>'B) D RI'!B50</f>
        <v>Cuarnens</v>
      </c>
      <c r="C49" s="376">
        <f>'B) D RI'!S50</f>
        <v>77</v>
      </c>
      <c r="D49" s="181">
        <f>'B) D RI'!AA50</f>
        <v>481</v>
      </c>
      <c r="E49" s="374">
        <f>'D) Ecrêtage'!M48</f>
        <v>11562.819350649352</v>
      </c>
      <c r="F49" s="378">
        <f>'E) Fact soc'!G54</f>
        <v>225690.2008939918</v>
      </c>
      <c r="G49" s="375">
        <f>'H) Péréquation directe'!I59</f>
        <v>-71873.206183026399</v>
      </c>
      <c r="H49" s="378">
        <f>'I) Dépenses thématiques'!O48</f>
        <v>-245421.16816803787</v>
      </c>
      <c r="I49" s="375">
        <f>'K) Plafonnement aide'!J48</f>
        <v>0</v>
      </c>
      <c r="J49" s="378">
        <f>'J) Plafonnement effort'!I48</f>
        <v>0</v>
      </c>
      <c r="K49" s="375">
        <f>'L) Plafonnement taux'!Q49</f>
        <v>0</v>
      </c>
      <c r="L49" s="373">
        <f t="shared" si="0"/>
        <v>-91604.173457072466</v>
      </c>
      <c r="M49" s="267">
        <f>'M) Police'!O49</f>
        <v>36418.715992411926</v>
      </c>
      <c r="N49" s="267">
        <f t="shared" si="1"/>
        <v>-55185.45746466054</v>
      </c>
      <c r="P49" s="328"/>
      <c r="R49" s="381"/>
    </row>
    <row r="50" spans="1:18" s="182" customFormat="1" x14ac:dyDescent="0.25">
      <c r="A50" s="179">
        <f>'B) D RI'!A51</f>
        <v>5480</v>
      </c>
      <c r="B50" s="180" t="str">
        <f>'B) D RI'!B51</f>
        <v>Daillens</v>
      </c>
      <c r="C50" s="376">
        <f>'B) D RI'!S51</f>
        <v>71</v>
      </c>
      <c r="D50" s="181">
        <f>'B) D RI'!AA51</f>
        <v>958</v>
      </c>
      <c r="E50" s="374">
        <f>'D) Ecrêtage'!M49</f>
        <v>34852.093380281687</v>
      </c>
      <c r="F50" s="378">
        <f>'E) Fact soc'!G55</f>
        <v>623422.50651606149</v>
      </c>
      <c r="G50" s="375">
        <f>'H) Péréquation directe'!I60</f>
        <v>389012.17611011845</v>
      </c>
      <c r="H50" s="378">
        <f>'I) Dépenses thématiques'!O49</f>
        <v>-208565.07594213955</v>
      </c>
      <c r="I50" s="375">
        <f>'K) Plafonnement aide'!J49</f>
        <v>0</v>
      </c>
      <c r="J50" s="378">
        <f>'J) Plafonnement effort'!I49</f>
        <v>0</v>
      </c>
      <c r="K50" s="375">
        <f>'L) Plafonnement taux'!Q50</f>
        <v>0</v>
      </c>
      <c r="L50" s="373">
        <f t="shared" si="0"/>
        <v>803869.60668404028</v>
      </c>
      <c r="M50" s="267">
        <f>'M) Police'!O50</f>
        <v>107260.27635719301</v>
      </c>
      <c r="N50" s="267">
        <f t="shared" si="1"/>
        <v>911129.88304123329</v>
      </c>
      <c r="P50" s="328"/>
      <c r="R50" s="381"/>
    </row>
    <row r="51" spans="1:18" s="182" customFormat="1" x14ac:dyDescent="0.25">
      <c r="A51" s="179">
        <f>'B) D RI'!A52</f>
        <v>5481</v>
      </c>
      <c r="B51" s="180" t="str">
        <f>'B) D RI'!B52</f>
        <v>Dizy</v>
      </c>
      <c r="C51" s="376">
        <f>'B) D RI'!S52</f>
        <v>79</v>
      </c>
      <c r="D51" s="181">
        <f>'B) D RI'!AA52</f>
        <v>222</v>
      </c>
      <c r="E51" s="374">
        <f>'D) Ecrêtage'!M50</f>
        <v>8900.2526582278479</v>
      </c>
      <c r="F51" s="378">
        <f>'E) Fact soc'!G56</f>
        <v>146401.35845656387</v>
      </c>
      <c r="G51" s="375">
        <f>'H) Péréquation directe'!I61</f>
        <v>116657.79037000037</v>
      </c>
      <c r="H51" s="378">
        <f>'I) Dépenses thématiques'!O50</f>
        <v>0</v>
      </c>
      <c r="I51" s="375">
        <f>'K) Plafonnement aide'!J50</f>
        <v>0</v>
      </c>
      <c r="J51" s="378">
        <f>'J) Plafonnement effort'!I50</f>
        <v>0</v>
      </c>
      <c r="K51" s="375">
        <f>'L) Plafonnement taux'!Q51</f>
        <v>0</v>
      </c>
      <c r="L51" s="373">
        <f t="shared" si="0"/>
        <v>263059.14882656425</v>
      </c>
      <c r="M51" s="267">
        <f>'M) Police'!O51</f>
        <v>28502.118213784401</v>
      </c>
      <c r="N51" s="267">
        <f t="shared" si="1"/>
        <v>291561.26704034867</v>
      </c>
      <c r="P51" s="328"/>
      <c r="R51" s="381"/>
    </row>
    <row r="52" spans="1:18" s="182" customFormat="1" x14ac:dyDescent="0.25">
      <c r="A52" s="179">
        <f>'B) D RI'!A53</f>
        <v>5482</v>
      </c>
      <c r="B52" s="180" t="str">
        <f>'B) D RI'!B53</f>
        <v>Eclépens</v>
      </c>
      <c r="C52" s="376">
        <f>'B) D RI'!S53</f>
        <v>46</v>
      </c>
      <c r="D52" s="181">
        <f>'B) D RI'!AA53</f>
        <v>1043</v>
      </c>
      <c r="E52" s="374">
        <f>'D) Ecrêtage'!M51</f>
        <v>26792.007391304349</v>
      </c>
      <c r="F52" s="378">
        <f>'E) Fact soc'!G57</f>
        <v>598138.38767662155</v>
      </c>
      <c r="G52" s="375">
        <f>'H) Péréquation directe'!I62</f>
        <v>217736.37012479012</v>
      </c>
      <c r="H52" s="378">
        <f>'I) Dépenses thématiques'!O51</f>
        <v>-239455.62434001794</v>
      </c>
      <c r="I52" s="375">
        <f>'K) Plafonnement aide'!J51</f>
        <v>0</v>
      </c>
      <c r="J52" s="378">
        <f>'J) Plafonnement effort'!I51</f>
        <v>0</v>
      </c>
      <c r="K52" s="375">
        <f>'L) Plafonnement taux'!Q52</f>
        <v>0</v>
      </c>
      <c r="L52" s="373">
        <f t="shared" si="0"/>
        <v>576419.13346139377</v>
      </c>
      <c r="M52" s="267">
        <f>'M) Police'!O52</f>
        <v>70192.704754092032</v>
      </c>
      <c r="N52" s="267">
        <f t="shared" si="1"/>
        <v>646611.8382154858</v>
      </c>
      <c r="P52" s="328"/>
      <c r="R52" s="381"/>
    </row>
    <row r="53" spans="1:18" s="182" customFormat="1" x14ac:dyDescent="0.25">
      <c r="A53" s="179">
        <f>'B) D RI'!A54</f>
        <v>5483</v>
      </c>
      <c r="B53" s="180" t="str">
        <f>'B) D RI'!B54</f>
        <v>Ferreyres</v>
      </c>
      <c r="C53" s="376">
        <f>'B) D RI'!S54</f>
        <v>76</v>
      </c>
      <c r="D53" s="181">
        <f>'B) D RI'!AA54</f>
        <v>316</v>
      </c>
      <c r="E53" s="374">
        <f>'D) Ecrêtage'!M52</f>
        <v>9773.8555263157887</v>
      </c>
      <c r="F53" s="378">
        <f>'E) Fact soc'!G58</f>
        <v>152622.07403882308</v>
      </c>
      <c r="G53" s="375">
        <f>'H) Péréquation directe'!I63</f>
        <v>47987.961172169104</v>
      </c>
      <c r="H53" s="378">
        <f>'I) Dépenses thématiques'!O52</f>
        <v>-17498.922336025738</v>
      </c>
      <c r="I53" s="375">
        <f>'K) Plafonnement aide'!J52</f>
        <v>0</v>
      </c>
      <c r="J53" s="378">
        <f>'J) Plafonnement effort'!I52</f>
        <v>0</v>
      </c>
      <c r="K53" s="375">
        <f>'L) Plafonnement taux'!Q53</f>
        <v>0</v>
      </c>
      <c r="L53" s="373">
        <f t="shared" si="0"/>
        <v>183111.11287496643</v>
      </c>
      <c r="M53" s="267">
        <f>'M) Police'!O53</f>
        <v>31005.173170888513</v>
      </c>
      <c r="N53" s="267">
        <f t="shared" si="1"/>
        <v>214116.28604585494</v>
      </c>
      <c r="P53" s="328"/>
      <c r="R53" s="381"/>
    </row>
    <row r="54" spans="1:18" s="182" customFormat="1" x14ac:dyDescent="0.25">
      <c r="A54" s="179">
        <f>'B) D RI'!A55</f>
        <v>5484</v>
      </c>
      <c r="B54" s="180" t="str">
        <f>'B) D RI'!B55</f>
        <v>Gollion</v>
      </c>
      <c r="C54" s="376">
        <f>'B) D RI'!S55</f>
        <v>74</v>
      </c>
      <c r="D54" s="181">
        <f>'B) D RI'!AA55</f>
        <v>902</v>
      </c>
      <c r="E54" s="374">
        <f>'D) Ecrêtage'!M53</f>
        <v>29063.721351351356</v>
      </c>
      <c r="F54" s="378">
        <f>'E) Fact soc'!G59</f>
        <v>549756.07639007224</v>
      </c>
      <c r="G54" s="375">
        <f>'H) Péréquation directe'!I64</f>
        <v>199842.79413893633</v>
      </c>
      <c r="H54" s="378">
        <f>'I) Dépenses thématiques'!O53</f>
        <v>-122562.48190219658</v>
      </c>
      <c r="I54" s="375">
        <f>'K) Plafonnement aide'!J53</f>
        <v>0</v>
      </c>
      <c r="J54" s="378">
        <f>'J) Plafonnement effort'!I53</f>
        <v>0</v>
      </c>
      <c r="K54" s="375">
        <f>'L) Plafonnement taux'!Q54</f>
        <v>0</v>
      </c>
      <c r="L54" s="373">
        <f t="shared" si="0"/>
        <v>627036.38862681203</v>
      </c>
      <c r="M54" s="267">
        <f>'M) Police'!O54</f>
        <v>91972.64988633708</v>
      </c>
      <c r="N54" s="267">
        <f t="shared" si="1"/>
        <v>719009.03851314913</v>
      </c>
      <c r="P54" s="328"/>
      <c r="R54" s="381"/>
    </row>
    <row r="55" spans="1:18" s="182" customFormat="1" x14ac:dyDescent="0.25">
      <c r="A55" s="179">
        <f>'B) D RI'!A56</f>
        <v>5485</v>
      </c>
      <c r="B55" s="180" t="str">
        <f>'B) D RI'!B56</f>
        <v>Grancy</v>
      </c>
      <c r="C55" s="376">
        <f>'B) D RI'!S56</f>
        <v>70</v>
      </c>
      <c r="D55" s="181">
        <f>'B) D RI'!AA56</f>
        <v>408</v>
      </c>
      <c r="E55" s="374">
        <f>'D) Ecrêtage'!M54</f>
        <v>15073.947999999999</v>
      </c>
      <c r="F55" s="378">
        <f>'E) Fact soc'!G60</f>
        <v>259994.23226107363</v>
      </c>
      <c r="G55" s="375">
        <f>'H) Péréquation directe'!I65</f>
        <v>176577.6844924438</v>
      </c>
      <c r="H55" s="378">
        <f>'I) Dépenses thématiques'!O54</f>
        <v>-50745.712451545638</v>
      </c>
      <c r="I55" s="375">
        <f>'K) Plafonnement aide'!J54</f>
        <v>0</v>
      </c>
      <c r="J55" s="378">
        <f>'J) Plafonnement effort'!I54</f>
        <v>0</v>
      </c>
      <c r="K55" s="375">
        <f>'L) Plafonnement taux'!Q55</f>
        <v>0</v>
      </c>
      <c r="L55" s="373">
        <f t="shared" si="0"/>
        <v>385826.20430197183</v>
      </c>
      <c r="M55" s="267">
        <f>'M) Police'!O55</f>
        <v>47866.335716128917</v>
      </c>
      <c r="N55" s="267">
        <f t="shared" si="1"/>
        <v>433692.54001810076</v>
      </c>
      <c r="P55" s="328"/>
      <c r="R55" s="381"/>
    </row>
    <row r="56" spans="1:18" s="182" customFormat="1" x14ac:dyDescent="0.25">
      <c r="A56" s="179">
        <f>'B) D RI'!A57</f>
        <v>5486</v>
      </c>
      <c r="B56" s="180" t="str">
        <f>'B) D RI'!B57</f>
        <v>L'Isle</v>
      </c>
      <c r="C56" s="376">
        <f>'B) D RI'!S57</f>
        <v>76</v>
      </c>
      <c r="D56" s="181">
        <f>'B) D RI'!AA57</f>
        <v>1033</v>
      </c>
      <c r="E56" s="374">
        <f>'D) Ecrêtage'!M55</f>
        <v>29834.586052631581</v>
      </c>
      <c r="F56" s="378">
        <f>'E) Fact soc'!G61</f>
        <v>569044.77046730672</v>
      </c>
      <c r="G56" s="375">
        <f>'H) Péréquation directe'!I66</f>
        <v>60205.024075456429</v>
      </c>
      <c r="H56" s="378">
        <f>'I) Dépenses thématiques'!O55</f>
        <v>-313239.76370482735</v>
      </c>
      <c r="I56" s="375">
        <f>'K) Plafonnement aide'!J55</f>
        <v>0</v>
      </c>
      <c r="J56" s="378">
        <f>'J) Plafonnement effort'!I55</f>
        <v>0</v>
      </c>
      <c r="K56" s="375">
        <f>'L) Plafonnement taux'!Q56</f>
        <v>0</v>
      </c>
      <c r="L56" s="373">
        <f t="shared" si="0"/>
        <v>316010.0308379358</v>
      </c>
      <c r="M56" s="267">
        <f>'M) Police'!O56</f>
        <v>93839.164952690815</v>
      </c>
      <c r="N56" s="267">
        <f t="shared" si="1"/>
        <v>409849.19579062663</v>
      </c>
      <c r="P56" s="328"/>
      <c r="R56" s="381"/>
    </row>
    <row r="57" spans="1:18" s="182" customFormat="1" x14ac:dyDescent="0.25">
      <c r="A57" s="179">
        <f>'B) D RI'!A58</f>
        <v>5487</v>
      </c>
      <c r="B57" s="180" t="str">
        <f>'B) D RI'!B58</f>
        <v>Lussery-Villars</v>
      </c>
      <c r="C57" s="376">
        <f>'B) D RI'!S58</f>
        <v>68</v>
      </c>
      <c r="D57" s="181">
        <f>'B) D RI'!AA58</f>
        <v>462</v>
      </c>
      <c r="E57" s="374">
        <f>'D) Ecrêtage'!M56</f>
        <v>13143.798970588234</v>
      </c>
      <c r="F57" s="378">
        <f>'E) Fact soc'!G62</f>
        <v>218911.59243544188</v>
      </c>
      <c r="G57" s="375">
        <f>'H) Péréquation directe'!I67</f>
        <v>58004.023213684472</v>
      </c>
      <c r="H57" s="378">
        <f>'I) Dépenses thématiques'!O56</f>
        <v>-3752.811974403257</v>
      </c>
      <c r="I57" s="375">
        <f>'K) Plafonnement aide'!J56</f>
        <v>0</v>
      </c>
      <c r="J57" s="378">
        <f>'J) Plafonnement effort'!I56</f>
        <v>0</v>
      </c>
      <c r="K57" s="375">
        <f>'L) Plafonnement taux'!Q57</f>
        <v>0</v>
      </c>
      <c r="L57" s="373">
        <f t="shared" si="0"/>
        <v>273162.80367472308</v>
      </c>
      <c r="M57" s="267">
        <f>'M) Police'!O57</f>
        <v>41354.384545581255</v>
      </c>
      <c r="N57" s="267">
        <f t="shared" si="1"/>
        <v>314517.18822030432</v>
      </c>
      <c r="P57" s="328"/>
      <c r="R57" s="381"/>
    </row>
    <row r="58" spans="1:18" s="182" customFormat="1" x14ac:dyDescent="0.25">
      <c r="A58" s="179">
        <f>'B) D RI'!A59</f>
        <v>5488</v>
      </c>
      <c r="B58" s="180" t="str">
        <f>'B) D RI'!B59</f>
        <v>Mauraz</v>
      </c>
      <c r="C58" s="376">
        <f>'B) D RI'!S59</f>
        <v>74</v>
      </c>
      <c r="D58" s="181">
        <f>'B) D RI'!AA59</f>
        <v>53</v>
      </c>
      <c r="E58" s="374">
        <f>'D) Ecrêtage'!M57</f>
        <v>1604.8968918918922</v>
      </c>
      <c r="F58" s="378">
        <f>'E) Fact soc'!G63</f>
        <v>24261.751772291955</v>
      </c>
      <c r="G58" s="375">
        <f>'H) Péréquation directe'!I68</f>
        <v>7562.7527601495312</v>
      </c>
      <c r="H58" s="378">
        <f>'I) Dépenses thématiques'!O57</f>
        <v>-8344.169701001445</v>
      </c>
      <c r="I58" s="375">
        <f>'K) Plafonnement aide'!J57</f>
        <v>0</v>
      </c>
      <c r="J58" s="378">
        <f>'J) Plafonnement effort'!I57</f>
        <v>0</v>
      </c>
      <c r="K58" s="375">
        <f>'L) Plafonnement taux'!Q58</f>
        <v>0</v>
      </c>
      <c r="L58" s="373">
        <f t="shared" si="0"/>
        <v>23480.334831440043</v>
      </c>
      <c r="M58" s="267">
        <f>'M) Police'!O58</f>
        <v>5070.2227475275722</v>
      </c>
      <c r="N58" s="267">
        <f t="shared" si="1"/>
        <v>28550.557578967615</v>
      </c>
      <c r="P58" s="328"/>
      <c r="R58" s="381"/>
    </row>
    <row r="59" spans="1:18" s="182" customFormat="1" x14ac:dyDescent="0.25">
      <c r="A59" s="179">
        <f>'B) D RI'!A60</f>
        <v>5489</v>
      </c>
      <c r="B59" s="180" t="str">
        <f>'B) D RI'!B60</f>
        <v>Mex</v>
      </c>
      <c r="C59" s="376">
        <f>'B) D RI'!S60</f>
        <v>61</v>
      </c>
      <c r="D59" s="181">
        <f>'B) D RI'!AA60</f>
        <v>710</v>
      </c>
      <c r="E59" s="374">
        <f>'D) Ecrêtage'!M58</f>
        <v>45606.023081106548</v>
      </c>
      <c r="F59" s="378">
        <f>'E) Fact soc'!G64</f>
        <v>971926.06684096903</v>
      </c>
      <c r="G59" s="375">
        <f>'H) Péréquation directe'!I69</f>
        <v>787695.78684305109</v>
      </c>
      <c r="H59" s="378">
        <f>'I) Dépenses thématiques'!O58</f>
        <v>0</v>
      </c>
      <c r="I59" s="375">
        <f>'K) Plafonnement aide'!J58</f>
        <v>0</v>
      </c>
      <c r="J59" s="378">
        <f>'J) Plafonnement effort'!I58</f>
        <v>0</v>
      </c>
      <c r="K59" s="375">
        <f>'L) Plafonnement taux'!Q59</f>
        <v>0</v>
      </c>
      <c r="L59" s="373">
        <f t="shared" si="0"/>
        <v>1759621.8536840202</v>
      </c>
      <c r="M59" s="267">
        <f>'M) Police'!O59</f>
        <v>120954.86792774947</v>
      </c>
      <c r="N59" s="267">
        <f t="shared" si="1"/>
        <v>1880576.7216117696</v>
      </c>
      <c r="P59" s="328"/>
      <c r="R59" s="381"/>
    </row>
    <row r="60" spans="1:18" s="182" customFormat="1" x14ac:dyDescent="0.25">
      <c r="A60" s="179">
        <f>'B) D RI'!A61</f>
        <v>5490</v>
      </c>
      <c r="B60" s="180" t="str">
        <f>'B) D RI'!B61</f>
        <v>Moiry</v>
      </c>
      <c r="C60" s="376">
        <f>'B) D RI'!S61</f>
        <v>81</v>
      </c>
      <c r="D60" s="181">
        <f>'B) D RI'!AA61</f>
        <v>304</v>
      </c>
      <c r="E60" s="374">
        <f>'D) Ecrêtage'!M59</f>
        <v>7445.9272839506175</v>
      </c>
      <c r="F60" s="378">
        <f>'E) Fact soc'!G65</f>
        <v>129193.32061451112</v>
      </c>
      <c r="G60" s="375">
        <f>'H) Péréquation directe'!I70</f>
        <v>-55515.024552078772</v>
      </c>
      <c r="H60" s="378">
        <f>'I) Dépenses thématiques'!O59</f>
        <v>-29262.713936485368</v>
      </c>
      <c r="I60" s="375">
        <f>'K) Plafonnement aide'!J59</f>
        <v>0</v>
      </c>
      <c r="J60" s="378">
        <f>'J) Plafonnement effort'!I59</f>
        <v>0</v>
      </c>
      <c r="K60" s="375">
        <f>'L) Plafonnement taux'!Q60</f>
        <v>0</v>
      </c>
      <c r="L60" s="373">
        <f t="shared" si="0"/>
        <v>44415.582125946981</v>
      </c>
      <c r="M60" s="267">
        <f>'M) Police'!O60</f>
        <v>23645.953043129084</v>
      </c>
      <c r="N60" s="267">
        <f t="shared" si="1"/>
        <v>68061.535169076058</v>
      </c>
      <c r="P60" s="328"/>
      <c r="R60" s="381"/>
    </row>
    <row r="61" spans="1:18" s="182" customFormat="1" x14ac:dyDescent="0.25">
      <c r="A61" s="179">
        <f>'B) D RI'!A62</f>
        <v>5491</v>
      </c>
      <c r="B61" s="180" t="str">
        <f>'B) D RI'!B62</f>
        <v>Mont-la-Ville</v>
      </c>
      <c r="C61" s="376">
        <f>'B) D RI'!S62</f>
        <v>76</v>
      </c>
      <c r="D61" s="181">
        <f>'B) D RI'!AA62</f>
        <v>402</v>
      </c>
      <c r="E61" s="374">
        <f>'D) Ecrêtage'!M60</f>
        <v>8756.4323684210522</v>
      </c>
      <c r="F61" s="378">
        <f>'E) Fact soc'!G66</f>
        <v>190506.0100475084</v>
      </c>
      <c r="G61" s="375">
        <f>'H) Péréquation directe'!I71</f>
        <v>-92812.154114929872</v>
      </c>
      <c r="H61" s="378">
        <f>'I) Dépenses thématiques'!O60</f>
        <v>-152118.76477608617</v>
      </c>
      <c r="I61" s="375">
        <f>'K) Plafonnement aide'!J60</f>
        <v>0</v>
      </c>
      <c r="J61" s="378">
        <f>'J) Plafonnement effort'!I60</f>
        <v>0</v>
      </c>
      <c r="K61" s="375">
        <f>'L) Plafonnement taux'!Q61</f>
        <v>0</v>
      </c>
      <c r="L61" s="373">
        <f t="shared" si="0"/>
        <v>-54424.908843507641</v>
      </c>
      <c r="M61" s="267">
        <f>'M) Police'!O61</f>
        <v>27268.01782684795</v>
      </c>
      <c r="N61" s="267">
        <f t="shared" si="1"/>
        <v>-27156.891016659691</v>
      </c>
      <c r="P61" s="328"/>
      <c r="R61" s="381"/>
    </row>
    <row r="62" spans="1:18" s="182" customFormat="1" x14ac:dyDescent="0.25">
      <c r="A62" s="179">
        <f>'B) D RI'!A63</f>
        <v>5492</v>
      </c>
      <c r="B62" s="180" t="str">
        <f>'B) D RI'!B63</f>
        <v>Montricher</v>
      </c>
      <c r="C62" s="376">
        <f>'B) D RI'!S63</f>
        <v>64</v>
      </c>
      <c r="D62" s="181">
        <f>'B) D RI'!AA63</f>
        <v>951</v>
      </c>
      <c r="E62" s="374">
        <f>'D) Ecrêtage'!M61</f>
        <v>159210.58735959791</v>
      </c>
      <c r="F62" s="378">
        <f>'E) Fact soc'!G67</f>
        <v>7926858.4090533834</v>
      </c>
      <c r="G62" s="375">
        <f>'H) Péréquation directe'!I72</f>
        <v>2900454.6909575979</v>
      </c>
      <c r="H62" s="378">
        <f>'I) Dépenses thématiques'!O61</f>
        <v>-175443.39297847706</v>
      </c>
      <c r="I62" s="375">
        <f>'K) Plafonnement aide'!J61</f>
        <v>0</v>
      </c>
      <c r="J62" s="378">
        <f>'J) Plafonnement effort'!I61</f>
        <v>0</v>
      </c>
      <c r="K62" s="375">
        <f>'L) Plafonnement taux'!Q62</f>
        <v>0</v>
      </c>
      <c r="L62" s="373">
        <f t="shared" ref="L62:L116" si="2">F62+G62+H62+I62+J62+K62</f>
        <v>10651869.707032505</v>
      </c>
      <c r="M62" s="267">
        <f>'M) Police'!O62</f>
        <v>289761.7784718012</v>
      </c>
      <c r="N62" s="267">
        <f t="shared" si="1"/>
        <v>10941631.485504307</v>
      </c>
      <c r="P62" s="328"/>
      <c r="R62" s="381"/>
    </row>
    <row r="63" spans="1:18" s="182" customFormat="1" x14ac:dyDescent="0.25">
      <c r="A63" s="179">
        <f>'B) D RI'!A64</f>
        <v>5493</v>
      </c>
      <c r="B63" s="180" t="str">
        <f>'B) D RI'!B64</f>
        <v>Orny</v>
      </c>
      <c r="C63" s="376">
        <f>'B) D RI'!S64</f>
        <v>73</v>
      </c>
      <c r="D63" s="181">
        <f>'B) D RI'!AA64</f>
        <v>371</v>
      </c>
      <c r="E63" s="374">
        <f>'D) Ecrêtage'!M62</f>
        <v>9079.112581664911</v>
      </c>
      <c r="F63" s="378">
        <f>'E) Fact soc'!G68</f>
        <v>264996.16247949679</v>
      </c>
      <c r="G63" s="375">
        <f>'H) Péréquation directe'!I73</f>
        <v>-30121.414429759723</v>
      </c>
      <c r="H63" s="378">
        <f>'I) Dépenses thématiques'!O62</f>
        <v>-37158.170410496685</v>
      </c>
      <c r="I63" s="375">
        <f>'K) Plafonnement aide'!J62</f>
        <v>0</v>
      </c>
      <c r="J63" s="378">
        <f>'J) Plafonnement effort'!I62</f>
        <v>0</v>
      </c>
      <c r="K63" s="375">
        <f>'L) Plafonnement taux'!Q63</f>
        <v>0</v>
      </c>
      <c r="L63" s="373">
        <f t="shared" si="2"/>
        <v>197716.57763924039</v>
      </c>
      <c r="M63" s="267">
        <f>'M) Police'!O63</f>
        <v>28608.564877505007</v>
      </c>
      <c r="N63" s="267">
        <f t="shared" si="1"/>
        <v>226325.1425167454</v>
      </c>
      <c r="P63" s="328"/>
      <c r="R63" s="381"/>
    </row>
    <row r="64" spans="1:18" s="182" customFormat="1" x14ac:dyDescent="0.25">
      <c r="A64" s="179">
        <f>'B) D RI'!A65</f>
        <v>5494</v>
      </c>
      <c r="B64" s="180" t="str">
        <f>'B) D RI'!B65</f>
        <v>Pampigny</v>
      </c>
      <c r="C64" s="376">
        <f>'B) D RI'!S65</f>
        <v>75</v>
      </c>
      <c r="D64" s="181">
        <f>'B) D RI'!AA65</f>
        <v>1116</v>
      </c>
      <c r="E64" s="374">
        <f>'D) Ecrêtage'!M63</f>
        <v>36797.992425396827</v>
      </c>
      <c r="F64" s="378">
        <f>'E) Fact soc'!G69</f>
        <v>670911.58448577684</v>
      </c>
      <c r="G64" s="375">
        <f>'H) Péréquation directe'!I74</f>
        <v>244577.98587668774</v>
      </c>
      <c r="H64" s="378">
        <f>'I) Dépenses thématiques'!O63</f>
        <v>-276678.48539263377</v>
      </c>
      <c r="I64" s="375">
        <f>'K) Plafonnement aide'!J63</f>
        <v>0</v>
      </c>
      <c r="J64" s="378">
        <f>'J) Plafonnement effort'!I63</f>
        <v>0</v>
      </c>
      <c r="K64" s="375">
        <f>'L) Plafonnement taux'!Q64</f>
        <v>0</v>
      </c>
      <c r="L64" s="373">
        <f t="shared" si="2"/>
        <v>638811.0849698307</v>
      </c>
      <c r="M64" s="267">
        <f>'M) Police'!O64</f>
        <v>116124.28468884091</v>
      </c>
      <c r="N64" s="267">
        <f t="shared" si="1"/>
        <v>754935.36965867155</v>
      </c>
      <c r="P64" s="328"/>
      <c r="R64" s="381"/>
    </row>
    <row r="65" spans="1:18" s="182" customFormat="1" x14ac:dyDescent="0.25">
      <c r="A65" s="179">
        <f>'B) D RI'!A66</f>
        <v>5495</v>
      </c>
      <c r="B65" s="180" t="str">
        <f>'B) D RI'!B66</f>
        <v>Penthalaz</v>
      </c>
      <c r="C65" s="376">
        <f>'B) D RI'!S66</f>
        <v>74</v>
      </c>
      <c r="D65" s="181">
        <f>'B) D RI'!AA66</f>
        <v>3252</v>
      </c>
      <c r="E65" s="374">
        <f>'D) Ecrêtage'!M64</f>
        <v>99436.02810810809</v>
      </c>
      <c r="F65" s="378">
        <f>'E) Fact soc'!G70</f>
        <v>1669096.2281530984</v>
      </c>
      <c r="G65" s="375">
        <f>'H) Péréquation directe'!I75</f>
        <v>-89201.177916786401</v>
      </c>
      <c r="H65" s="378">
        <f>'I) Dépenses thématiques'!O64</f>
        <v>-433166.49951313133</v>
      </c>
      <c r="I65" s="375">
        <f>'K) Plafonnement aide'!J64</f>
        <v>0</v>
      </c>
      <c r="J65" s="378">
        <f>'J) Plafonnement effort'!I64</f>
        <v>0</v>
      </c>
      <c r="K65" s="375">
        <f>'L) Plafonnement taux'!Q65</f>
        <v>0</v>
      </c>
      <c r="L65" s="373">
        <f t="shared" si="2"/>
        <v>1146728.5507231806</v>
      </c>
      <c r="M65" s="267">
        <f>'M) Police'!O65</f>
        <v>313191.55269076285</v>
      </c>
      <c r="N65" s="267">
        <f t="shared" si="1"/>
        <v>1459920.1034139434</v>
      </c>
      <c r="P65" s="328"/>
      <c r="R65" s="381"/>
    </row>
    <row r="66" spans="1:18" s="182" customFormat="1" x14ac:dyDescent="0.25">
      <c r="A66" s="179">
        <f>'B) D RI'!A67</f>
        <v>5496</v>
      </c>
      <c r="B66" s="180" t="str">
        <f>'B) D RI'!B67</f>
        <v>Penthaz</v>
      </c>
      <c r="C66" s="376">
        <f>'B) D RI'!S67</f>
        <v>71</v>
      </c>
      <c r="D66" s="181">
        <f>'B) D RI'!AA67</f>
        <v>1703</v>
      </c>
      <c r="E66" s="374">
        <f>'D) Ecrêtage'!M65</f>
        <v>52905.64732394366</v>
      </c>
      <c r="F66" s="378">
        <f>'E) Fact soc'!G71</f>
        <v>880075.08237704483</v>
      </c>
      <c r="G66" s="375">
        <f>'H) Péréquation directe'!I76</f>
        <v>166151.73419324961</v>
      </c>
      <c r="H66" s="378">
        <f>'I) Dépenses thématiques'!O65</f>
        <v>-191132.73497082578</v>
      </c>
      <c r="I66" s="375">
        <f>'K) Plafonnement aide'!J65</f>
        <v>0</v>
      </c>
      <c r="J66" s="378">
        <f>'J) Plafonnement effort'!I65</f>
        <v>0</v>
      </c>
      <c r="K66" s="375">
        <f>'L) Plafonnement taux'!Q66</f>
        <v>0</v>
      </c>
      <c r="L66" s="373">
        <f t="shared" si="2"/>
        <v>855094.0815994686</v>
      </c>
      <c r="M66" s="267">
        <f>'M) Police'!O66</f>
        <v>166134.09806879482</v>
      </c>
      <c r="N66" s="267">
        <f t="shared" si="1"/>
        <v>1021228.1796682634</v>
      </c>
      <c r="P66" s="328"/>
      <c r="R66" s="381"/>
    </row>
    <row r="67" spans="1:18" s="182" customFormat="1" x14ac:dyDescent="0.25">
      <c r="A67" s="179">
        <f>'B) D RI'!A68</f>
        <v>5497</v>
      </c>
      <c r="B67" s="180" t="str">
        <f>'B) D RI'!B68</f>
        <v>Pompaples</v>
      </c>
      <c r="C67" s="376">
        <f>'B) D RI'!S68</f>
        <v>66</v>
      </c>
      <c r="D67" s="181">
        <f>'B) D RI'!AA68</f>
        <v>859</v>
      </c>
      <c r="E67" s="374">
        <f>'D) Ecrêtage'!M66</f>
        <v>22272.608181818188</v>
      </c>
      <c r="F67" s="378">
        <f>'E) Fact soc'!G72</f>
        <v>506895.47513519332</v>
      </c>
      <c r="G67" s="375">
        <f>'H) Péréquation directe'!I77</f>
        <v>44975.717548941378</v>
      </c>
      <c r="H67" s="378">
        <f>'I) Dépenses thématiques'!O66</f>
        <v>-169263.12420927963</v>
      </c>
      <c r="I67" s="375">
        <f>'K) Plafonnement aide'!J66</f>
        <v>0</v>
      </c>
      <c r="J67" s="378">
        <f>'J) Plafonnement effort'!I66</f>
        <v>0</v>
      </c>
      <c r="K67" s="375">
        <f>'L) Plafonnement taux'!Q67</f>
        <v>0</v>
      </c>
      <c r="L67" s="373">
        <f t="shared" si="2"/>
        <v>382608.06847485504</v>
      </c>
      <c r="M67" s="267">
        <f>'M) Police'!O67</f>
        <v>69653.471982212533</v>
      </c>
      <c r="N67" s="267">
        <f t="shared" si="1"/>
        <v>452261.54045706755</v>
      </c>
      <c r="P67" s="328"/>
      <c r="R67" s="381"/>
    </row>
    <row r="68" spans="1:18" s="182" customFormat="1" x14ac:dyDescent="0.25">
      <c r="A68" s="179">
        <f>'B) D RI'!A69</f>
        <v>5498</v>
      </c>
      <c r="B68" s="180" t="str">
        <f>'B) D RI'!B69</f>
        <v>La Sarraz</v>
      </c>
      <c r="C68" s="376">
        <f>'B) D RI'!S69</f>
        <v>66</v>
      </c>
      <c r="D68" s="181">
        <f>'B) D RI'!AA69</f>
        <v>2567</v>
      </c>
      <c r="E68" s="374">
        <f>'D) Ecrêtage'!M67</f>
        <v>73804.61909090908</v>
      </c>
      <c r="F68" s="378">
        <f>'E) Fact soc'!G73</f>
        <v>1289514.4210880904</v>
      </c>
      <c r="G68" s="375">
        <f>'H) Péréquation directe'!I78</f>
        <v>10312.072727095336</v>
      </c>
      <c r="H68" s="378">
        <f>'I) Dépenses thématiques'!O67</f>
        <v>-613315.49516519811</v>
      </c>
      <c r="I68" s="375">
        <f>'K) Plafonnement aide'!J67</f>
        <v>0</v>
      </c>
      <c r="J68" s="378">
        <f>'J) Plafonnement effort'!I67</f>
        <v>0</v>
      </c>
      <c r="K68" s="375">
        <f>'L) Plafonnement taux'!Q68</f>
        <v>0</v>
      </c>
      <c r="L68" s="373">
        <f t="shared" si="2"/>
        <v>686510.99864998762</v>
      </c>
      <c r="M68" s="267">
        <f>'M) Police'!O68</f>
        <v>232438.16137118466</v>
      </c>
      <c r="N68" s="267">
        <f t="shared" si="1"/>
        <v>918949.16002117225</v>
      </c>
      <c r="P68" s="328"/>
      <c r="R68" s="381"/>
    </row>
    <row r="69" spans="1:18" s="182" customFormat="1" x14ac:dyDescent="0.25">
      <c r="A69" s="179">
        <f>'B) D RI'!A70</f>
        <v>5499</v>
      </c>
      <c r="B69" s="180" t="str">
        <f>'B) D RI'!B70</f>
        <v>Senarclens</v>
      </c>
      <c r="C69" s="376">
        <f>'B) D RI'!S70</f>
        <v>68.5</v>
      </c>
      <c r="D69" s="181">
        <f>'B) D RI'!AA70</f>
        <v>459</v>
      </c>
      <c r="E69" s="374">
        <f>'D) Ecrêtage'!M68</f>
        <v>18585.936788321167</v>
      </c>
      <c r="F69" s="378">
        <f>'E) Fact soc'!G74</f>
        <v>339302.56163059</v>
      </c>
      <c r="G69" s="375">
        <f>'H) Péréquation directe'!I79</f>
        <v>262900.11111798533</v>
      </c>
      <c r="H69" s="378">
        <f>'I) Dépenses thématiques'!O68</f>
        <v>-90115.122574462672</v>
      </c>
      <c r="I69" s="375">
        <f>'K) Plafonnement aide'!J68</f>
        <v>0</v>
      </c>
      <c r="J69" s="378">
        <f>'J) Plafonnement effort'!I68</f>
        <v>0</v>
      </c>
      <c r="K69" s="375">
        <f>'L) Plafonnement taux'!Q69</f>
        <v>0</v>
      </c>
      <c r="L69" s="373">
        <f t="shared" si="2"/>
        <v>512087.55017411266</v>
      </c>
      <c r="M69" s="267">
        <f>'M) Police'!O69</f>
        <v>58951.315019892441</v>
      </c>
      <c r="N69" s="267">
        <f t="shared" si="1"/>
        <v>571038.86519400508</v>
      </c>
      <c r="P69" s="328"/>
      <c r="R69" s="381"/>
    </row>
    <row r="70" spans="1:18" s="182" customFormat="1" x14ac:dyDescent="0.25">
      <c r="A70" s="179">
        <f>'B) D RI'!A71</f>
        <v>5500</v>
      </c>
      <c r="B70" s="180" t="str">
        <f>'B) D RI'!B71</f>
        <v>Sévery</v>
      </c>
      <c r="C70" s="376">
        <f>'B) D RI'!S71</f>
        <v>76</v>
      </c>
      <c r="D70" s="181">
        <f>'B) D RI'!AA71</f>
        <v>243</v>
      </c>
      <c r="E70" s="374">
        <f>'D) Ecrêtage'!M69</f>
        <v>8028.7526973684207</v>
      </c>
      <c r="F70" s="378">
        <f>'E) Fact soc'!G75</f>
        <v>128577.3282113887</v>
      </c>
      <c r="G70" s="375">
        <f>'H) Péréquation directe'!I80</f>
        <v>58356.615060871467</v>
      </c>
      <c r="H70" s="378">
        <f>'I) Dépenses thématiques'!O69</f>
        <v>-12156.092860857965</v>
      </c>
      <c r="I70" s="375">
        <f>'K) Plafonnement aide'!J69</f>
        <v>0</v>
      </c>
      <c r="J70" s="378">
        <f>'J) Plafonnement effort'!I69</f>
        <v>0</v>
      </c>
      <c r="K70" s="375">
        <f>'L) Plafonnement taux'!Q70</f>
        <v>0</v>
      </c>
      <c r="L70" s="373">
        <f t="shared" si="2"/>
        <v>174777.85041140221</v>
      </c>
      <c r="M70" s="267">
        <f>'M) Police'!O70</f>
        <v>25469.904775838993</v>
      </c>
      <c r="N70" s="267">
        <f t="shared" si="1"/>
        <v>200247.75518724119</v>
      </c>
      <c r="P70" s="328"/>
      <c r="R70" s="381"/>
    </row>
    <row r="71" spans="1:18" s="182" customFormat="1" x14ac:dyDescent="0.25">
      <c r="A71" s="179">
        <f>'B) D RI'!A72</f>
        <v>5501</v>
      </c>
      <c r="B71" s="180" t="str">
        <f>'B) D RI'!B72</f>
        <v>Sullens</v>
      </c>
      <c r="C71" s="376">
        <f>'B) D RI'!S72</f>
        <v>70</v>
      </c>
      <c r="D71" s="181">
        <f>'B) D RI'!AA72</f>
        <v>978</v>
      </c>
      <c r="E71" s="374">
        <f>'D) Ecrêtage'!M70</f>
        <v>35737.650142857143</v>
      </c>
      <c r="F71" s="378">
        <f>'E) Fact soc'!G76</f>
        <v>712587.88303510018</v>
      </c>
      <c r="G71" s="375">
        <f>'H) Péréquation directe'!I81</f>
        <v>408101.5537348428</v>
      </c>
      <c r="H71" s="378">
        <f>'I) Dépenses thématiques'!O70</f>
        <v>-14008.696916017077</v>
      </c>
      <c r="I71" s="375">
        <f>'K) Plafonnement aide'!J70</f>
        <v>0</v>
      </c>
      <c r="J71" s="378">
        <f>'J) Plafonnement effort'!I70</f>
        <v>0</v>
      </c>
      <c r="K71" s="375">
        <f>'L) Plafonnement taux'!Q71</f>
        <v>0</v>
      </c>
      <c r="L71" s="373">
        <f t="shared" si="2"/>
        <v>1106680.739853926</v>
      </c>
      <c r="M71" s="267">
        <f>'M) Police'!O71</f>
        <v>112783.29105830076</v>
      </c>
      <c r="N71" s="267">
        <f t="shared" ref="N71:N134" si="3">L71+M71</f>
        <v>1219464.0309122268</v>
      </c>
      <c r="P71" s="328"/>
      <c r="R71" s="381"/>
    </row>
    <row r="72" spans="1:18" s="182" customFormat="1" x14ac:dyDescent="0.25">
      <c r="A72" s="179">
        <f>'B) D RI'!A73</f>
        <v>5503</v>
      </c>
      <c r="B72" s="180" t="str">
        <f>'B) D RI'!B73</f>
        <v>Vufflens-la-Ville</v>
      </c>
      <c r="C72" s="376">
        <f>'B) D RI'!S73</f>
        <v>67</v>
      </c>
      <c r="D72" s="181">
        <f>'B) D RI'!AA73</f>
        <v>1252</v>
      </c>
      <c r="E72" s="374">
        <f>'D) Ecrêtage'!M71</f>
        <v>64927.66542288557</v>
      </c>
      <c r="F72" s="378">
        <f>'E) Fact soc'!G77</f>
        <v>1296379.1760947427</v>
      </c>
      <c r="G72" s="375">
        <f>'H) Péréquation directe'!I82</f>
        <v>1035521.5479542027</v>
      </c>
      <c r="H72" s="378">
        <f>'I) Dépenses thématiques'!O71</f>
        <v>0</v>
      </c>
      <c r="I72" s="375">
        <f>'K) Plafonnement aide'!J71</f>
        <v>0</v>
      </c>
      <c r="J72" s="378">
        <f>'J) Plafonnement effort'!I71</f>
        <v>0</v>
      </c>
      <c r="K72" s="375">
        <f>'L) Plafonnement taux'!Q72</f>
        <v>0</v>
      </c>
      <c r="L72" s="373">
        <f t="shared" si="2"/>
        <v>2331900.7240489456</v>
      </c>
      <c r="M72" s="267">
        <f>'M) Police'!O72</f>
        <v>193118.57370314575</v>
      </c>
      <c r="N72" s="267">
        <f t="shared" si="3"/>
        <v>2525019.2977520912</v>
      </c>
      <c r="P72" s="328"/>
      <c r="R72" s="381"/>
    </row>
    <row r="73" spans="1:18" s="182" customFormat="1" x14ac:dyDescent="0.25">
      <c r="A73" s="179">
        <f>'B) D RI'!A74</f>
        <v>5511</v>
      </c>
      <c r="B73" s="180" t="str">
        <f>'B) D RI'!B74</f>
        <v>Assens</v>
      </c>
      <c r="C73" s="376">
        <f>'B) D RI'!S74</f>
        <v>70</v>
      </c>
      <c r="D73" s="181">
        <f>'B) D RI'!AA74</f>
        <v>1060</v>
      </c>
      <c r="E73" s="374">
        <f>'D) Ecrêtage'!M72</f>
        <v>39993.346428571429</v>
      </c>
      <c r="F73" s="378">
        <f>'E) Fact soc'!G78</f>
        <v>700608.8871391787</v>
      </c>
      <c r="G73" s="375">
        <f>'H) Péréquation directe'!I83</f>
        <v>475818.85809118929</v>
      </c>
      <c r="H73" s="378">
        <f>'I) Dépenses thématiques'!O72</f>
        <v>-290494.03091713728</v>
      </c>
      <c r="I73" s="375">
        <f>'K) Plafonnement aide'!J72</f>
        <v>0</v>
      </c>
      <c r="J73" s="378">
        <f>'J) Plafonnement effort'!I72</f>
        <v>0</v>
      </c>
      <c r="K73" s="375">
        <f>'L) Plafonnement taux'!Q73</f>
        <v>0</v>
      </c>
      <c r="L73" s="373">
        <f t="shared" si="2"/>
        <v>885933.71431323059</v>
      </c>
      <c r="M73" s="267">
        <f>'M) Police'!O73</f>
        <v>125926.05547738091</v>
      </c>
      <c r="N73" s="267">
        <f t="shared" si="3"/>
        <v>1011859.7697906115</v>
      </c>
      <c r="P73" s="328"/>
      <c r="R73" s="381"/>
    </row>
    <row r="74" spans="1:18" s="182" customFormat="1" x14ac:dyDescent="0.25">
      <c r="A74" s="179">
        <f>'B) D RI'!A75</f>
        <v>5512</v>
      </c>
      <c r="B74" s="180" t="str">
        <f>'B) D RI'!B75</f>
        <v>Bercher</v>
      </c>
      <c r="C74" s="376">
        <f>'B) D RI'!S75</f>
        <v>79</v>
      </c>
      <c r="D74" s="181">
        <f>'B) D RI'!AA75</f>
        <v>1157</v>
      </c>
      <c r="E74" s="374">
        <f>'D) Ecrêtage'!M73</f>
        <v>35096.262278481016</v>
      </c>
      <c r="F74" s="378">
        <f>'E) Fact soc'!G79</f>
        <v>685897.50769321667</v>
      </c>
      <c r="G74" s="375">
        <f>'H) Péréquation directe'!I84</f>
        <v>76018.963739017956</v>
      </c>
      <c r="H74" s="378">
        <f>'I) Dépenses thématiques'!O73</f>
        <v>-148857.21790959258</v>
      </c>
      <c r="I74" s="375">
        <f>'K) Plafonnement aide'!J73</f>
        <v>0</v>
      </c>
      <c r="J74" s="378">
        <f>'J) Plafonnement effort'!I73</f>
        <v>0</v>
      </c>
      <c r="K74" s="375">
        <f>'L) Plafonnement taux'!Q74</f>
        <v>0</v>
      </c>
      <c r="L74" s="373">
        <f t="shared" si="2"/>
        <v>613059.25352264207</v>
      </c>
      <c r="M74" s="267">
        <f>'M) Police'!O74</f>
        <v>110091.28461928107</v>
      </c>
      <c r="N74" s="267">
        <f t="shared" si="3"/>
        <v>723150.53814192314</v>
      </c>
      <c r="P74" s="328"/>
      <c r="R74" s="381"/>
    </row>
    <row r="75" spans="1:18" s="182" customFormat="1" x14ac:dyDescent="0.25">
      <c r="A75" s="179">
        <f>'B) D RI'!A76</f>
        <v>5513</v>
      </c>
      <c r="B75" s="180" t="str">
        <f>'B) D RI'!B76</f>
        <v>Bioley-Orjulaz</v>
      </c>
      <c r="C75" s="376">
        <f>'B) D RI'!S76</f>
        <v>66</v>
      </c>
      <c r="D75" s="181">
        <f>'B) D RI'!AA76</f>
        <v>483</v>
      </c>
      <c r="E75" s="374">
        <f>'D) Ecrêtage'!M74</f>
        <v>22441.228030303031</v>
      </c>
      <c r="F75" s="378">
        <f>'E) Fact soc'!G80</f>
        <v>387697.69659238163</v>
      </c>
      <c r="G75" s="375">
        <f>'H) Péréquation directe'!I85</f>
        <v>374424.24502683792</v>
      </c>
      <c r="H75" s="378">
        <f>'I) Dépenses thématiques'!O74</f>
        <v>-7345.6066457497218</v>
      </c>
      <c r="I75" s="375">
        <f>'K) Plafonnement aide'!J74</f>
        <v>0</v>
      </c>
      <c r="J75" s="378">
        <f>'J) Plafonnement effort'!I74</f>
        <v>0</v>
      </c>
      <c r="K75" s="375">
        <f>'L) Plafonnement taux'!Q75</f>
        <v>0</v>
      </c>
      <c r="L75" s="373">
        <f t="shared" si="2"/>
        <v>754776.33497346973</v>
      </c>
      <c r="M75" s="267">
        <f>'M) Police'!O75</f>
        <v>71003.063351085293</v>
      </c>
      <c r="N75" s="267">
        <f t="shared" si="3"/>
        <v>825779.39832455502</v>
      </c>
      <c r="P75" s="328"/>
      <c r="R75" s="381"/>
    </row>
    <row r="76" spans="1:18" s="182" customFormat="1" x14ac:dyDescent="0.25">
      <c r="A76" s="179">
        <f>'B) D RI'!A77</f>
        <v>5514</v>
      </c>
      <c r="B76" s="180" t="str">
        <f>'B) D RI'!B77</f>
        <v>Bottens</v>
      </c>
      <c r="C76" s="376">
        <f>'B) D RI'!S77</f>
        <v>69</v>
      </c>
      <c r="D76" s="181">
        <f>'B) D RI'!AA77</f>
        <v>1240</v>
      </c>
      <c r="E76" s="374">
        <f>'D) Ecrêtage'!M75</f>
        <v>40579.944927536235</v>
      </c>
      <c r="F76" s="378">
        <f>'E) Fact soc'!G81</f>
        <v>743346.59870561224</v>
      </c>
      <c r="G76" s="375">
        <f>'H) Péréquation directe'!I86</f>
        <v>285485.66047408979</v>
      </c>
      <c r="H76" s="378">
        <f>'I) Dépenses thématiques'!O75</f>
        <v>-19925.40306299023</v>
      </c>
      <c r="I76" s="375">
        <f>'K) Plafonnement aide'!J75</f>
        <v>0</v>
      </c>
      <c r="J76" s="378">
        <f>'J) Plafonnement effort'!I75</f>
        <v>0</v>
      </c>
      <c r="K76" s="375">
        <f>'L) Plafonnement taux'!Q76</f>
        <v>0</v>
      </c>
      <c r="L76" s="373">
        <f t="shared" si="2"/>
        <v>1008906.8561167117</v>
      </c>
      <c r="M76" s="267">
        <f>'M) Police'!O76</f>
        <v>127674.76009205848</v>
      </c>
      <c r="N76" s="267">
        <f t="shared" si="3"/>
        <v>1136581.6162087703</v>
      </c>
      <c r="P76" s="328"/>
      <c r="R76" s="381"/>
    </row>
    <row r="77" spans="1:18" s="182" customFormat="1" x14ac:dyDescent="0.25">
      <c r="A77" s="179">
        <f>'B) D RI'!A78</f>
        <v>5515</v>
      </c>
      <c r="B77" s="180" t="str">
        <f>'B) D RI'!B78</f>
        <v>Bretigny-sur-Morrens</v>
      </c>
      <c r="C77" s="376">
        <f>'B) D RI'!S78</f>
        <v>73</v>
      </c>
      <c r="D77" s="181">
        <f>'B) D RI'!AA78</f>
        <v>817</v>
      </c>
      <c r="E77" s="374">
        <f>'D) Ecrêtage'!M76</f>
        <v>25654.980410958906</v>
      </c>
      <c r="F77" s="378">
        <f>'E) Fact soc'!G82</f>
        <v>429251.86354196089</v>
      </c>
      <c r="G77" s="375">
        <f>'H) Péréquation directe'!I87</f>
        <v>160444.44008874579</v>
      </c>
      <c r="H77" s="378">
        <f>'I) Dépenses thématiques'!O76</f>
        <v>-51469.83073442048</v>
      </c>
      <c r="I77" s="375">
        <f>'K) Plafonnement aide'!J76</f>
        <v>0</v>
      </c>
      <c r="J77" s="378">
        <f>'J) Plafonnement effort'!I76</f>
        <v>0</v>
      </c>
      <c r="K77" s="375">
        <f>'L) Plafonnement taux'!Q77</f>
        <v>0</v>
      </c>
      <c r="L77" s="373">
        <f t="shared" si="2"/>
        <v>538226.47289628617</v>
      </c>
      <c r="M77" s="267">
        <f>'M) Police'!O77</f>
        <v>80870.807573688871</v>
      </c>
      <c r="N77" s="267">
        <f t="shared" si="3"/>
        <v>619097.28046997508</v>
      </c>
      <c r="P77" s="328"/>
      <c r="R77" s="381"/>
    </row>
    <row r="78" spans="1:18" s="182" customFormat="1" x14ac:dyDescent="0.25">
      <c r="A78" s="179">
        <f>'B) D RI'!A79</f>
        <v>5516</v>
      </c>
      <c r="B78" s="180" t="str">
        <f>'B) D RI'!B79</f>
        <v>Cugy</v>
      </c>
      <c r="C78" s="376">
        <f>'B) D RI'!S79</f>
        <v>70</v>
      </c>
      <c r="D78" s="181">
        <f>'B) D RI'!AA79</f>
        <v>2739</v>
      </c>
      <c r="E78" s="374">
        <f>'D) Ecrêtage'!M77</f>
        <v>107712.55485714282</v>
      </c>
      <c r="F78" s="378">
        <f>'E) Fact soc'!G83</f>
        <v>1867095.2278269618</v>
      </c>
      <c r="G78" s="375">
        <f>'H) Péréquation directe'!I88</f>
        <v>1006705.9127935739</v>
      </c>
      <c r="H78" s="378">
        <f>'I) Dépenses thématiques'!O77</f>
        <v>-171235.39237121155</v>
      </c>
      <c r="I78" s="375">
        <f>'K) Plafonnement aide'!J77</f>
        <v>0</v>
      </c>
      <c r="J78" s="378">
        <f>'J) Plafonnement effort'!I77</f>
        <v>0</v>
      </c>
      <c r="K78" s="375">
        <f>'L) Plafonnement taux'!Q78</f>
        <v>0</v>
      </c>
      <c r="L78" s="373">
        <f t="shared" si="2"/>
        <v>2702565.748249324</v>
      </c>
      <c r="M78" s="267">
        <f>'M) Police'!O78</f>
        <v>338943.54400169972</v>
      </c>
      <c r="N78" s="267">
        <f t="shared" si="3"/>
        <v>3041509.2922510239</v>
      </c>
      <c r="P78" s="328"/>
      <c r="R78" s="381"/>
    </row>
    <row r="79" spans="1:18" s="182" customFormat="1" x14ac:dyDescent="0.25">
      <c r="A79" s="179">
        <f>'B) D RI'!A80</f>
        <v>5518</v>
      </c>
      <c r="B79" s="180" t="str">
        <f>'B) D RI'!B80</f>
        <v>Echallens</v>
      </c>
      <c r="C79" s="376">
        <f>'B) D RI'!S80</f>
        <v>74</v>
      </c>
      <c r="D79" s="181">
        <f>'B) D RI'!AA80</f>
        <v>5677</v>
      </c>
      <c r="E79" s="374">
        <f>'D) Ecrêtage'!M78</f>
        <v>187267.45324324328</v>
      </c>
      <c r="F79" s="378">
        <f>'E) Fact soc'!G84</f>
        <v>3526061.1337132086</v>
      </c>
      <c r="G79" s="375">
        <f>'H) Péréquation directe'!I89</f>
        <v>-181000.41836786503</v>
      </c>
      <c r="H79" s="378">
        <f>'I) Dépenses thématiques'!O78</f>
        <v>-855543.30035433418</v>
      </c>
      <c r="I79" s="375">
        <f>'K) Plafonnement aide'!J78</f>
        <v>0</v>
      </c>
      <c r="J79" s="378">
        <f>'J) Plafonnement effort'!I78</f>
        <v>0</v>
      </c>
      <c r="K79" s="375">
        <f>'L) Plafonnement taux'!Q79</f>
        <v>0</v>
      </c>
      <c r="L79" s="373">
        <f t="shared" si="2"/>
        <v>2489517.4149910095</v>
      </c>
      <c r="M79" s="267">
        <f>'M) Police'!O79</f>
        <v>591767.20206660626</v>
      </c>
      <c r="N79" s="267">
        <f t="shared" si="3"/>
        <v>3081284.6170576159</v>
      </c>
      <c r="P79" s="328"/>
      <c r="R79" s="381"/>
    </row>
    <row r="80" spans="1:18" s="182" customFormat="1" x14ac:dyDescent="0.25">
      <c r="A80" s="179">
        <f>'B) D RI'!A81</f>
        <v>5520</v>
      </c>
      <c r="B80" s="180" t="str">
        <f>'B) D RI'!B81</f>
        <v>Essertines-sur-Yverdon</v>
      </c>
      <c r="C80" s="376">
        <f>'B) D RI'!S81</f>
        <v>73</v>
      </c>
      <c r="D80" s="181">
        <f>'B) D RI'!AA81</f>
        <v>943</v>
      </c>
      <c r="E80" s="374">
        <f>'D) Ecrêtage'!M79</f>
        <v>28096.496575342466</v>
      </c>
      <c r="F80" s="378">
        <f>'E) Fact soc'!G85</f>
        <v>485288.44277312397</v>
      </c>
      <c r="G80" s="375">
        <f>'H) Péréquation directe'!I90</f>
        <v>124499.73815160483</v>
      </c>
      <c r="H80" s="378">
        <f>'I) Dépenses thématiques'!O79</f>
        <v>-108779.36200070049</v>
      </c>
      <c r="I80" s="375">
        <f>'K) Plafonnement aide'!J79</f>
        <v>0</v>
      </c>
      <c r="J80" s="378">
        <f>'J) Plafonnement effort'!I79</f>
        <v>0</v>
      </c>
      <c r="K80" s="375">
        <f>'L) Plafonnement taux'!Q80</f>
        <v>0</v>
      </c>
      <c r="L80" s="373">
        <f t="shared" si="2"/>
        <v>501008.81892402825</v>
      </c>
      <c r="M80" s="267">
        <f>'M) Police'!O80</f>
        <v>88210.132302785001</v>
      </c>
      <c r="N80" s="267">
        <f t="shared" si="3"/>
        <v>589218.95122681325</v>
      </c>
      <c r="P80" s="328"/>
      <c r="R80" s="381"/>
    </row>
    <row r="81" spans="1:18" s="182" customFormat="1" x14ac:dyDescent="0.25">
      <c r="A81" s="179">
        <f>'B) D RI'!A82</f>
        <v>5521</v>
      </c>
      <c r="B81" s="180" t="str">
        <f>'B) D RI'!B82</f>
        <v>Etagnières</v>
      </c>
      <c r="C81" s="376">
        <f>'B) D RI'!S82</f>
        <v>73</v>
      </c>
      <c r="D81" s="181">
        <f>'B) D RI'!AA82</f>
        <v>1118</v>
      </c>
      <c r="E81" s="374">
        <f>'D) Ecrêtage'!M80</f>
        <v>40658.047260273968</v>
      </c>
      <c r="F81" s="378">
        <f>'E) Fact soc'!G86</f>
        <v>669351.28224100918</v>
      </c>
      <c r="G81" s="375">
        <f>'H) Péréquation directe'!I91</f>
        <v>412836.35020133376</v>
      </c>
      <c r="H81" s="378">
        <f>'I) Dépenses thématiques'!O80</f>
        <v>-16623.736911655797</v>
      </c>
      <c r="I81" s="375">
        <f>'K) Plafonnement aide'!J80</f>
        <v>0</v>
      </c>
      <c r="J81" s="378">
        <f>'J) Plafonnement effort'!I80</f>
        <v>0</v>
      </c>
      <c r="K81" s="375">
        <f>'L) Plafonnement taux'!Q81</f>
        <v>0</v>
      </c>
      <c r="L81" s="373">
        <f t="shared" si="2"/>
        <v>1065563.8955306872</v>
      </c>
      <c r="M81" s="267">
        <f>'M) Police'!O81</f>
        <v>127664.47089830064</v>
      </c>
      <c r="N81" s="267">
        <f t="shared" si="3"/>
        <v>1193228.3664289878</v>
      </c>
      <c r="P81" s="328"/>
      <c r="R81" s="381"/>
    </row>
    <row r="82" spans="1:18" s="182" customFormat="1" x14ac:dyDescent="0.25">
      <c r="A82" s="179">
        <f>'B) D RI'!A83</f>
        <v>5522</v>
      </c>
      <c r="B82" s="180" t="str">
        <f>'B) D RI'!B83</f>
        <v>Fey</v>
      </c>
      <c r="C82" s="376">
        <f>'B) D RI'!S83</f>
        <v>75</v>
      </c>
      <c r="D82" s="181">
        <f>'B) D RI'!AA83</f>
        <v>696</v>
      </c>
      <c r="E82" s="374">
        <f>'D) Ecrêtage'!M81</f>
        <v>19109.159333333333</v>
      </c>
      <c r="F82" s="378">
        <f>'E) Fact soc'!G87</f>
        <v>367444.34815126867</v>
      </c>
      <c r="G82" s="375">
        <f>'H) Péréquation directe'!I92</f>
        <v>12007.43410061422</v>
      </c>
      <c r="H82" s="378">
        <f>'I) Dépenses thématiques'!O81</f>
        <v>-81199.170420926777</v>
      </c>
      <c r="I82" s="375">
        <f>'K) Plafonnement aide'!J81</f>
        <v>0</v>
      </c>
      <c r="J82" s="378">
        <f>'J) Plafonnement effort'!I81</f>
        <v>0</v>
      </c>
      <c r="K82" s="375">
        <f>'L) Plafonnement taux'!Q82</f>
        <v>0</v>
      </c>
      <c r="L82" s="373">
        <f t="shared" si="2"/>
        <v>298252.61183095613</v>
      </c>
      <c r="M82" s="267">
        <f>'M) Police'!O82</f>
        <v>60016.280799539876</v>
      </c>
      <c r="N82" s="267">
        <f t="shared" si="3"/>
        <v>358268.892630496</v>
      </c>
      <c r="P82" s="328"/>
      <c r="R82" s="381"/>
    </row>
    <row r="83" spans="1:18" s="182" customFormat="1" x14ac:dyDescent="0.25">
      <c r="A83" s="179">
        <f>'B) D RI'!A84</f>
        <v>5523</v>
      </c>
      <c r="B83" s="180" t="str">
        <f>'B) D RI'!B84</f>
        <v>Froideville</v>
      </c>
      <c r="C83" s="376">
        <f>'B) D RI'!S84</f>
        <v>76</v>
      </c>
      <c r="D83" s="181">
        <f>'B) D RI'!AA84</f>
        <v>2459</v>
      </c>
      <c r="E83" s="374">
        <f>'D) Ecrêtage'!M82</f>
        <v>77198.057236842113</v>
      </c>
      <c r="F83" s="378">
        <f>'E) Fact soc'!G88</f>
        <v>1470494.4515820872</v>
      </c>
      <c r="G83" s="375">
        <f>'H) Péréquation directe'!I93</f>
        <v>61567.207601548173</v>
      </c>
      <c r="H83" s="378">
        <f>'I) Dépenses thématiques'!O82</f>
        <v>-160387.79070018211</v>
      </c>
      <c r="I83" s="375">
        <f>'K) Plafonnement aide'!J82</f>
        <v>0</v>
      </c>
      <c r="J83" s="378">
        <f>'J) Plafonnement effort'!I82</f>
        <v>0</v>
      </c>
      <c r="K83" s="375">
        <f>'L) Plafonnement taux'!Q83</f>
        <v>0</v>
      </c>
      <c r="L83" s="373">
        <f t="shared" si="2"/>
        <v>1371673.8684834533</v>
      </c>
      <c r="M83" s="267">
        <f>'M) Police'!O83</f>
        <v>242137.3768649009</v>
      </c>
      <c r="N83" s="267">
        <f t="shared" si="3"/>
        <v>1613811.2453483541</v>
      </c>
      <c r="P83" s="328"/>
      <c r="R83" s="381"/>
    </row>
    <row r="84" spans="1:18" s="182" customFormat="1" x14ac:dyDescent="0.25">
      <c r="A84" s="179">
        <f>'B) D RI'!A85</f>
        <v>5527</v>
      </c>
      <c r="B84" s="180" t="str">
        <f>'B) D RI'!B85</f>
        <v>Morrens</v>
      </c>
      <c r="C84" s="376">
        <f>'B) D RI'!S85</f>
        <v>71</v>
      </c>
      <c r="D84" s="181">
        <f>'B) D RI'!AA85</f>
        <v>1074</v>
      </c>
      <c r="E84" s="374">
        <f>'D) Ecrêtage'!M83</f>
        <v>37560.717323943667</v>
      </c>
      <c r="F84" s="378">
        <f>'E) Fact soc'!G89</f>
        <v>604379.06150004664</v>
      </c>
      <c r="G84" s="375">
        <f>'H) Péréquation directe'!I94</f>
        <v>359067.80032500857</v>
      </c>
      <c r="H84" s="378">
        <f>'I) Dépenses thématiques'!O83</f>
        <v>-12327.296275012655</v>
      </c>
      <c r="I84" s="375">
        <f>'K) Plafonnement aide'!J83</f>
        <v>0</v>
      </c>
      <c r="J84" s="378">
        <f>'J) Plafonnement effort'!I83</f>
        <v>0</v>
      </c>
      <c r="K84" s="375">
        <f>'L) Plafonnement taux'!Q84</f>
        <v>0</v>
      </c>
      <c r="L84" s="373">
        <f t="shared" si="2"/>
        <v>951119.56555004255</v>
      </c>
      <c r="M84" s="267">
        <f>'M) Police'!O84</f>
        <v>118097.26176070122</v>
      </c>
      <c r="N84" s="267">
        <f t="shared" si="3"/>
        <v>1069216.8273107437</v>
      </c>
      <c r="P84" s="328"/>
      <c r="R84" s="381"/>
    </row>
    <row r="85" spans="1:18" s="182" customFormat="1" x14ac:dyDescent="0.25">
      <c r="A85" s="179">
        <f>'B) D RI'!A86</f>
        <v>5529</v>
      </c>
      <c r="B85" s="180" t="str">
        <f>'B) D RI'!B86</f>
        <v>Oulens-sous-Echallens</v>
      </c>
      <c r="C85" s="376">
        <f>'B) D RI'!S86</f>
        <v>71</v>
      </c>
      <c r="D85" s="181">
        <f>'B) D RI'!AA86</f>
        <v>560</v>
      </c>
      <c r="E85" s="374">
        <f>'D) Ecrêtage'!M84</f>
        <v>19874.862394366199</v>
      </c>
      <c r="F85" s="378">
        <f>'E) Fact soc'!G90</f>
        <v>337536.35202291672</v>
      </c>
      <c r="G85" s="375">
        <f>'H) Péréquation directe'!I95</f>
        <v>208022.30452380539</v>
      </c>
      <c r="H85" s="378">
        <f>'I) Dépenses thématiques'!O84</f>
        <v>-128748.95386667221</v>
      </c>
      <c r="I85" s="375">
        <f>'K) Plafonnement aide'!J84</f>
        <v>0</v>
      </c>
      <c r="J85" s="378">
        <f>'J) Plafonnement effort'!I84</f>
        <v>0</v>
      </c>
      <c r="K85" s="375">
        <f>'L) Plafonnement taux'!Q85</f>
        <v>0</v>
      </c>
      <c r="L85" s="373">
        <f t="shared" si="2"/>
        <v>416809.70268004993</v>
      </c>
      <c r="M85" s="267">
        <f>'M) Police'!O85</f>
        <v>62694.14348713962</v>
      </c>
      <c r="N85" s="267">
        <f t="shared" si="3"/>
        <v>479503.84616718953</v>
      </c>
      <c r="P85" s="328"/>
      <c r="R85" s="381"/>
    </row>
    <row r="86" spans="1:18" s="182" customFormat="1" x14ac:dyDescent="0.25">
      <c r="A86" s="179">
        <f>'B) D RI'!A87</f>
        <v>5530</v>
      </c>
      <c r="B86" s="180" t="str">
        <f>'B) D RI'!B87</f>
        <v>Pailly</v>
      </c>
      <c r="C86" s="376">
        <f>'B) D RI'!S87</f>
        <v>77.5</v>
      </c>
      <c r="D86" s="181">
        <f>'B) D RI'!AA87</f>
        <v>534</v>
      </c>
      <c r="E86" s="374">
        <f>'D) Ecrêtage'!M85</f>
        <v>15272.027655913982</v>
      </c>
      <c r="F86" s="378">
        <f>'E) Fact soc'!G91</f>
        <v>236797.99227257207</v>
      </c>
      <c r="G86" s="375">
        <f>'H) Péréquation directe'!I96</f>
        <v>20828.593436870608</v>
      </c>
      <c r="H86" s="378">
        <f>'I) Dépenses thématiques'!O85</f>
        <v>-370447.02885250724</v>
      </c>
      <c r="I86" s="375">
        <f>'K) Plafonnement aide'!J85</f>
        <v>0</v>
      </c>
      <c r="J86" s="378">
        <f>'J) Plafonnement effort'!I85</f>
        <v>0</v>
      </c>
      <c r="K86" s="375">
        <f>'L) Plafonnement taux'!Q86</f>
        <v>0</v>
      </c>
      <c r="L86" s="373">
        <f t="shared" si="2"/>
        <v>-112820.44314306456</v>
      </c>
      <c r="M86" s="267">
        <f>'M) Police'!O86</f>
        <v>48077.216103020903</v>
      </c>
      <c r="N86" s="267">
        <f t="shared" si="3"/>
        <v>-64743.227040043661</v>
      </c>
      <c r="P86" s="328"/>
      <c r="R86" s="381"/>
    </row>
    <row r="87" spans="1:18" s="182" customFormat="1" x14ac:dyDescent="0.25">
      <c r="A87" s="179">
        <f>'B) D RI'!A88</f>
        <v>5531</v>
      </c>
      <c r="B87" s="180" t="str">
        <f>'B) D RI'!B88</f>
        <v>Penthéréaz</v>
      </c>
      <c r="C87" s="376">
        <f>'B) D RI'!S88</f>
        <v>78</v>
      </c>
      <c r="D87" s="181">
        <f>'B) D RI'!AA88</f>
        <v>411</v>
      </c>
      <c r="E87" s="374">
        <f>'D) Ecrêtage'!M86</f>
        <v>12101.700128205126</v>
      </c>
      <c r="F87" s="378">
        <f>'E) Fact soc'!G92</f>
        <v>211120.45804267723</v>
      </c>
      <c r="G87" s="375">
        <f>'H) Péréquation directe'!I97</f>
        <v>28862.597411852214</v>
      </c>
      <c r="H87" s="378">
        <f>'I) Dépenses thématiques'!O86</f>
        <v>-74298.525939575105</v>
      </c>
      <c r="I87" s="375">
        <f>'K) Plafonnement aide'!J86</f>
        <v>0</v>
      </c>
      <c r="J87" s="378">
        <f>'J) Plafonnement effort'!I86</f>
        <v>0</v>
      </c>
      <c r="K87" s="375">
        <f>'L) Plafonnement taux'!Q87</f>
        <v>0</v>
      </c>
      <c r="L87" s="373">
        <f t="shared" si="2"/>
        <v>165684.52951495434</v>
      </c>
      <c r="M87" s="267">
        <f>'M) Police'!O87</f>
        <v>38183.414602420824</v>
      </c>
      <c r="N87" s="267">
        <f t="shared" si="3"/>
        <v>203867.94411737515</v>
      </c>
      <c r="P87" s="328"/>
      <c r="R87" s="381"/>
    </row>
    <row r="88" spans="1:18" s="182" customFormat="1" x14ac:dyDescent="0.25">
      <c r="A88" s="179">
        <f>'B) D RI'!A89</f>
        <v>5533</v>
      </c>
      <c r="B88" s="180" t="str">
        <f>'B) D RI'!B89</f>
        <v>Poliez-Pittet</v>
      </c>
      <c r="C88" s="376">
        <f>'B) D RI'!S89</f>
        <v>71</v>
      </c>
      <c r="D88" s="181">
        <f>'B) D RI'!AA89</f>
        <v>844</v>
      </c>
      <c r="E88" s="374">
        <f>'D) Ecrêtage'!M87</f>
        <v>27045.170985915491</v>
      </c>
      <c r="F88" s="378">
        <f>'E) Fact soc'!G93</f>
        <v>433378.5296243779</v>
      </c>
      <c r="G88" s="375">
        <f>'H) Péréquation directe'!I98</f>
        <v>200331.21807647339</v>
      </c>
      <c r="H88" s="378">
        <f>'I) Dépenses thématiques'!O87</f>
        <v>-36109.793633413006</v>
      </c>
      <c r="I88" s="375">
        <f>'K) Plafonnement aide'!J87</f>
        <v>0</v>
      </c>
      <c r="J88" s="378">
        <f>'J) Plafonnement effort'!I87</f>
        <v>0</v>
      </c>
      <c r="K88" s="375">
        <f>'L) Plafonnement taux'!Q88</f>
        <v>0</v>
      </c>
      <c r="L88" s="373">
        <f t="shared" si="2"/>
        <v>597599.95406743826</v>
      </c>
      <c r="M88" s="267">
        <f>'M) Police'!O88</f>
        <v>85513.481469880033</v>
      </c>
      <c r="N88" s="267">
        <f t="shared" si="3"/>
        <v>683113.43553731823</v>
      </c>
      <c r="P88" s="328"/>
      <c r="R88" s="381"/>
    </row>
    <row r="89" spans="1:18" s="182" customFormat="1" x14ac:dyDescent="0.25">
      <c r="A89" s="179">
        <f>'B) D RI'!A90</f>
        <v>5534</v>
      </c>
      <c r="B89" s="180" t="str">
        <f>'B) D RI'!B90</f>
        <v>Rueyres</v>
      </c>
      <c r="C89" s="376">
        <f>'B) D RI'!S90</f>
        <v>73</v>
      </c>
      <c r="D89" s="181">
        <f>'B) D RI'!AA90</f>
        <v>271</v>
      </c>
      <c r="E89" s="374">
        <f>'D) Ecrêtage'!M88</f>
        <v>10934.157945205479</v>
      </c>
      <c r="F89" s="378">
        <f>'E) Fact soc'!G94</f>
        <v>307495.54059854336</v>
      </c>
      <c r="G89" s="375">
        <f>'H) Péréquation directe'!I99</f>
        <v>150332.31096823316</v>
      </c>
      <c r="H89" s="378">
        <f>'I) Dépenses thématiques'!O88</f>
        <v>-49611.203825646808</v>
      </c>
      <c r="I89" s="375">
        <f>'K) Plafonnement aide'!J88</f>
        <v>0</v>
      </c>
      <c r="J89" s="378">
        <f>'J) Plafonnement effort'!I88</f>
        <v>0</v>
      </c>
      <c r="K89" s="375">
        <f>'L) Plafonnement taux'!Q89</f>
        <v>0</v>
      </c>
      <c r="L89" s="373">
        <f t="shared" si="2"/>
        <v>408216.64774112974</v>
      </c>
      <c r="M89" s="267">
        <f>'M) Police'!O89</f>
        <v>34139.831127932121</v>
      </c>
      <c r="N89" s="267">
        <f t="shared" si="3"/>
        <v>442356.47886906186</v>
      </c>
      <c r="P89" s="328"/>
      <c r="R89" s="381"/>
    </row>
    <row r="90" spans="1:18" s="182" customFormat="1" x14ac:dyDescent="0.25">
      <c r="A90" s="179">
        <f>'B) D RI'!A91</f>
        <v>5535</v>
      </c>
      <c r="B90" s="180" t="str">
        <f>'B) D RI'!B91</f>
        <v>Saint-Barthélemy</v>
      </c>
      <c r="C90" s="376">
        <f>'B) D RI'!S91</f>
        <v>75</v>
      </c>
      <c r="D90" s="181">
        <f>'B) D RI'!AA91</f>
        <v>777</v>
      </c>
      <c r="E90" s="374">
        <f>'D) Ecrêtage'!M89</f>
        <v>20697.547200000001</v>
      </c>
      <c r="F90" s="378">
        <f>'E) Fact soc'!G95</f>
        <v>333997.3175840287</v>
      </c>
      <c r="G90" s="375">
        <f>'H) Péréquation directe'!I100</f>
        <v>-12802.385506632912</v>
      </c>
      <c r="H90" s="378">
        <f>'I) Dépenses thématiques'!O89</f>
        <v>0</v>
      </c>
      <c r="I90" s="375">
        <f>'K) Plafonnement aide'!J89</f>
        <v>0</v>
      </c>
      <c r="J90" s="378">
        <f>'J) Plafonnement effort'!I89</f>
        <v>0</v>
      </c>
      <c r="K90" s="375">
        <f>'L) Plafonnement taux'!Q90</f>
        <v>0</v>
      </c>
      <c r="L90" s="373">
        <f t="shared" si="2"/>
        <v>321194.93207739579</v>
      </c>
      <c r="M90" s="267">
        <f>'M) Police'!O90</f>
        <v>64840.108338089689</v>
      </c>
      <c r="N90" s="267">
        <f t="shared" si="3"/>
        <v>386035.04041548551</v>
      </c>
      <c r="P90" s="328"/>
      <c r="R90" s="381"/>
    </row>
    <row r="91" spans="1:18" s="182" customFormat="1" x14ac:dyDescent="0.25">
      <c r="A91" s="179">
        <f>'B) D RI'!A92</f>
        <v>5537</v>
      </c>
      <c r="B91" s="180" t="str">
        <f>'B) D RI'!B92</f>
        <v>Villars-le-Terroir</v>
      </c>
      <c r="C91" s="376">
        <f>'B) D RI'!S92</f>
        <v>73</v>
      </c>
      <c r="D91" s="181">
        <f>'B) D RI'!AA92</f>
        <v>1066</v>
      </c>
      <c r="E91" s="374">
        <f>'D) Ecrêtage'!M90</f>
        <v>30041.138287671231</v>
      </c>
      <c r="F91" s="378">
        <f>'E) Fact soc'!G96</f>
        <v>512555.29323144577</v>
      </c>
      <c r="G91" s="375">
        <f>'H) Péréquation directe'!I101</f>
        <v>55568.554771467985</v>
      </c>
      <c r="H91" s="378">
        <f>'I) Dépenses thématiques'!O90</f>
        <v>-88208.034318540711</v>
      </c>
      <c r="I91" s="375">
        <f>'K) Plafonnement aide'!J90</f>
        <v>0</v>
      </c>
      <c r="J91" s="378">
        <f>'J) Plafonnement effort'!I90</f>
        <v>0</v>
      </c>
      <c r="K91" s="375">
        <f>'L) Plafonnement taux'!Q91</f>
        <v>0</v>
      </c>
      <c r="L91" s="373">
        <f t="shared" si="2"/>
        <v>479915.81368437305</v>
      </c>
      <c r="M91" s="267">
        <f>'M) Police'!O91</f>
        <v>93817.25234076925</v>
      </c>
      <c r="N91" s="267">
        <f t="shared" si="3"/>
        <v>573733.06602514233</v>
      </c>
      <c r="P91" s="328"/>
      <c r="R91" s="381"/>
    </row>
    <row r="92" spans="1:18" s="182" customFormat="1" x14ac:dyDescent="0.25">
      <c r="A92" s="179">
        <f>'B) D RI'!A93</f>
        <v>5539</v>
      </c>
      <c r="B92" s="180" t="str">
        <f>'B) D RI'!B93</f>
        <v>Vuarrens</v>
      </c>
      <c r="C92" s="376">
        <f>'B) D RI'!S93</f>
        <v>75</v>
      </c>
      <c r="D92" s="181">
        <f>'B) D RI'!AA93</f>
        <v>993</v>
      </c>
      <c r="E92" s="374">
        <f>'D) Ecrêtage'!M91</f>
        <v>22727.031566666661</v>
      </c>
      <c r="F92" s="378">
        <f>'E) Fact soc'!G97</f>
        <v>392833.48222621856</v>
      </c>
      <c r="G92" s="375">
        <f>'H) Péréquation directe'!I102</f>
        <v>-169940.2765870851</v>
      </c>
      <c r="H92" s="378">
        <f>'I) Dépenses thématiques'!O91</f>
        <v>-310952.2300276811</v>
      </c>
      <c r="I92" s="375">
        <f>'K) Plafonnement aide'!J91</f>
        <v>0</v>
      </c>
      <c r="J92" s="378">
        <f>'J) Plafonnement effort'!I91</f>
        <v>0</v>
      </c>
      <c r="K92" s="375">
        <f>'L) Plafonnement taux'!Q92</f>
        <v>0</v>
      </c>
      <c r="L92" s="373">
        <f t="shared" si="2"/>
        <v>-88059.024388547637</v>
      </c>
      <c r="M92" s="267">
        <f>'M) Police'!O92</f>
        <v>70583.090603626202</v>
      </c>
      <c r="N92" s="267">
        <f t="shared" si="3"/>
        <v>-17475.933784921435</v>
      </c>
      <c r="P92" s="328"/>
      <c r="R92" s="381"/>
    </row>
    <row r="93" spans="1:18" s="182" customFormat="1" x14ac:dyDescent="0.25">
      <c r="A93" s="179">
        <f>'B) D RI'!A94</f>
        <v>5540</v>
      </c>
      <c r="B93" s="180" t="str">
        <f>'B) D RI'!B94</f>
        <v>Montilliez</v>
      </c>
      <c r="C93" s="376">
        <f>'B) D RI'!S94</f>
        <v>74</v>
      </c>
      <c r="D93" s="181">
        <f>'B) D RI'!AA94</f>
        <v>1698</v>
      </c>
      <c r="E93" s="374">
        <f>'D) Ecrêtage'!M92</f>
        <v>54875.674391891895</v>
      </c>
      <c r="F93" s="378">
        <f>'E) Fact soc'!G98</f>
        <v>969162.03656765807</v>
      </c>
      <c r="G93" s="375">
        <f>'H) Péréquation directe'!I103</f>
        <v>210811.85361886816</v>
      </c>
      <c r="H93" s="378">
        <f>'I) Dépenses thématiques'!O92</f>
        <v>-195085.53183415809</v>
      </c>
      <c r="I93" s="375">
        <f>'K) Plafonnement aide'!J92</f>
        <v>0</v>
      </c>
      <c r="J93" s="378">
        <f>'J) Plafonnement effort'!I92</f>
        <v>0</v>
      </c>
      <c r="K93" s="375">
        <f>'L) Plafonnement taux'!Q93</f>
        <v>0</v>
      </c>
      <c r="L93" s="373">
        <f>F93+G93+H93+I93+J93+K93</f>
        <v>984888.35835236823</v>
      </c>
      <c r="M93" s="267">
        <f>'M) Police'!O93</f>
        <v>173079.86495407988</v>
      </c>
      <c r="N93" s="267">
        <f t="shared" si="3"/>
        <v>1157968.2233064482</v>
      </c>
      <c r="P93" s="328"/>
      <c r="R93" s="381"/>
    </row>
    <row r="94" spans="1:18" s="182" customFormat="1" x14ac:dyDescent="0.25">
      <c r="A94" s="179">
        <f>'B) D RI'!A95</f>
        <v>5541</v>
      </c>
      <c r="B94" s="180" t="str">
        <f>'B) D RI'!B95</f>
        <v>Goumoëns</v>
      </c>
      <c r="C94" s="376">
        <f>'B) D RI'!S95</f>
        <v>77</v>
      </c>
      <c r="D94" s="181">
        <f>'B) D RI'!AA95</f>
        <v>1051</v>
      </c>
      <c r="E94" s="374">
        <f>'D) Ecrêtage'!M93</f>
        <v>32498.070519480509</v>
      </c>
      <c r="F94" s="378">
        <f>'E) Fact soc'!G99</f>
        <v>669023.4622012414</v>
      </c>
      <c r="G94" s="375">
        <f>'H) Péréquation directe'!I104</f>
        <v>137419.70679434919</v>
      </c>
      <c r="H94" s="378">
        <f>'I) Dépenses thématiques'!O93</f>
        <v>-72691.119810130491</v>
      </c>
      <c r="I94" s="375">
        <f>'K) Plafonnement aide'!J93</f>
        <v>0</v>
      </c>
      <c r="J94" s="378">
        <f>'J) Plafonnement effort'!I93</f>
        <v>0</v>
      </c>
      <c r="K94" s="375">
        <f>'L) Plafonnement taux'!Q94</f>
        <v>0</v>
      </c>
      <c r="L94" s="373">
        <f>F94+G94+H94+I94+J94+K94</f>
        <v>733752.0491854602</v>
      </c>
      <c r="M94" s="267">
        <f>'M) Police'!O94</f>
        <v>102661.02582463429</v>
      </c>
      <c r="N94" s="267">
        <f t="shared" si="3"/>
        <v>836413.07501009444</v>
      </c>
      <c r="P94" s="328"/>
      <c r="R94" s="381"/>
    </row>
    <row r="95" spans="1:18" s="182" customFormat="1" x14ac:dyDescent="0.25">
      <c r="A95" s="179">
        <f>'B) D RI'!A96</f>
        <v>5551</v>
      </c>
      <c r="B95" s="180" t="str">
        <f>'B) D RI'!B96</f>
        <v>Bonvillars</v>
      </c>
      <c r="C95" s="376">
        <f>'B) D RI'!S96</f>
        <v>55</v>
      </c>
      <c r="D95" s="181">
        <f>'B) D RI'!AA96</f>
        <v>495</v>
      </c>
      <c r="E95" s="374">
        <f>'D) Ecrêtage'!M94</f>
        <v>19291.965896103895</v>
      </c>
      <c r="F95" s="378">
        <f>'E) Fact soc'!G100</f>
        <v>311842.16981317103</v>
      </c>
      <c r="G95" s="375">
        <f>'H) Péréquation directe'!I105</f>
        <v>276173.86144055525</v>
      </c>
      <c r="H95" s="378">
        <f>'I) Dépenses thématiques'!O94</f>
        <v>-67889.934701996332</v>
      </c>
      <c r="I95" s="375">
        <f>'K) Plafonnement aide'!J94</f>
        <v>0</v>
      </c>
      <c r="J95" s="378">
        <f>'J) Plafonnement effort'!I94</f>
        <v>0</v>
      </c>
      <c r="K95" s="375">
        <f>'L) Plafonnement taux'!Q95</f>
        <v>0</v>
      </c>
      <c r="L95" s="373">
        <f t="shared" si="2"/>
        <v>520126.09655172989</v>
      </c>
      <c r="M95" s="267">
        <f>'M) Police'!O95</f>
        <v>59300.48215114919</v>
      </c>
      <c r="N95" s="267">
        <f t="shared" si="3"/>
        <v>579426.57870287914</v>
      </c>
      <c r="P95" s="328"/>
      <c r="R95" s="381"/>
    </row>
    <row r="96" spans="1:18" s="182" customFormat="1" x14ac:dyDescent="0.25">
      <c r="A96" s="179">
        <f>'B) D RI'!A97</f>
        <v>5552</v>
      </c>
      <c r="B96" s="180" t="str">
        <f>'B) D RI'!B97</f>
        <v>Bullet</v>
      </c>
      <c r="C96" s="376">
        <f>'B) D RI'!S97</f>
        <v>70</v>
      </c>
      <c r="D96" s="181">
        <f>'B) D RI'!AA97</f>
        <v>629</v>
      </c>
      <c r="E96" s="374">
        <f>'D) Ecrêtage'!M95</f>
        <v>15735.537571428569</v>
      </c>
      <c r="F96" s="378">
        <f>'E) Fact soc'!G101</f>
        <v>330498.63842268812</v>
      </c>
      <c r="G96" s="375">
        <f>'H) Péréquation directe'!I106</f>
        <v>-15505.604453407286</v>
      </c>
      <c r="H96" s="378">
        <f>'I) Dépenses thématiques'!O95</f>
        <v>-190297.08722420663</v>
      </c>
      <c r="I96" s="375">
        <f>'K) Plafonnement aide'!J95</f>
        <v>0</v>
      </c>
      <c r="J96" s="378">
        <f>'J) Plafonnement effort'!I95</f>
        <v>0</v>
      </c>
      <c r="K96" s="375">
        <f>'L) Plafonnement taux'!Q96</f>
        <v>0</v>
      </c>
      <c r="L96" s="373">
        <f t="shared" si="2"/>
        <v>124695.94674507421</v>
      </c>
      <c r="M96" s="267">
        <f>'M) Police'!O96</f>
        <v>48854.116539655151</v>
      </c>
      <c r="N96" s="267">
        <f t="shared" si="3"/>
        <v>173550.06328472937</v>
      </c>
      <c r="P96" s="328"/>
      <c r="R96" s="381"/>
    </row>
    <row r="97" spans="1:18" s="182" customFormat="1" x14ac:dyDescent="0.25">
      <c r="A97" s="179">
        <f>'B) D RI'!A98</f>
        <v>5553</v>
      </c>
      <c r="B97" s="180" t="str">
        <f>'B) D RI'!B98</f>
        <v>Champagne</v>
      </c>
      <c r="C97" s="376">
        <f>'B) D RI'!S98</f>
        <v>63</v>
      </c>
      <c r="D97" s="181">
        <f>'B) D RI'!AA98</f>
        <v>1027</v>
      </c>
      <c r="E97" s="374">
        <f>'D) Ecrêtage'!M96</f>
        <v>33369.783650793652</v>
      </c>
      <c r="F97" s="378">
        <f>'E) Fact soc'!G102</f>
        <v>668621.69001395931</v>
      </c>
      <c r="G97" s="375">
        <f>'H) Péréquation directe'!I107</f>
        <v>311308.18077455112</v>
      </c>
      <c r="H97" s="378">
        <f>'I) Dépenses thématiques'!O96</f>
        <v>-341463.02898915648</v>
      </c>
      <c r="I97" s="375">
        <f>'K) Plafonnement aide'!J96</f>
        <v>0</v>
      </c>
      <c r="J97" s="378">
        <f>'J) Plafonnement effort'!I96</f>
        <v>0</v>
      </c>
      <c r="K97" s="375">
        <f>'L) Plafonnement taux'!Q97</f>
        <v>0</v>
      </c>
      <c r="L97" s="373">
        <f t="shared" si="2"/>
        <v>638466.84179935395</v>
      </c>
      <c r="M97" s="267">
        <f>'M) Police'!O97</f>
        <v>103780.44974203678</v>
      </c>
      <c r="N97" s="267">
        <f t="shared" si="3"/>
        <v>742247.2915413907</v>
      </c>
      <c r="P97" s="328"/>
      <c r="R97" s="381"/>
    </row>
    <row r="98" spans="1:18" s="182" customFormat="1" x14ac:dyDescent="0.25">
      <c r="A98" s="179">
        <f>'B) D RI'!A99</f>
        <v>5554</v>
      </c>
      <c r="B98" s="180" t="str">
        <f>'B) D RI'!B99</f>
        <v>Concise</v>
      </c>
      <c r="C98" s="376">
        <f>'B) D RI'!S99</f>
        <v>75</v>
      </c>
      <c r="D98" s="181">
        <f>'B) D RI'!AA99</f>
        <v>960</v>
      </c>
      <c r="E98" s="374">
        <f>'D) Ecrêtage'!M97</f>
        <v>28986.7088</v>
      </c>
      <c r="F98" s="378">
        <f>'E) Fact soc'!G103</f>
        <v>515180.95743669727</v>
      </c>
      <c r="G98" s="375">
        <f>'H) Péréquation directe'!I108</f>
        <v>124984.99961965083</v>
      </c>
      <c r="H98" s="378">
        <f>'I) Dépenses thématiques'!O97</f>
        <v>-102226.33491579673</v>
      </c>
      <c r="I98" s="375">
        <f>'K) Plafonnement aide'!J97</f>
        <v>0</v>
      </c>
      <c r="J98" s="378">
        <f>'J) Plafonnement effort'!I97</f>
        <v>0</v>
      </c>
      <c r="K98" s="375">
        <f>'L) Plafonnement taux'!Q98</f>
        <v>0</v>
      </c>
      <c r="L98" s="373">
        <f t="shared" si="2"/>
        <v>537939.62214055134</v>
      </c>
      <c r="M98" s="267">
        <f>'M) Police'!O98</f>
        <v>91155.98671121712</v>
      </c>
      <c r="N98" s="267">
        <f t="shared" si="3"/>
        <v>629095.60885176843</v>
      </c>
      <c r="P98" s="328"/>
      <c r="R98" s="381"/>
    </row>
    <row r="99" spans="1:18" s="182" customFormat="1" x14ac:dyDescent="0.25">
      <c r="A99" s="179">
        <f>'B) D RI'!A100</f>
        <v>5555</v>
      </c>
      <c r="B99" s="180" t="str">
        <f>'B) D RI'!B100</f>
        <v>Corcelles-près-Concise</v>
      </c>
      <c r="C99" s="376">
        <f>'B) D RI'!S100</f>
        <v>71</v>
      </c>
      <c r="D99" s="181">
        <f>'B) D RI'!AA100</f>
        <v>379</v>
      </c>
      <c r="E99" s="374">
        <f>'D) Ecrêtage'!M98</f>
        <v>11040.372394366199</v>
      </c>
      <c r="F99" s="378">
        <f>'E) Fact soc'!G104</f>
        <v>208259.80920206429</v>
      </c>
      <c r="G99" s="375">
        <f>'H) Péréquation directe'!I109</f>
        <v>46991.774157283944</v>
      </c>
      <c r="H99" s="378">
        <f>'I) Dépenses thématiques'!O98</f>
        <v>-101383.33244601512</v>
      </c>
      <c r="I99" s="375">
        <f>'K) Plafonnement aide'!J98</f>
        <v>0</v>
      </c>
      <c r="J99" s="378">
        <f>'J) Plafonnement effort'!I98</f>
        <v>0</v>
      </c>
      <c r="K99" s="375">
        <f>'L) Plafonnement taux'!Q99</f>
        <v>0</v>
      </c>
      <c r="L99" s="373">
        <f t="shared" si="2"/>
        <v>153868.25091333312</v>
      </c>
      <c r="M99" s="267">
        <f>'M) Police'!O99</f>
        <v>34333.363243545478</v>
      </c>
      <c r="N99" s="267">
        <f t="shared" si="3"/>
        <v>188201.61415687861</v>
      </c>
      <c r="P99" s="328"/>
      <c r="R99" s="381"/>
    </row>
    <row r="100" spans="1:18" s="182" customFormat="1" x14ac:dyDescent="0.25">
      <c r="A100" s="179">
        <f>'B) D RI'!A101</f>
        <v>5556</v>
      </c>
      <c r="B100" s="180" t="str">
        <f>'B) D RI'!B101</f>
        <v>Fiez</v>
      </c>
      <c r="C100" s="376">
        <f>'B) D RI'!S101</f>
        <v>69</v>
      </c>
      <c r="D100" s="181">
        <f>'B) D RI'!AA101</f>
        <v>427</v>
      </c>
      <c r="E100" s="374">
        <f>'D) Ecrêtage'!M99</f>
        <v>12472.754202898552</v>
      </c>
      <c r="F100" s="378">
        <f>'E) Fact soc'!G105</f>
        <v>213480.60897623253</v>
      </c>
      <c r="G100" s="375">
        <f>'H) Péréquation directe'!I110</f>
        <v>61947.438988641778</v>
      </c>
      <c r="H100" s="378">
        <f>'I) Dépenses thématiques'!O99</f>
        <v>-38605.561526548066</v>
      </c>
      <c r="I100" s="375">
        <f>'K) Plafonnement aide'!J99</f>
        <v>0</v>
      </c>
      <c r="J100" s="378">
        <f>'J) Plafonnement effort'!I99</f>
        <v>0</v>
      </c>
      <c r="K100" s="375">
        <f>'L) Plafonnement taux'!Q100</f>
        <v>0</v>
      </c>
      <c r="L100" s="373">
        <f t="shared" si="2"/>
        <v>236822.48643832625</v>
      </c>
      <c r="M100" s="267">
        <f>'M) Police'!O100</f>
        <v>39303.407969504355</v>
      </c>
      <c r="N100" s="267">
        <f t="shared" si="3"/>
        <v>276125.89440783061</v>
      </c>
      <c r="P100" s="328"/>
      <c r="R100" s="381"/>
    </row>
    <row r="101" spans="1:18" s="182" customFormat="1" x14ac:dyDescent="0.25">
      <c r="A101" s="179">
        <f>'B) D RI'!A102</f>
        <v>5557</v>
      </c>
      <c r="B101" s="180" t="str">
        <f>'B) D RI'!B102</f>
        <v>Fontaines-sur-Grandson</v>
      </c>
      <c r="C101" s="376">
        <f>'B) D RI'!S102</f>
        <v>69</v>
      </c>
      <c r="D101" s="181">
        <f>'B) D RI'!AA102</f>
        <v>200</v>
      </c>
      <c r="E101" s="374">
        <f>'D) Ecrêtage'!M100</f>
        <v>4030.2872463768117</v>
      </c>
      <c r="F101" s="378">
        <f>'E) Fact soc'!G106</f>
        <v>78506.011855483273</v>
      </c>
      <c r="G101" s="375">
        <f>'H) Péréquation directe'!I111</f>
        <v>-39454.423184995539</v>
      </c>
      <c r="H101" s="378">
        <f>'I) Dépenses thématiques'!O100</f>
        <v>-36007.749291860076</v>
      </c>
      <c r="I101" s="375">
        <f>'K) Plafonnement aide'!J100</f>
        <v>0</v>
      </c>
      <c r="J101" s="378">
        <f>'J) Plafonnement effort'!I100</f>
        <v>0</v>
      </c>
      <c r="K101" s="375">
        <f>'L) Plafonnement taux'!Q101</f>
        <v>0</v>
      </c>
      <c r="L101" s="373">
        <f t="shared" si="2"/>
        <v>3043.8393786276574</v>
      </c>
      <c r="M101" s="267">
        <f>'M) Police'!O101</f>
        <v>12427.107734779052</v>
      </c>
      <c r="N101" s="267">
        <f t="shared" si="3"/>
        <v>15470.94711340671</v>
      </c>
      <c r="P101" s="328"/>
      <c r="R101" s="381"/>
    </row>
    <row r="102" spans="1:18" s="182" customFormat="1" x14ac:dyDescent="0.25">
      <c r="A102" s="179">
        <f>'B) D RI'!A103</f>
        <v>5559</v>
      </c>
      <c r="B102" s="180" t="str">
        <f>'B) D RI'!B103</f>
        <v>Giez</v>
      </c>
      <c r="C102" s="376">
        <f>'B) D RI'!S103</f>
        <v>66</v>
      </c>
      <c r="D102" s="181">
        <f>'B) D RI'!AA103</f>
        <v>408</v>
      </c>
      <c r="E102" s="374">
        <f>'D) Ecrêtage'!M101</f>
        <v>18149.138484848489</v>
      </c>
      <c r="F102" s="378">
        <f>'E) Fact soc'!G107</f>
        <v>441965.99366533163</v>
      </c>
      <c r="G102" s="375">
        <f>'H) Péréquation directe'!I112</f>
        <v>295232.26268252189</v>
      </c>
      <c r="H102" s="378">
        <f>'I) Dépenses thématiques'!O101</f>
        <v>0</v>
      </c>
      <c r="I102" s="375">
        <f>'K) Plafonnement aide'!J101</f>
        <v>0</v>
      </c>
      <c r="J102" s="378">
        <f>'J) Plafonnement effort'!I101</f>
        <v>0</v>
      </c>
      <c r="K102" s="375">
        <f>'L) Plafonnement taux'!Q102</f>
        <v>0</v>
      </c>
      <c r="L102" s="373">
        <f t="shared" si="2"/>
        <v>737198.25634785346</v>
      </c>
      <c r="M102" s="267">
        <f>'M) Police'!O102</f>
        <v>57304.046385508016</v>
      </c>
      <c r="N102" s="267">
        <f t="shared" si="3"/>
        <v>794502.30273336149</v>
      </c>
      <c r="P102" s="328"/>
      <c r="R102" s="381"/>
    </row>
    <row r="103" spans="1:18" s="182" customFormat="1" x14ac:dyDescent="0.25">
      <c r="A103" s="179">
        <f>'B) D RI'!A104</f>
        <v>5560</v>
      </c>
      <c r="B103" s="180" t="str">
        <f>'B) D RI'!B104</f>
        <v>Grandevent</v>
      </c>
      <c r="C103" s="376">
        <f>'B) D RI'!S104</f>
        <v>68</v>
      </c>
      <c r="D103" s="181">
        <f>'B) D RI'!AA104</f>
        <v>232</v>
      </c>
      <c r="E103" s="374">
        <f>'D) Ecrêtage'!M102</f>
        <v>6446.6273529411765</v>
      </c>
      <c r="F103" s="378">
        <f>'E) Fact soc'!G108</f>
        <v>103392.22637772764</v>
      </c>
      <c r="G103" s="375">
        <f>'H) Péréquation directe'!I113</f>
        <v>23402.093160385135</v>
      </c>
      <c r="H103" s="378">
        <f>'I) Dépenses thématiques'!O102</f>
        <v>-18715.118872795458</v>
      </c>
      <c r="I103" s="375">
        <f>'K) Plafonnement aide'!J102</f>
        <v>0</v>
      </c>
      <c r="J103" s="378">
        <f>'J) Plafonnement effort'!I102</f>
        <v>0</v>
      </c>
      <c r="K103" s="375">
        <f>'L) Plafonnement taux'!Q103</f>
        <v>0</v>
      </c>
      <c r="L103" s="373">
        <f t="shared" si="2"/>
        <v>108079.20066531732</v>
      </c>
      <c r="M103" s="267">
        <f>'M) Police'!O103</f>
        <v>20107.4780399632</v>
      </c>
      <c r="N103" s="267">
        <f t="shared" si="3"/>
        <v>128186.67870528052</v>
      </c>
      <c r="P103" s="328"/>
      <c r="R103" s="381"/>
    </row>
    <row r="104" spans="1:18" s="182" customFormat="1" x14ac:dyDescent="0.25">
      <c r="A104" s="179">
        <f>'B) D RI'!A105</f>
        <v>5561</v>
      </c>
      <c r="B104" s="180" t="str">
        <f>'B) D RI'!B105</f>
        <v>Grandson</v>
      </c>
      <c r="C104" s="376">
        <f>'B) D RI'!S105</f>
        <v>69</v>
      </c>
      <c r="D104" s="181">
        <f>'B) D RI'!AA105</f>
        <v>3313</v>
      </c>
      <c r="E104" s="374">
        <f>'D) Ecrêtage'!M103</f>
        <v>115170.40130434782</v>
      </c>
      <c r="F104" s="378">
        <f>'E) Fact soc'!G109</f>
        <v>2182204.8343348298</v>
      </c>
      <c r="G104" s="375">
        <f>'H) Péréquation directe'!I114</f>
        <v>559501.18819028046</v>
      </c>
      <c r="H104" s="378">
        <f>'I) Dépenses thématiques'!O103</f>
        <v>-751162.08536175126</v>
      </c>
      <c r="I104" s="375">
        <f>'K) Plafonnement aide'!J103</f>
        <v>0</v>
      </c>
      <c r="J104" s="378">
        <f>'J) Plafonnement effort'!I103</f>
        <v>0</v>
      </c>
      <c r="K104" s="375">
        <f>'L) Plafonnement taux'!Q104</f>
        <v>0</v>
      </c>
      <c r="L104" s="373">
        <f t="shared" si="2"/>
        <v>1990543.937163359</v>
      </c>
      <c r="M104" s="267">
        <f>'M) Police'!O104</f>
        <v>363600.7663802139</v>
      </c>
      <c r="N104" s="267">
        <f t="shared" si="3"/>
        <v>2354144.7035435727</v>
      </c>
      <c r="P104" s="328"/>
      <c r="R104" s="381"/>
    </row>
    <row r="105" spans="1:18" s="182" customFormat="1" x14ac:dyDescent="0.25">
      <c r="A105" s="179">
        <f>'B) D RI'!A106</f>
        <v>5562</v>
      </c>
      <c r="B105" s="180" t="str">
        <f>'B) D RI'!B106</f>
        <v>Mauborget</v>
      </c>
      <c r="C105" s="376">
        <f>'B) D RI'!S106</f>
        <v>70</v>
      </c>
      <c r="D105" s="181">
        <f>'B) D RI'!AA106</f>
        <v>123</v>
      </c>
      <c r="E105" s="374">
        <f>'D) Ecrêtage'!M104</f>
        <v>3662.5545714285713</v>
      </c>
      <c r="F105" s="378">
        <f>'E) Fact soc'!G110</f>
        <v>63392.48660933182</v>
      </c>
      <c r="G105" s="375">
        <f>'H) Péréquation directe'!I115</f>
        <v>19419.382262072642</v>
      </c>
      <c r="H105" s="378">
        <f>'I) Dépenses thématiques'!O104</f>
        <v>-19970.546820894517</v>
      </c>
      <c r="I105" s="375">
        <f>'K) Plafonnement aide'!J104</f>
        <v>0</v>
      </c>
      <c r="J105" s="378">
        <f>'J) Plafonnement effort'!I104</f>
        <v>0</v>
      </c>
      <c r="K105" s="375">
        <f>'L) Plafonnement taux'!Q105</f>
        <v>0</v>
      </c>
      <c r="L105" s="373">
        <f t="shared" si="2"/>
        <v>62841.322050509953</v>
      </c>
      <c r="M105" s="267">
        <f>'M) Police'!O105</f>
        <v>11223.88188347303</v>
      </c>
      <c r="N105" s="267">
        <f t="shared" si="3"/>
        <v>74065.203933982979</v>
      </c>
      <c r="P105" s="328"/>
      <c r="R105" s="381"/>
    </row>
    <row r="106" spans="1:18" s="182" customFormat="1" x14ac:dyDescent="0.25">
      <c r="A106" s="179">
        <f>'B) D RI'!A107</f>
        <v>5563</v>
      </c>
      <c r="B106" s="180" t="str">
        <f>'B) D RI'!B107</f>
        <v>Mutrux</v>
      </c>
      <c r="C106" s="376">
        <f>'B) D RI'!S107</f>
        <v>78.5</v>
      </c>
      <c r="D106" s="181">
        <f>'B) D RI'!AA107</f>
        <v>162</v>
      </c>
      <c r="E106" s="374">
        <f>'D) Ecrêtage'!M105</f>
        <v>4275.1686624203812</v>
      </c>
      <c r="F106" s="378">
        <f>'E) Fact soc'!G111</f>
        <v>78044.999398174492</v>
      </c>
      <c r="G106" s="375">
        <f>'H) Péréquation directe'!I116</f>
        <v>-10891.731074937954</v>
      </c>
      <c r="H106" s="378">
        <f>'I) Dépenses thématiques'!O105</f>
        <v>-21757.175691334669</v>
      </c>
      <c r="I106" s="375">
        <f>'K) Plafonnement aide'!J105</f>
        <v>0</v>
      </c>
      <c r="J106" s="378">
        <f>'J) Plafonnement effort'!I105</f>
        <v>0</v>
      </c>
      <c r="K106" s="375">
        <f>'L) Plafonnement taux'!Q106</f>
        <v>0</v>
      </c>
      <c r="L106" s="373">
        <f t="shared" si="2"/>
        <v>45396.092631901869</v>
      </c>
      <c r="M106" s="267">
        <f>'M) Police'!O106</f>
        <v>13601.402546412137</v>
      </c>
      <c r="N106" s="267">
        <f t="shared" si="3"/>
        <v>58997.495178314006</v>
      </c>
      <c r="P106" s="328"/>
      <c r="R106" s="381"/>
    </row>
    <row r="107" spans="1:18" s="182" customFormat="1" x14ac:dyDescent="0.25">
      <c r="A107" s="179">
        <f>'B) D RI'!A108</f>
        <v>5564</v>
      </c>
      <c r="B107" s="180" t="str">
        <f>'B) D RI'!B108</f>
        <v>Novalles</v>
      </c>
      <c r="C107" s="376">
        <f>'B) D RI'!S108</f>
        <v>76</v>
      </c>
      <c r="D107" s="181">
        <f>'B) D RI'!AA108</f>
        <v>101</v>
      </c>
      <c r="E107" s="374">
        <f>'D) Ecrêtage'!M106</f>
        <v>2063.0078618421053</v>
      </c>
      <c r="F107" s="378">
        <f>'E) Fact soc'!G112</f>
        <v>46157.290294648425</v>
      </c>
      <c r="G107" s="375">
        <f>'H) Péréquation directe'!I117</f>
        <v>-29050.113465528724</v>
      </c>
      <c r="H107" s="378">
        <f>'I) Dépenses thématiques'!O106</f>
        <v>-9767.2537146020459</v>
      </c>
      <c r="I107" s="375">
        <f>'K) Plafonnement aide'!J106</f>
        <v>0</v>
      </c>
      <c r="J107" s="378">
        <f>'J) Plafonnement effort'!I106</f>
        <v>0</v>
      </c>
      <c r="K107" s="375">
        <f>'L) Plafonnement taux'!Q107</f>
        <v>0</v>
      </c>
      <c r="L107" s="373">
        <f t="shared" si="2"/>
        <v>7339.9231145176545</v>
      </c>
      <c r="M107" s="267">
        <f>'M) Police'!O107</f>
        <v>6489.0904458539808</v>
      </c>
      <c r="N107" s="267">
        <f t="shared" si="3"/>
        <v>13829.013560371635</v>
      </c>
      <c r="P107" s="328"/>
      <c r="R107" s="381"/>
    </row>
    <row r="108" spans="1:18" s="182" customFormat="1" x14ac:dyDescent="0.25">
      <c r="A108" s="179">
        <f>'B) D RI'!A109</f>
        <v>5565</v>
      </c>
      <c r="B108" s="180" t="str">
        <f>'B) D RI'!B109</f>
        <v>Onnens</v>
      </c>
      <c r="C108" s="376">
        <f>'B) D RI'!S109</f>
        <v>65</v>
      </c>
      <c r="D108" s="181">
        <f>'B) D RI'!AA109</f>
        <v>500</v>
      </c>
      <c r="E108" s="374">
        <f>'D) Ecrêtage'!M107</f>
        <v>17902.806410256413</v>
      </c>
      <c r="F108" s="378">
        <f>'E) Fact soc'!G113</f>
        <v>288305.00604240404</v>
      </c>
      <c r="G108" s="375">
        <f>'H) Péréquation directe'!I118</f>
        <v>207323.07012476315</v>
      </c>
      <c r="H108" s="378">
        <f>'I) Dépenses thématiques'!O107</f>
        <v>-59512.197171676067</v>
      </c>
      <c r="I108" s="375">
        <f>'K) Plafonnement aide'!J107</f>
        <v>0</v>
      </c>
      <c r="J108" s="378">
        <f>'J) Plafonnement effort'!I107</f>
        <v>0</v>
      </c>
      <c r="K108" s="375">
        <f>'L) Plafonnement taux'!Q108</f>
        <v>0</v>
      </c>
      <c r="L108" s="373">
        <f t="shared" si="2"/>
        <v>436115.87899549108</v>
      </c>
      <c r="M108" s="267">
        <f>'M) Police'!O108</f>
        <v>54906.40259760835</v>
      </c>
      <c r="N108" s="267">
        <f t="shared" si="3"/>
        <v>491022.28159309941</v>
      </c>
      <c r="P108" s="328"/>
      <c r="R108" s="381"/>
    </row>
    <row r="109" spans="1:18" s="182" customFormat="1" x14ac:dyDescent="0.25">
      <c r="A109" s="179">
        <f>'B) D RI'!A110</f>
        <v>5566</v>
      </c>
      <c r="B109" s="180" t="str">
        <f>'B) D RI'!B110</f>
        <v>Provence</v>
      </c>
      <c r="C109" s="376">
        <f>'B) D RI'!S110</f>
        <v>81</v>
      </c>
      <c r="D109" s="181">
        <f>'B) D RI'!AA110</f>
        <v>390</v>
      </c>
      <c r="E109" s="374">
        <f>'D) Ecrêtage'!M108</f>
        <v>8605.0976954732487</v>
      </c>
      <c r="F109" s="378">
        <f>'E) Fact soc'!G114</f>
        <v>177842.89924823426</v>
      </c>
      <c r="G109" s="375">
        <f>'H) Péréquation directe'!I119</f>
        <v>-113817.2140037581</v>
      </c>
      <c r="H109" s="378">
        <f>'I) Dépenses thématiques'!O108</f>
        <v>-129098.19782011578</v>
      </c>
      <c r="I109" s="375">
        <f>'K) Plafonnement aide'!J108</f>
        <v>0</v>
      </c>
      <c r="J109" s="378">
        <f>'J) Plafonnement effort'!I108</f>
        <v>0</v>
      </c>
      <c r="K109" s="375">
        <f>'L) Plafonnement taux'!Q109</f>
        <v>0</v>
      </c>
      <c r="L109" s="373">
        <f t="shared" si="2"/>
        <v>-65072.512575639616</v>
      </c>
      <c r="M109" s="267">
        <f>'M) Police'!O109</f>
        <v>27105.090862420599</v>
      </c>
      <c r="N109" s="267">
        <f t="shared" si="3"/>
        <v>-37967.421713219017</v>
      </c>
      <c r="P109" s="328"/>
      <c r="R109" s="381"/>
    </row>
    <row r="110" spans="1:18" s="182" customFormat="1" x14ac:dyDescent="0.25">
      <c r="A110" s="179">
        <f>'B) D RI'!A111</f>
        <v>5568</v>
      </c>
      <c r="B110" s="180" t="str">
        <f>'B) D RI'!B111</f>
        <v>Sainte-Croix</v>
      </c>
      <c r="C110" s="376">
        <f>'B) D RI'!S111</f>
        <v>70</v>
      </c>
      <c r="D110" s="181">
        <f>'B) D RI'!AA111</f>
        <v>4851</v>
      </c>
      <c r="E110" s="374">
        <f>'D) Ecrêtage'!M109</f>
        <v>96229.339714285714</v>
      </c>
      <c r="F110" s="378">
        <f>'E) Fact soc'!G115</f>
        <v>2332946.2998052933</v>
      </c>
      <c r="G110" s="375">
        <f>'H) Péréquation directe'!I120</f>
        <v>-2306035.2513580378</v>
      </c>
      <c r="H110" s="378">
        <f>'I) Dépenses thématiques'!O109</f>
        <v>-1023172.6254175481</v>
      </c>
      <c r="I110" s="375">
        <f>'K) Plafonnement aide'!J109</f>
        <v>0</v>
      </c>
      <c r="J110" s="378">
        <f>'J) Plafonnement effort'!I109</f>
        <v>0</v>
      </c>
      <c r="K110" s="375">
        <f>'L) Plafonnement taux'!Q110</f>
        <v>0</v>
      </c>
      <c r="L110" s="373">
        <f t="shared" si="2"/>
        <v>-996261.5769702926</v>
      </c>
      <c r="M110" s="267">
        <f>'M) Police'!O110</f>
        <v>301263.16308517841</v>
      </c>
      <c r="N110" s="267">
        <f t="shared" si="3"/>
        <v>-694998.41388511425</v>
      </c>
      <c r="P110" s="328"/>
      <c r="R110" s="381"/>
    </row>
    <row r="111" spans="1:18" s="182" customFormat="1" x14ac:dyDescent="0.25">
      <c r="A111" s="179">
        <f>'B) D RI'!A112</f>
        <v>5571</v>
      </c>
      <c r="B111" s="180" t="str">
        <f>'B) D RI'!B112</f>
        <v>Tévenon</v>
      </c>
      <c r="C111" s="376">
        <f>'B) D RI'!S112</f>
        <v>73</v>
      </c>
      <c r="D111" s="181">
        <f>'B) D RI'!AA112</f>
        <v>791</v>
      </c>
      <c r="E111" s="374">
        <f>'D) Ecrêtage'!M110</f>
        <v>20963.465799086756</v>
      </c>
      <c r="F111" s="378">
        <f>'E) Fact soc'!G116</f>
        <v>515073.76611054526</v>
      </c>
      <c r="G111" s="375">
        <f>'H) Péréquation directe'!I121</f>
        <v>114.80876377411187</v>
      </c>
      <c r="H111" s="378">
        <f>'I) Dépenses thématiques'!O110</f>
        <v>-131456.6818403771</v>
      </c>
      <c r="I111" s="375">
        <f>'K) Plafonnement aide'!J110</f>
        <v>0</v>
      </c>
      <c r="J111" s="378">
        <f>'J) Plafonnement effort'!I110</f>
        <v>0</v>
      </c>
      <c r="K111" s="375">
        <f>'L) Plafonnement taux'!Q111</f>
        <v>0</v>
      </c>
      <c r="L111" s="373">
        <f t="shared" si="2"/>
        <v>383731.89303394227</v>
      </c>
      <c r="M111" s="267">
        <f>'M) Police'!O111</f>
        <v>65444.468658360536</v>
      </c>
      <c r="N111" s="267">
        <f t="shared" si="3"/>
        <v>449176.3616923028</v>
      </c>
      <c r="P111" s="328"/>
      <c r="R111" s="381"/>
    </row>
    <row r="112" spans="1:18" s="182" customFormat="1" x14ac:dyDescent="0.25">
      <c r="A112" s="179">
        <f>'B) D RI'!A113</f>
        <v>5581</v>
      </c>
      <c r="B112" s="180" t="str">
        <f>'B) D RI'!B113</f>
        <v>Belmont-sur-Lausanne</v>
      </c>
      <c r="C112" s="376">
        <f>'B) D RI'!S113</f>
        <v>69.5</v>
      </c>
      <c r="D112" s="181">
        <f>'B) D RI'!AA113</f>
        <v>3564</v>
      </c>
      <c r="E112" s="374">
        <f>'D) Ecrêtage'!M111</f>
        <v>187042.91923261393</v>
      </c>
      <c r="F112" s="378">
        <f>'E) Fact soc'!G117</f>
        <v>3150862.8495600861</v>
      </c>
      <c r="G112" s="375">
        <f>'H) Péréquation directe'!I122</f>
        <v>2450887.1714229435</v>
      </c>
      <c r="H112" s="378">
        <f>'I) Dépenses thématiques'!O111</f>
        <v>-603144.25713929837</v>
      </c>
      <c r="I112" s="375">
        <f>'K) Plafonnement aide'!J111</f>
        <v>0</v>
      </c>
      <c r="J112" s="378">
        <f>'J) Plafonnement effort'!I111</f>
        <v>0</v>
      </c>
      <c r="K112" s="375">
        <f>'L) Plafonnement taux'!Q112</f>
        <v>0</v>
      </c>
      <c r="L112" s="373">
        <f t="shared" si="2"/>
        <v>4998605.763843731</v>
      </c>
      <c r="M112" s="267">
        <f>'M) Police'!O112</f>
        <v>243515.92310777103</v>
      </c>
      <c r="N112" s="267">
        <f t="shared" si="3"/>
        <v>5242121.6869515022</v>
      </c>
      <c r="P112" s="328"/>
      <c r="R112" s="381"/>
    </row>
    <row r="113" spans="1:18" s="182" customFormat="1" x14ac:dyDescent="0.25">
      <c r="A113" s="179">
        <f>'B) D RI'!A114</f>
        <v>5582</v>
      </c>
      <c r="B113" s="180" t="str">
        <f>'B) D RI'!B114</f>
        <v>Cheseaux-sur-Lausanne</v>
      </c>
      <c r="C113" s="376">
        <f>'B) D RI'!S114</f>
        <v>74.5</v>
      </c>
      <c r="D113" s="181">
        <f>'B) D RI'!AA114</f>
        <v>4347</v>
      </c>
      <c r="E113" s="374">
        <f>'D) Ecrêtage'!M112</f>
        <v>203617.184295302</v>
      </c>
      <c r="F113" s="378">
        <f>'E) Fact soc'!G118</f>
        <v>3528663.4510750086</v>
      </c>
      <c r="G113" s="375">
        <f>'H) Péréquation directe'!I123</f>
        <v>2376607.3937137197</v>
      </c>
      <c r="H113" s="378">
        <f>'I) Dépenses thématiques'!O112</f>
        <v>-60872.665154019807</v>
      </c>
      <c r="I113" s="375">
        <f>'K) Plafonnement aide'!J112</f>
        <v>0</v>
      </c>
      <c r="J113" s="378">
        <f>'J) Plafonnement effort'!I112</f>
        <v>0</v>
      </c>
      <c r="K113" s="375">
        <f>'L) Plafonnement taux'!Q113</f>
        <v>0</v>
      </c>
      <c r="L113" s="373">
        <f t="shared" si="2"/>
        <v>5844398.1796347089</v>
      </c>
      <c r="M113" s="267">
        <f>'M) Police'!O113</f>
        <v>642115.37809733138</v>
      </c>
      <c r="N113" s="267">
        <f t="shared" si="3"/>
        <v>6486513.5577320401</v>
      </c>
      <c r="P113" s="328"/>
      <c r="R113" s="381"/>
    </row>
    <row r="114" spans="1:18" s="182" customFormat="1" x14ac:dyDescent="0.25">
      <c r="A114" s="179">
        <f>'B) D RI'!A115</f>
        <v>5583</v>
      </c>
      <c r="B114" s="180" t="str">
        <f>'B) D RI'!B115</f>
        <v>Crissier</v>
      </c>
      <c r="C114" s="376">
        <f>'B) D RI'!S115</f>
        <v>65</v>
      </c>
      <c r="D114" s="181">
        <f>'B) D RI'!AA115</f>
        <v>7636</v>
      </c>
      <c r="E114" s="374">
        <f>'D) Ecrêtage'!M113</f>
        <v>311741.22092307697</v>
      </c>
      <c r="F114" s="378">
        <f>'E) Fact soc'!G119</f>
        <v>5553587.0135514196</v>
      </c>
      <c r="G114" s="375">
        <f>'H) Péréquation directe'!I124</f>
        <v>1951734.1030768054</v>
      </c>
      <c r="H114" s="378">
        <f>'I) Dépenses thématiques'!O113</f>
        <v>-2175490.0852119196</v>
      </c>
      <c r="I114" s="375">
        <f>'K) Plafonnement aide'!J113</f>
        <v>0</v>
      </c>
      <c r="J114" s="378">
        <f>'J) Plafonnement effort'!I113</f>
        <v>0</v>
      </c>
      <c r="K114" s="375">
        <f>'L) Plafonnement taux'!Q114</f>
        <v>0</v>
      </c>
      <c r="L114" s="373">
        <f t="shared" si="2"/>
        <v>5329831.0314163053</v>
      </c>
      <c r="M114" s="267">
        <f>'M) Police'!O114</f>
        <v>405863.80652783276</v>
      </c>
      <c r="N114" s="267">
        <f t="shared" si="3"/>
        <v>5735694.8379441379</v>
      </c>
      <c r="P114" s="328"/>
      <c r="R114" s="381"/>
    </row>
    <row r="115" spans="1:18" s="182" customFormat="1" x14ac:dyDescent="0.25">
      <c r="A115" s="179">
        <f>'B) D RI'!A116</f>
        <v>5584</v>
      </c>
      <c r="B115" s="180" t="str">
        <f>'B) D RI'!B116</f>
        <v>Epalinges</v>
      </c>
      <c r="C115" s="376">
        <f>'B) D RI'!S116</f>
        <v>66</v>
      </c>
      <c r="D115" s="181">
        <f>'B) D RI'!AA116</f>
        <v>9297</v>
      </c>
      <c r="E115" s="374">
        <f>'D) Ecrêtage'!M114</f>
        <v>455692.51</v>
      </c>
      <c r="F115" s="378">
        <f>'E) Fact soc'!G120</f>
        <v>9152085.4364637248</v>
      </c>
      <c r="G115" s="375">
        <f>'H) Péréquation directe'!I125</f>
        <v>4180302.8410822526</v>
      </c>
      <c r="H115" s="378">
        <f>'I) Dépenses thématiques'!O114</f>
        <v>-3005037.8607293805</v>
      </c>
      <c r="I115" s="375">
        <f>'K) Plafonnement aide'!J114</f>
        <v>0</v>
      </c>
      <c r="J115" s="378">
        <f>'J) Plafonnement effort'!I114</f>
        <v>0</v>
      </c>
      <c r="K115" s="375">
        <f>'L) Plafonnement taux'!Q115</f>
        <v>0</v>
      </c>
      <c r="L115" s="373">
        <f t="shared" si="2"/>
        <v>10327350.416816596</v>
      </c>
      <c r="M115" s="267">
        <f>'M) Police'!O115</f>
        <v>1399618.6193262129</v>
      </c>
      <c r="N115" s="267">
        <f t="shared" si="3"/>
        <v>11726969.036142809</v>
      </c>
      <c r="P115" s="328"/>
      <c r="R115" s="381"/>
    </row>
    <row r="116" spans="1:18" s="182" customFormat="1" x14ac:dyDescent="0.25">
      <c r="A116" s="179">
        <f>'B) D RI'!A117</f>
        <v>5585</v>
      </c>
      <c r="B116" s="180" t="str">
        <f>'B) D RI'!B117</f>
        <v>Jouxtens-Mézery</v>
      </c>
      <c r="C116" s="376">
        <f>'B) D RI'!S117</f>
        <v>53</v>
      </c>
      <c r="D116" s="181">
        <f>'B) D RI'!AA117</f>
        <v>1448</v>
      </c>
      <c r="E116" s="374">
        <f>'D) Ecrêtage'!M115</f>
        <v>171496.04356386178</v>
      </c>
      <c r="F116" s="378">
        <f>'E) Fact soc'!G121</f>
        <v>6391322.2221203959</v>
      </c>
      <c r="G116" s="375">
        <f>'H) Péréquation directe'!I126</f>
        <v>2972080.2347928728</v>
      </c>
      <c r="H116" s="378">
        <f>'I) Dépenses thématiques'!O115</f>
        <v>0</v>
      </c>
      <c r="I116" s="375">
        <f>'K) Plafonnement aide'!J115</f>
        <v>0</v>
      </c>
      <c r="J116" s="378">
        <f>'J) Plafonnement effort'!I115</f>
        <v>-293825.10408308031</v>
      </c>
      <c r="K116" s="375">
        <f>'L) Plafonnement taux'!Q116</f>
        <v>0</v>
      </c>
      <c r="L116" s="373">
        <f t="shared" si="2"/>
        <v>9069577.3528301883</v>
      </c>
      <c r="M116" s="267">
        <f>'M) Police'!O116</f>
        <v>348861.98606932041</v>
      </c>
      <c r="N116" s="267">
        <f t="shared" si="3"/>
        <v>9418439.3388995081</v>
      </c>
      <c r="P116" s="328"/>
      <c r="R116" s="381"/>
    </row>
    <row r="117" spans="1:18" s="182" customFormat="1" x14ac:dyDescent="0.25">
      <c r="A117" s="179">
        <f>'B) D RI'!A118</f>
        <v>5586</v>
      </c>
      <c r="B117" s="180" t="str">
        <f>'B) D RI'!B118</f>
        <v>Lausanne</v>
      </c>
      <c r="C117" s="376">
        <f>'B) D RI'!S118</f>
        <v>79</v>
      </c>
      <c r="D117" s="181">
        <f>'B) D RI'!AA118</f>
        <v>137053</v>
      </c>
      <c r="E117" s="374">
        <f>'D) Ecrêtage'!M116</f>
        <v>6075429.3645991571</v>
      </c>
      <c r="F117" s="378">
        <f>'E) Fact soc'!G122</f>
        <v>107536585.06442791</v>
      </c>
      <c r="G117" s="375">
        <f>'H) Péréquation directe'!I127</f>
        <v>-25054113.208478138</v>
      </c>
      <c r="H117" s="378">
        <f>'I) Dépenses thématiques'!O116</f>
        <v>-45362627.389542535</v>
      </c>
      <c r="I117" s="375">
        <f>'K) Plafonnement aide'!J116</f>
        <v>0</v>
      </c>
      <c r="J117" s="378">
        <f>'J) Plafonnement effort'!I116</f>
        <v>0</v>
      </c>
      <c r="K117" s="375">
        <f>'L) Plafonnement taux'!Q117</f>
        <v>0</v>
      </c>
      <c r="L117" s="373">
        <f t="shared" ref="L117:L167" si="4">F117+G117+H117+I117+J117+K117</f>
        <v>37119844.466407239</v>
      </c>
      <c r="M117" s="267">
        <f>'M) Police'!O117</f>
        <v>7909755.6649899334</v>
      </c>
      <c r="N117" s="267">
        <f t="shared" si="3"/>
        <v>45029600.131397173</v>
      </c>
      <c r="P117" s="328"/>
      <c r="R117" s="381"/>
    </row>
    <row r="118" spans="1:18" s="182" customFormat="1" x14ac:dyDescent="0.25">
      <c r="A118" s="179">
        <f>'B) D RI'!A119</f>
        <v>5587</v>
      </c>
      <c r="B118" s="180" t="str">
        <f>'B) D RI'!B119</f>
        <v>Le Mont-sur-Lausanne</v>
      </c>
      <c r="C118" s="376">
        <f>'B) D RI'!S119</f>
        <v>75</v>
      </c>
      <c r="D118" s="181">
        <f>'B) D RI'!AA119</f>
        <v>7881</v>
      </c>
      <c r="E118" s="374">
        <f>'D) Ecrêtage'!M117</f>
        <v>413343.80273333337</v>
      </c>
      <c r="F118" s="378">
        <f>'E) Fact soc'!G123</f>
        <v>7348713.6283689076</v>
      </c>
      <c r="G118" s="375">
        <f>'H) Péréquation directe'!I128</f>
        <v>4294704.2289357213</v>
      </c>
      <c r="H118" s="378">
        <f>'I) Dépenses thématiques'!O117</f>
        <v>-2178345.1602533665</v>
      </c>
      <c r="I118" s="375">
        <f>'K) Plafonnement aide'!J117</f>
        <v>0</v>
      </c>
      <c r="J118" s="378">
        <f>'J) Plafonnement effort'!I117</f>
        <v>0</v>
      </c>
      <c r="K118" s="375">
        <f>'L) Plafonnement taux'!Q118</f>
        <v>0</v>
      </c>
      <c r="L118" s="373">
        <f t="shared" si="4"/>
        <v>9465072.6970512625</v>
      </c>
      <c r="M118" s="267">
        <f>'M) Police'!O118</f>
        <v>1221672.2296107151</v>
      </c>
      <c r="N118" s="267">
        <f t="shared" si="3"/>
        <v>10686744.926661978</v>
      </c>
      <c r="P118" s="328"/>
      <c r="R118" s="381"/>
    </row>
    <row r="119" spans="1:18" s="182" customFormat="1" x14ac:dyDescent="0.25">
      <c r="A119" s="179">
        <f>'B) D RI'!A120</f>
        <v>5588</v>
      </c>
      <c r="B119" s="180" t="str">
        <f>'B) D RI'!B120</f>
        <v>Paudex</v>
      </c>
      <c r="C119" s="376">
        <f>'B) D RI'!S120</f>
        <v>61.5</v>
      </c>
      <c r="D119" s="181">
        <f>'B) D RI'!AA120</f>
        <v>1473</v>
      </c>
      <c r="E119" s="374">
        <f>'D) Ecrêtage'!M118</f>
        <v>142038.72572399248</v>
      </c>
      <c r="F119" s="378">
        <f>'E) Fact soc'!G124</f>
        <v>4636858.973893242</v>
      </c>
      <c r="G119" s="375">
        <f>'H) Péréquation directe'!I129</f>
        <v>2409460.4773391462</v>
      </c>
      <c r="H119" s="378">
        <f>'I) Dépenses thématiques'!O118</f>
        <v>0</v>
      </c>
      <c r="I119" s="375">
        <f>'K) Plafonnement aide'!J118</f>
        <v>0</v>
      </c>
      <c r="J119" s="378">
        <f>'J) Plafonnement effort'!I118</f>
        <v>0</v>
      </c>
      <c r="K119" s="375">
        <f>'L) Plafonnement taux'!Q119</f>
        <v>0</v>
      </c>
      <c r="L119" s="373">
        <f t="shared" si="4"/>
        <v>7046319.4512323886</v>
      </c>
      <c r="M119" s="267">
        <f>'M) Police'!O119</f>
        <v>184923.82151453526</v>
      </c>
      <c r="N119" s="267">
        <f t="shared" si="3"/>
        <v>7231243.2727469243</v>
      </c>
      <c r="P119" s="328"/>
      <c r="R119" s="381"/>
    </row>
    <row r="120" spans="1:18" s="182" customFormat="1" x14ac:dyDescent="0.25">
      <c r="A120" s="179">
        <f>'B) D RI'!A121</f>
        <v>5589</v>
      </c>
      <c r="B120" s="180" t="str">
        <f>'B) D RI'!B121</f>
        <v>Prilly</v>
      </c>
      <c r="C120" s="376">
        <f>'B) D RI'!S121</f>
        <v>73.5</v>
      </c>
      <c r="D120" s="181">
        <f>'B) D RI'!AA121</f>
        <v>11871</v>
      </c>
      <c r="E120" s="374">
        <f>'D) Ecrêtage'!M119</f>
        <v>437574.2323809524</v>
      </c>
      <c r="F120" s="378">
        <f>'E) Fact soc'!G125</f>
        <v>8202721.6966108289</v>
      </c>
      <c r="G120" s="375">
        <f>'H) Péréquation directe'!I130</f>
        <v>-478492.10070765112</v>
      </c>
      <c r="H120" s="378">
        <f>'I) Dépenses thématiques'!O119</f>
        <v>-1829825.4455553479</v>
      </c>
      <c r="I120" s="375">
        <f>'K) Plafonnement aide'!J119</f>
        <v>0</v>
      </c>
      <c r="J120" s="378">
        <f>'J) Plafonnement effort'!I119</f>
        <v>0</v>
      </c>
      <c r="K120" s="375">
        <f>'L) Plafonnement taux'!Q120</f>
        <v>0</v>
      </c>
      <c r="L120" s="373">
        <f t="shared" si="4"/>
        <v>5894404.1503478298</v>
      </c>
      <c r="M120" s="267">
        <f>'M) Police'!O120</f>
        <v>569688.99738944054</v>
      </c>
      <c r="N120" s="267">
        <f t="shared" si="3"/>
        <v>6464093.1477372702</v>
      </c>
      <c r="P120" s="328"/>
      <c r="R120" s="381"/>
    </row>
    <row r="121" spans="1:18" s="182" customFormat="1" x14ac:dyDescent="0.25">
      <c r="A121" s="179">
        <f>'B) D RI'!A122</f>
        <v>5590</v>
      </c>
      <c r="B121" s="180" t="str">
        <f>'B) D RI'!B122</f>
        <v>Pully</v>
      </c>
      <c r="C121" s="376">
        <f>'B) D RI'!S122</f>
        <v>61</v>
      </c>
      <c r="D121" s="181">
        <f>'B) D RI'!AA122</f>
        <v>17979</v>
      </c>
      <c r="E121" s="374">
        <f>'D) Ecrêtage'!M120</f>
        <v>1338969.9009013665</v>
      </c>
      <c r="F121" s="378">
        <f>'E) Fact soc'!G126</f>
        <v>34357053.464080453</v>
      </c>
      <c r="G121" s="375">
        <f>'H) Péréquation directe'!I131</f>
        <v>12484946.515926488</v>
      </c>
      <c r="H121" s="378">
        <f>'I) Dépenses thématiques'!O120</f>
        <v>-1335210.1239757445</v>
      </c>
      <c r="I121" s="375">
        <f>'K) Plafonnement aide'!J120</f>
        <v>0</v>
      </c>
      <c r="J121" s="378">
        <f>'J) Plafonnement effort'!I120</f>
        <v>0</v>
      </c>
      <c r="K121" s="375">
        <f>'L) Plafonnement taux'!Q121</f>
        <v>0</v>
      </c>
      <c r="L121" s="373">
        <f t="shared" si="4"/>
        <v>45506789.856031194</v>
      </c>
      <c r="M121" s="267">
        <f>'M) Police'!O121</f>
        <v>1743238.8928126988</v>
      </c>
      <c r="N121" s="267">
        <f t="shared" si="3"/>
        <v>47250028.748843893</v>
      </c>
      <c r="P121" s="328"/>
      <c r="R121" s="381"/>
    </row>
    <row r="122" spans="1:18" s="182" customFormat="1" x14ac:dyDescent="0.25">
      <c r="A122" s="179">
        <f>'B) D RI'!A123</f>
        <v>5591</v>
      </c>
      <c r="B122" s="180" t="str">
        <f>'B) D RI'!B123</f>
        <v>Renens</v>
      </c>
      <c r="C122" s="376">
        <f>'B) D RI'!S123</f>
        <v>78.5</v>
      </c>
      <c r="D122" s="181">
        <f>'B) D RI'!AA123</f>
        <v>20323</v>
      </c>
      <c r="E122" s="374">
        <f>'D) Ecrêtage'!M121</f>
        <v>529647.11015468603</v>
      </c>
      <c r="F122" s="378">
        <f>'E) Fact soc'!G127</f>
        <v>9697265.5253980719</v>
      </c>
      <c r="G122" s="375">
        <f>'H) Péréquation directe'!I132</f>
        <v>-14775382.147624565</v>
      </c>
      <c r="H122" s="378">
        <f>'I) Dépenses thématiques'!O121</f>
        <v>-5467921.8444510465</v>
      </c>
      <c r="I122" s="375">
        <f>'K) Plafonnement aide'!J121</f>
        <v>1635410.4062210342</v>
      </c>
      <c r="J122" s="378">
        <f>'J) Plafonnement effort'!I121</f>
        <v>0</v>
      </c>
      <c r="K122" s="375">
        <f>'L) Plafonnement taux'!Q122</f>
        <v>0</v>
      </c>
      <c r="L122" s="373">
        <f t="shared" si="4"/>
        <v>-8910628.060456505</v>
      </c>
      <c r="M122" s="267">
        <f>'M) Police'!O122</f>
        <v>689561.01348204562</v>
      </c>
      <c r="N122" s="267">
        <f t="shared" si="3"/>
        <v>-8221067.0469744597</v>
      </c>
      <c r="P122" s="328"/>
      <c r="R122" s="381"/>
    </row>
    <row r="123" spans="1:18" s="182" customFormat="1" x14ac:dyDescent="0.25">
      <c r="A123" s="179">
        <f>'B) D RI'!A124</f>
        <v>5592</v>
      </c>
      <c r="B123" s="180" t="str">
        <f>'B) D RI'!B124</f>
        <v>Romanel-sur-Lausanne</v>
      </c>
      <c r="C123" s="376">
        <f>'B) D RI'!S124</f>
        <v>70</v>
      </c>
      <c r="D123" s="181">
        <f>'B) D RI'!AA124</f>
        <v>3352</v>
      </c>
      <c r="E123" s="374">
        <f>'D) Ecrêtage'!M122</f>
        <v>116555.94314285714</v>
      </c>
      <c r="F123" s="378">
        <f>'E) Fact soc'!G128</f>
        <v>1958403.5639463358</v>
      </c>
      <c r="G123" s="375">
        <f>'H) Péréquation directe'!I133</f>
        <v>539507.74070620188</v>
      </c>
      <c r="H123" s="378">
        <f>'I) Dépenses thématiques'!O122</f>
        <v>-194806.3056241406</v>
      </c>
      <c r="I123" s="375">
        <f>'K) Plafonnement aide'!J122</f>
        <v>0</v>
      </c>
      <c r="J123" s="378">
        <f>'J) Plafonnement effort'!I122</f>
        <v>0</v>
      </c>
      <c r="K123" s="375">
        <f>'L) Plafonnement taux'!Q123</f>
        <v>0</v>
      </c>
      <c r="L123" s="373">
        <f t="shared" si="4"/>
        <v>2303104.9990283973</v>
      </c>
      <c r="M123" s="267">
        <f>'M) Police'!O123</f>
        <v>359429.77648529189</v>
      </c>
      <c r="N123" s="267">
        <f t="shared" si="3"/>
        <v>2662534.775513689</v>
      </c>
      <c r="P123" s="328"/>
      <c r="R123" s="381"/>
    </row>
    <row r="124" spans="1:18" s="182" customFormat="1" x14ac:dyDescent="0.25">
      <c r="A124" s="179">
        <f>'B) D RI'!A125</f>
        <v>5601</v>
      </c>
      <c r="B124" s="180" t="str">
        <f>'B) D RI'!B125</f>
        <v>Chexbres</v>
      </c>
      <c r="C124" s="376">
        <f>'B) D RI'!S125</f>
        <v>64</v>
      </c>
      <c r="D124" s="181">
        <f>'B) D RI'!AA125</f>
        <v>2235</v>
      </c>
      <c r="E124" s="374">
        <f>'D) Ecrêtage'!M123</f>
        <v>99746.160000000018</v>
      </c>
      <c r="F124" s="378">
        <f>'E) Fact soc'!G129</f>
        <v>1785479.163502777</v>
      </c>
      <c r="G124" s="375">
        <f>'H) Péréquation directe'!I134</f>
        <v>1326246.0986500978</v>
      </c>
      <c r="H124" s="378">
        <f>'I) Dépenses thématiques'!O123</f>
        <v>-206545.76093859141</v>
      </c>
      <c r="I124" s="375">
        <f>'K) Plafonnement aide'!J123</f>
        <v>0</v>
      </c>
      <c r="J124" s="378">
        <f>'J) Plafonnement effort'!I123</f>
        <v>0</v>
      </c>
      <c r="K124" s="375">
        <f>'L) Plafonnement taux'!Q124</f>
        <v>0</v>
      </c>
      <c r="L124" s="373">
        <f t="shared" si="4"/>
        <v>2905179.5012142835</v>
      </c>
      <c r="M124" s="267">
        <f>'M) Police'!O124</f>
        <v>129862.05694666103</v>
      </c>
      <c r="N124" s="267">
        <f t="shared" si="3"/>
        <v>3035041.5581609444</v>
      </c>
      <c r="P124" s="328"/>
      <c r="R124" s="381"/>
    </row>
    <row r="125" spans="1:18" s="182" customFormat="1" x14ac:dyDescent="0.25">
      <c r="A125" s="179">
        <f>'B) D RI'!A126</f>
        <v>5604</v>
      </c>
      <c r="B125" s="180" t="str">
        <f>'B) D RI'!B126</f>
        <v>Forel (Lavaux)</v>
      </c>
      <c r="C125" s="376">
        <f>'B) D RI'!S126</f>
        <v>68</v>
      </c>
      <c r="D125" s="181">
        <f>'B) D RI'!AA126</f>
        <v>2066</v>
      </c>
      <c r="E125" s="374">
        <f>'D) Ecrêtage'!M124</f>
        <v>71240.347352941171</v>
      </c>
      <c r="F125" s="378">
        <f>'E) Fact soc'!G130</f>
        <v>1227288.1556597825</v>
      </c>
      <c r="G125" s="375">
        <f>'H) Péréquation directe'!I135</f>
        <v>460835.35658093018</v>
      </c>
      <c r="H125" s="378">
        <f>'I) Dépenses thématiques'!O124</f>
        <v>-264456.43912964646</v>
      </c>
      <c r="I125" s="375">
        <f>'K) Plafonnement aide'!J124</f>
        <v>0</v>
      </c>
      <c r="J125" s="378">
        <f>'J) Plafonnement effort'!I124</f>
        <v>0</v>
      </c>
      <c r="K125" s="375">
        <f>'L) Plafonnement taux'!Q125</f>
        <v>0</v>
      </c>
      <c r="L125" s="373">
        <f t="shared" si="4"/>
        <v>1423667.0731110661</v>
      </c>
      <c r="M125" s="267">
        <f>'M) Police'!O125</f>
        <v>224404.28283862351</v>
      </c>
      <c r="N125" s="267">
        <f t="shared" si="3"/>
        <v>1648071.3559496896</v>
      </c>
      <c r="P125" s="328"/>
      <c r="R125" s="381"/>
    </row>
    <row r="126" spans="1:18" s="182" customFormat="1" x14ac:dyDescent="0.25">
      <c r="A126" s="179">
        <f>'B) D RI'!A127</f>
        <v>5606</v>
      </c>
      <c r="B126" s="180" t="str">
        <f>'B) D RI'!B127</f>
        <v>Lutry</v>
      </c>
      <c r="C126" s="376">
        <f>'B) D RI'!S127</f>
        <v>55.5</v>
      </c>
      <c r="D126" s="181">
        <f>'B) D RI'!AA127</f>
        <v>9888</v>
      </c>
      <c r="E126" s="374">
        <f>'D) Ecrêtage'!M125</f>
        <v>727483.29787726386</v>
      </c>
      <c r="F126" s="378">
        <f>'E) Fact soc'!G131</f>
        <v>19098497.312728494</v>
      </c>
      <c r="G126" s="375">
        <f>'H) Péréquation directe'!I136</f>
        <v>8796498.0806374028</v>
      </c>
      <c r="H126" s="378">
        <f>'I) Dépenses thématiques'!O125</f>
        <v>-2009741.1940618772</v>
      </c>
      <c r="I126" s="375">
        <f>'K) Plafonnement aide'!J125</f>
        <v>0</v>
      </c>
      <c r="J126" s="378">
        <f>'J) Plafonnement effort'!I125</f>
        <v>0</v>
      </c>
      <c r="K126" s="375">
        <f>'L) Plafonnement taux'!Q126</f>
        <v>0</v>
      </c>
      <c r="L126" s="373">
        <f t="shared" si="4"/>
        <v>25885254.199304022</v>
      </c>
      <c r="M126" s="267">
        <f>'M) Police'!O126</f>
        <v>947128.96673598257</v>
      </c>
      <c r="N126" s="267">
        <f t="shared" si="3"/>
        <v>26832383.166040003</v>
      </c>
      <c r="P126" s="328"/>
      <c r="R126" s="381"/>
    </row>
    <row r="127" spans="1:18" s="182" customFormat="1" x14ac:dyDescent="0.25">
      <c r="A127" s="179">
        <f>'B) D RI'!A128</f>
        <v>5607</v>
      </c>
      <c r="B127" s="180" t="str">
        <f>'B) D RI'!B128</f>
        <v>Puidoux</v>
      </c>
      <c r="C127" s="376">
        <f>'B) D RI'!S128</f>
        <v>70</v>
      </c>
      <c r="D127" s="181">
        <f>'B) D RI'!AA128</f>
        <v>2874</v>
      </c>
      <c r="E127" s="374">
        <f>'D) Ecrêtage'!M126</f>
        <v>97147.534937888209</v>
      </c>
      <c r="F127" s="378">
        <f>'E) Fact soc'!G132</f>
        <v>1898262.862625801</v>
      </c>
      <c r="G127" s="375">
        <f>'H) Péréquation directe'!I137</f>
        <v>435469.57139992784</v>
      </c>
      <c r="H127" s="378">
        <f>'I) Dépenses thématiques'!O126</f>
        <v>-828609.89189039124</v>
      </c>
      <c r="I127" s="375">
        <f>'K) Plafonnement aide'!J126</f>
        <v>0</v>
      </c>
      <c r="J127" s="378">
        <f>'J) Plafonnement effort'!I126</f>
        <v>0</v>
      </c>
      <c r="K127" s="375">
        <f>'L) Plafonnement taux'!Q127</f>
        <v>0</v>
      </c>
      <c r="L127" s="373">
        <f t="shared" si="4"/>
        <v>1505122.5421353378</v>
      </c>
      <c r="M127" s="267">
        <f>'M) Police'!O127</f>
        <v>126478.84103339697</v>
      </c>
      <c r="N127" s="267">
        <f t="shared" si="3"/>
        <v>1631601.3831687348</v>
      </c>
      <c r="P127" s="328"/>
      <c r="R127" s="381"/>
    </row>
    <row r="128" spans="1:18" s="182" customFormat="1" x14ac:dyDescent="0.25">
      <c r="A128" s="179">
        <f>'B) D RI'!A129</f>
        <v>5609</v>
      </c>
      <c r="B128" s="180" t="str">
        <f>'B) D RI'!B129</f>
        <v>Rivaz</v>
      </c>
      <c r="C128" s="376">
        <f>'B) D RI'!S129</f>
        <v>63.5</v>
      </c>
      <c r="D128" s="181">
        <f>'B) D RI'!AA129</f>
        <v>357</v>
      </c>
      <c r="E128" s="374">
        <f>'D) Ecrêtage'!M127</f>
        <v>16888.91165354331</v>
      </c>
      <c r="F128" s="378">
        <f>'E) Fact soc'!G133</f>
        <v>293020.48204698216</v>
      </c>
      <c r="G128" s="375">
        <f>'H) Péréquation directe'!I138</f>
        <v>282426.39797637425</v>
      </c>
      <c r="H128" s="378">
        <f>'I) Dépenses thématiques'!O127</f>
        <v>-72253.986665334916</v>
      </c>
      <c r="I128" s="375">
        <f>'K) Plafonnement aide'!J127</f>
        <v>0</v>
      </c>
      <c r="J128" s="378">
        <f>'J) Plafonnement effort'!I127</f>
        <v>0</v>
      </c>
      <c r="K128" s="375">
        <f>'L) Plafonnement taux'!Q128</f>
        <v>0</v>
      </c>
      <c r="L128" s="373">
        <f t="shared" si="4"/>
        <v>503192.89335802151</v>
      </c>
      <c r="M128" s="267">
        <f>'M) Police'!O128</f>
        <v>21988.102669010699</v>
      </c>
      <c r="N128" s="267">
        <f t="shared" si="3"/>
        <v>525180.99602703226</v>
      </c>
      <c r="P128" s="328"/>
      <c r="R128" s="381"/>
    </row>
    <row r="129" spans="1:18" s="182" customFormat="1" x14ac:dyDescent="0.25">
      <c r="A129" s="179">
        <f>'B) D RI'!A130</f>
        <v>5610</v>
      </c>
      <c r="B129" s="180" t="str">
        <f>'B) D RI'!B130</f>
        <v>St-Saphorin (Lavaux)</v>
      </c>
      <c r="C129" s="376">
        <f>'B) D RI'!S130</f>
        <v>67</v>
      </c>
      <c r="D129" s="181">
        <f>'B) D RI'!AA130</f>
        <v>398</v>
      </c>
      <c r="E129" s="374">
        <f>'D) Ecrêtage'!M128</f>
        <v>20007.714179104478</v>
      </c>
      <c r="F129" s="378">
        <f>'E) Fact soc'!G134</f>
        <v>375160.41594966501</v>
      </c>
      <c r="G129" s="375">
        <f>'H) Péréquation directe'!I139</f>
        <v>337038.32224689663</v>
      </c>
      <c r="H129" s="378">
        <f>'I) Dépenses thématiques'!O128</f>
        <v>-81767.727980968906</v>
      </c>
      <c r="I129" s="375">
        <f>'K) Plafonnement aide'!J128</f>
        <v>0</v>
      </c>
      <c r="J129" s="378">
        <f>'J) Plafonnement effort'!I128</f>
        <v>0</v>
      </c>
      <c r="K129" s="375">
        <f>'L) Plafonnement taux'!Q129</f>
        <v>0</v>
      </c>
      <c r="L129" s="373">
        <f t="shared" si="4"/>
        <v>630431.01021559269</v>
      </c>
      <c r="M129" s="267">
        <f>'M) Police'!O129</f>
        <v>26048.550822401412</v>
      </c>
      <c r="N129" s="267">
        <f t="shared" si="3"/>
        <v>656479.56103799411</v>
      </c>
      <c r="P129" s="328"/>
      <c r="R129" s="381"/>
    </row>
    <row r="130" spans="1:18" s="182" customFormat="1" x14ac:dyDescent="0.25">
      <c r="A130" s="179">
        <f>'B) D RI'!A131</f>
        <v>5611</v>
      </c>
      <c r="B130" s="180" t="str">
        <f>'B) D RI'!B131</f>
        <v>Savigny</v>
      </c>
      <c r="C130" s="376">
        <f>'B) D RI'!S131</f>
        <v>69</v>
      </c>
      <c r="D130" s="181">
        <f>'B) D RI'!AA131</f>
        <v>3276</v>
      </c>
      <c r="E130" s="374">
        <f>'D) Ecrêtage'!M129</f>
        <v>115537.42516908211</v>
      </c>
      <c r="F130" s="378">
        <f>'E) Fact soc'!G135</f>
        <v>2042393.9542649062</v>
      </c>
      <c r="G130" s="375">
        <f>'H) Péréquation directe'!I140</f>
        <v>623440.13077044534</v>
      </c>
      <c r="H130" s="378">
        <f>'I) Dépenses thématiques'!O129</f>
        <v>-455077.32887495158</v>
      </c>
      <c r="I130" s="375">
        <f>'K) Plafonnement aide'!J129</f>
        <v>0</v>
      </c>
      <c r="J130" s="378">
        <f>'J) Plafonnement effort'!I129</f>
        <v>0</v>
      </c>
      <c r="K130" s="375">
        <f>'L) Plafonnement taux'!Q130</f>
        <v>0</v>
      </c>
      <c r="L130" s="373">
        <f t="shared" si="4"/>
        <v>2210756.7561603999</v>
      </c>
      <c r="M130" s="267">
        <f>'M) Police'!O130</f>
        <v>150421.10580274896</v>
      </c>
      <c r="N130" s="267">
        <f t="shared" si="3"/>
        <v>2361177.8619631487</v>
      </c>
      <c r="P130" s="328"/>
      <c r="R130" s="381"/>
    </row>
    <row r="131" spans="1:18" s="182" customFormat="1" x14ac:dyDescent="0.25">
      <c r="A131" s="179">
        <f>'B) D RI'!A132</f>
        <v>5613</v>
      </c>
      <c r="B131" s="180" t="str">
        <f>'B) D RI'!B132</f>
        <v>Bourg-en-Lavaux</v>
      </c>
      <c r="C131" s="376">
        <f>'B) D RI'!S132</f>
        <v>61</v>
      </c>
      <c r="D131" s="181">
        <f>'B) D RI'!AA132</f>
        <v>5296</v>
      </c>
      <c r="E131" s="374">
        <f>'D) Ecrêtage'!M130</f>
        <v>300841.30822927633</v>
      </c>
      <c r="F131" s="378">
        <f>'E) Fact soc'!G136</f>
        <v>5604022.0656588553</v>
      </c>
      <c r="G131" s="375">
        <f>'H) Péréquation directe'!I141</f>
        <v>3708065.9139704951</v>
      </c>
      <c r="H131" s="378">
        <f>'I) Dépenses thématiques'!O130</f>
        <v>-271584.91585687181</v>
      </c>
      <c r="I131" s="375">
        <f>'K) Plafonnement aide'!J130</f>
        <v>0</v>
      </c>
      <c r="J131" s="378">
        <f>'J) Plafonnement effort'!I130</f>
        <v>0</v>
      </c>
      <c r="K131" s="375">
        <f>'L) Plafonnement taux'!Q131</f>
        <v>0</v>
      </c>
      <c r="L131" s="373">
        <f t="shared" si="4"/>
        <v>9040503.0637724791</v>
      </c>
      <c r="M131" s="267">
        <f>'M) Police'!O131</f>
        <v>391672.93358639855</v>
      </c>
      <c r="N131" s="267">
        <f t="shared" si="3"/>
        <v>9432175.9973588772</v>
      </c>
      <c r="P131" s="328"/>
      <c r="R131" s="381"/>
    </row>
    <row r="132" spans="1:18" s="182" customFormat="1" x14ac:dyDescent="0.25">
      <c r="A132" s="179">
        <f>'B) D RI'!A133</f>
        <v>5621</v>
      </c>
      <c r="B132" s="180" t="str">
        <f>'B) D RI'!B133</f>
        <v>Aclens</v>
      </c>
      <c r="C132" s="376">
        <f>'B) D RI'!S133</f>
        <v>62</v>
      </c>
      <c r="D132" s="181">
        <f>'B) D RI'!AA133</f>
        <v>521</v>
      </c>
      <c r="E132" s="374">
        <f>'D) Ecrêtage'!M131</f>
        <v>26820.105850439882</v>
      </c>
      <c r="F132" s="378">
        <f>'E) Fact soc'!G137</f>
        <v>490797.16628305963</v>
      </c>
      <c r="G132" s="375">
        <f>'H) Péréquation directe'!I142</f>
        <v>453029.71889353765</v>
      </c>
      <c r="H132" s="378">
        <f>'I) Dépenses thématiques'!O131</f>
        <v>-31656.339708660045</v>
      </c>
      <c r="I132" s="375">
        <f>'K) Plafonnement aide'!J131</f>
        <v>0</v>
      </c>
      <c r="J132" s="378">
        <f>'J) Plafonnement effort'!I131</f>
        <v>0</v>
      </c>
      <c r="K132" s="375">
        <f>'L) Plafonnement taux'!Q132</f>
        <v>0</v>
      </c>
      <c r="L132" s="373">
        <f t="shared" si="4"/>
        <v>912170.54546793725</v>
      </c>
      <c r="M132" s="267">
        <f>'M) Police'!O132</f>
        <v>79100.20512598558</v>
      </c>
      <c r="N132" s="267">
        <f t="shared" si="3"/>
        <v>991270.7505939228</v>
      </c>
      <c r="P132" s="328"/>
      <c r="R132" s="381"/>
    </row>
    <row r="133" spans="1:18" s="182" customFormat="1" x14ac:dyDescent="0.25">
      <c r="A133" s="179">
        <f>'B) D RI'!A134</f>
        <v>5622</v>
      </c>
      <c r="B133" s="180" t="str">
        <f>'B) D RI'!B134</f>
        <v>Bremblens</v>
      </c>
      <c r="C133" s="376">
        <f>'B) D RI'!S134</f>
        <v>66</v>
      </c>
      <c r="D133" s="181">
        <f>'B) D RI'!AA134</f>
        <v>516</v>
      </c>
      <c r="E133" s="374">
        <f>'D) Ecrêtage'!M132</f>
        <v>31992.76732180336</v>
      </c>
      <c r="F133" s="378">
        <f>'E) Fact soc'!G138</f>
        <v>727014.4868431366</v>
      </c>
      <c r="G133" s="375">
        <f>'H) Péréquation directe'!I143</f>
        <v>550803.02802833554</v>
      </c>
      <c r="H133" s="378">
        <f>'I) Dépenses thématiques'!O132</f>
        <v>0</v>
      </c>
      <c r="I133" s="375">
        <f>'K) Plafonnement aide'!J132</f>
        <v>0</v>
      </c>
      <c r="J133" s="378">
        <f>'J) Plafonnement effort'!I132</f>
        <v>0</v>
      </c>
      <c r="K133" s="375">
        <f>'L) Plafonnement taux'!Q133</f>
        <v>0</v>
      </c>
      <c r="L133" s="373">
        <f t="shared" si="4"/>
        <v>1277817.514871472</v>
      </c>
      <c r="M133" s="267">
        <f>'M) Police'!O133</f>
        <v>86405.550915139378</v>
      </c>
      <c r="N133" s="267">
        <f t="shared" si="3"/>
        <v>1364223.0657866113</v>
      </c>
      <c r="P133" s="328"/>
      <c r="R133" s="381"/>
    </row>
    <row r="134" spans="1:18" s="182" customFormat="1" x14ac:dyDescent="0.25">
      <c r="A134" s="179">
        <f>'B) D RI'!A135</f>
        <v>5623</v>
      </c>
      <c r="B134" s="180" t="str">
        <f>'B) D RI'!B135</f>
        <v>Buchillon</v>
      </c>
      <c r="C134" s="376">
        <f>'B) D RI'!S135</f>
        <v>53</v>
      </c>
      <c r="D134" s="181">
        <f>'B) D RI'!AA135</f>
        <v>609</v>
      </c>
      <c r="E134" s="374">
        <f>'D) Ecrêtage'!M133</f>
        <v>70425.818764312105</v>
      </c>
      <c r="F134" s="378">
        <f>'E) Fact soc'!G139</f>
        <v>3302115.2162844669</v>
      </c>
      <c r="G134" s="375">
        <f>'H) Péréquation directe'!I144</f>
        <v>1264430.3480845732</v>
      </c>
      <c r="H134" s="378">
        <f>'I) Dépenses thématiques'!O133</f>
        <v>0</v>
      </c>
      <c r="I134" s="375">
        <f>'K) Plafonnement aide'!J133</f>
        <v>0</v>
      </c>
      <c r="J134" s="378">
        <f>'J) Plafonnement effort'!I133</f>
        <v>-858437.10587847442</v>
      </c>
      <c r="K134" s="375">
        <f>'L) Plafonnement taux'!Q134</f>
        <v>0</v>
      </c>
      <c r="L134" s="373">
        <f t="shared" si="4"/>
        <v>3708108.4584905654</v>
      </c>
      <c r="M134" s="267">
        <f>'M) Police'!O134</f>
        <v>91689.160634217158</v>
      </c>
      <c r="N134" s="267">
        <f t="shared" si="3"/>
        <v>3799797.6191247827</v>
      </c>
      <c r="P134" s="328"/>
      <c r="R134" s="381"/>
    </row>
    <row r="135" spans="1:18" s="182" customFormat="1" x14ac:dyDescent="0.25">
      <c r="A135" s="179">
        <f>'B) D RI'!A136</f>
        <v>5624</v>
      </c>
      <c r="B135" s="180" t="str">
        <f>'B) D RI'!B136</f>
        <v>Bussigny</v>
      </c>
      <c r="C135" s="376">
        <f>'B) D RI'!S136</f>
        <v>62</v>
      </c>
      <c r="D135" s="181">
        <f>'B) D RI'!AA136</f>
        <v>8227</v>
      </c>
      <c r="E135" s="374">
        <f>'D) Ecrêtage'!M134</f>
        <v>334130.13322580641</v>
      </c>
      <c r="F135" s="378">
        <f>'E) Fact soc'!G140</f>
        <v>6078938.3111614361</v>
      </c>
      <c r="G135" s="375">
        <f>'H) Péréquation directe'!I145</f>
        <v>2007939.141871036</v>
      </c>
      <c r="H135" s="378">
        <f>'I) Dépenses thématiques'!O134</f>
        <v>-943716.59717650432</v>
      </c>
      <c r="I135" s="375">
        <f>'K) Plafonnement aide'!J134</f>
        <v>0</v>
      </c>
      <c r="J135" s="378">
        <f>'J) Plafonnement effort'!I134</f>
        <v>0</v>
      </c>
      <c r="K135" s="375">
        <f>'L) Plafonnement taux'!Q135</f>
        <v>0</v>
      </c>
      <c r="L135" s="373">
        <f t="shared" si="4"/>
        <v>7143160.8558559678</v>
      </c>
      <c r="M135" s="267">
        <f>'M) Police'!O135</f>
        <v>435012.49961467291</v>
      </c>
      <c r="N135" s="267">
        <f t="shared" ref="N135:N193" si="5">L135+M135</f>
        <v>7578173.3554706406</v>
      </c>
      <c r="P135" s="328"/>
      <c r="R135" s="381"/>
    </row>
    <row r="136" spans="1:18" s="182" customFormat="1" x14ac:dyDescent="0.25">
      <c r="A136" s="179">
        <f>'B) D RI'!A137</f>
        <v>5625</v>
      </c>
      <c r="B136" s="180" t="str">
        <f>'B) D RI'!B137</f>
        <v>Bussy-Chardonney</v>
      </c>
      <c r="C136" s="376">
        <f>'B) D RI'!S137</f>
        <v>78</v>
      </c>
      <c r="D136" s="181">
        <f>'B) D RI'!AA137</f>
        <v>369</v>
      </c>
      <c r="E136" s="374">
        <f>'D) Ecrêtage'!M135</f>
        <v>13745.926324786325</v>
      </c>
      <c r="F136" s="378">
        <f>'E) Fact soc'!G141</f>
        <v>264733.36879072268</v>
      </c>
      <c r="G136" s="375">
        <f>'H) Péréquation directe'!I146</f>
        <v>149986.48329947286</v>
      </c>
      <c r="H136" s="378">
        <f>'I) Dépenses thématiques'!O135</f>
        <v>-47086.639631410115</v>
      </c>
      <c r="I136" s="375">
        <f>'K) Plafonnement aide'!J135</f>
        <v>0</v>
      </c>
      <c r="J136" s="378">
        <f>'J) Plafonnement effort'!I135</f>
        <v>0</v>
      </c>
      <c r="K136" s="375">
        <f>'L) Plafonnement taux'!Q136</f>
        <v>0</v>
      </c>
      <c r="L136" s="373">
        <f t="shared" si="4"/>
        <v>367633.21245878539</v>
      </c>
      <c r="M136" s="267">
        <f>'M) Police'!O136</f>
        <v>43065.924669430504</v>
      </c>
      <c r="N136" s="267">
        <f t="shared" si="5"/>
        <v>410699.13712821587</v>
      </c>
      <c r="P136" s="328"/>
      <c r="R136" s="381"/>
    </row>
    <row r="137" spans="1:18" s="182" customFormat="1" x14ac:dyDescent="0.25">
      <c r="A137" s="179">
        <f>'B) D RI'!A138</f>
        <v>5627</v>
      </c>
      <c r="B137" s="180" t="str">
        <f>'B) D RI'!B138</f>
        <v>Chavannes-près-Renens</v>
      </c>
      <c r="C137" s="376">
        <f>'B) D RI'!S138</f>
        <v>79</v>
      </c>
      <c r="D137" s="181">
        <f>'B) D RI'!AA138</f>
        <v>7543</v>
      </c>
      <c r="E137" s="374">
        <f>'D) Ecrêtage'!M136</f>
        <v>171770.86046413501</v>
      </c>
      <c r="F137" s="378">
        <f>'E) Fact soc'!G142</f>
        <v>2995884.8319486836</v>
      </c>
      <c r="G137" s="375">
        <f>'H) Péréquation directe'!I147</f>
        <v>-4279568.1293031052</v>
      </c>
      <c r="H137" s="378">
        <f>'I) Dépenses thématiques'!O136</f>
        <v>-1321466.8545299193</v>
      </c>
      <c r="I137" s="375">
        <f>'K) Plafonnement aide'!J136</f>
        <v>167172.70433754459</v>
      </c>
      <c r="J137" s="378">
        <f>'J) Plafonnement effort'!I136</f>
        <v>0</v>
      </c>
      <c r="K137" s="375">
        <f>'L) Plafonnement taux'!Q137</f>
        <v>0</v>
      </c>
      <c r="L137" s="373">
        <f t="shared" si="4"/>
        <v>-2437977.4475467959</v>
      </c>
      <c r="M137" s="267">
        <f>'M) Police'!O137</f>
        <v>223632.84224044779</v>
      </c>
      <c r="N137" s="267">
        <f t="shared" si="5"/>
        <v>-2214344.6053063483</v>
      </c>
      <c r="P137" s="328"/>
      <c r="R137" s="381"/>
    </row>
    <row r="138" spans="1:18" s="182" customFormat="1" x14ac:dyDescent="0.25">
      <c r="A138" s="179">
        <f>'B) D RI'!A139</f>
        <v>5628</v>
      </c>
      <c r="B138" s="180" t="str">
        <f>'B) D RI'!B139</f>
        <v>Chigny</v>
      </c>
      <c r="C138" s="376">
        <f>'B) D RI'!S139</f>
        <v>62</v>
      </c>
      <c r="D138" s="181">
        <f>'B) D RI'!AA139</f>
        <v>343</v>
      </c>
      <c r="E138" s="374">
        <f>'D) Ecrêtage'!M137</f>
        <v>19328.986012330468</v>
      </c>
      <c r="F138" s="378">
        <f>'E) Fact soc'!G143</f>
        <v>338905.96950190637</v>
      </c>
      <c r="G138" s="375">
        <f>'H) Péréquation directe'!I148</f>
        <v>329696.26520203875</v>
      </c>
      <c r="H138" s="378">
        <f>'I) Dépenses thématiques'!O137</f>
        <v>0</v>
      </c>
      <c r="I138" s="375">
        <f>'K) Plafonnement aide'!J137</f>
        <v>0</v>
      </c>
      <c r="J138" s="378">
        <f>'J) Plafonnement effort'!I137</f>
        <v>0</v>
      </c>
      <c r="K138" s="375">
        <f>'L) Plafonnement taux'!Q138</f>
        <v>0</v>
      </c>
      <c r="L138" s="373">
        <f t="shared" si="4"/>
        <v>668602.23470394511</v>
      </c>
      <c r="M138" s="267">
        <f>'M) Police'!O138</f>
        <v>54913.73626507938</v>
      </c>
      <c r="N138" s="267">
        <f t="shared" si="5"/>
        <v>723515.97096902446</v>
      </c>
      <c r="P138" s="328"/>
      <c r="R138" s="381"/>
    </row>
    <row r="139" spans="1:18" s="182" customFormat="1" x14ac:dyDescent="0.25">
      <c r="A139" s="179">
        <f>'B) D RI'!A140</f>
        <v>5629</v>
      </c>
      <c r="B139" s="180" t="str">
        <f>'B) D RI'!B140</f>
        <v>Clarmont</v>
      </c>
      <c r="C139" s="376">
        <f>'B) D RI'!S140</f>
        <v>75</v>
      </c>
      <c r="D139" s="181">
        <f>'B) D RI'!AA140</f>
        <v>175</v>
      </c>
      <c r="E139" s="374">
        <f>'D) Ecrêtage'!M138</f>
        <v>7536.1791999999996</v>
      </c>
      <c r="F139" s="378">
        <f>'E) Fact soc'!G144</f>
        <v>154999.76337871223</v>
      </c>
      <c r="G139" s="375">
        <f>'H) Péréquation directe'!I149</f>
        <v>115656.00595899833</v>
      </c>
      <c r="H139" s="378">
        <f>'I) Dépenses thématiques'!O138</f>
        <v>-61530.991947904295</v>
      </c>
      <c r="I139" s="375">
        <f>'K) Plafonnement aide'!J138</f>
        <v>0</v>
      </c>
      <c r="J139" s="378">
        <f>'J) Plafonnement effort'!I138</f>
        <v>0</v>
      </c>
      <c r="K139" s="375">
        <f>'L) Plafonnement taux'!Q139</f>
        <v>0</v>
      </c>
      <c r="L139" s="373">
        <f t="shared" si="4"/>
        <v>209124.77738980629</v>
      </c>
      <c r="M139" s="267">
        <f>'M) Police'!O139</f>
        <v>23919.738678251131</v>
      </c>
      <c r="N139" s="267">
        <f t="shared" si="5"/>
        <v>233044.51606805742</v>
      </c>
      <c r="P139" s="328"/>
      <c r="R139" s="381"/>
    </row>
    <row r="140" spans="1:18" s="182" customFormat="1" x14ac:dyDescent="0.25">
      <c r="A140" s="179">
        <f>'B) D RI'!A141</f>
        <v>5631</v>
      </c>
      <c r="B140" s="180" t="str">
        <f>'B) D RI'!B141</f>
        <v>Denens</v>
      </c>
      <c r="C140" s="376">
        <f>'B) D RI'!S141</f>
        <v>68</v>
      </c>
      <c r="D140" s="181">
        <f>'B) D RI'!AA141</f>
        <v>769</v>
      </c>
      <c r="E140" s="374">
        <f>'D) Ecrêtage'!M139</f>
        <v>42221.936176470583</v>
      </c>
      <c r="F140" s="378">
        <f>'E) Fact soc'!G145</f>
        <v>941353.90801833849</v>
      </c>
      <c r="G140" s="375">
        <f>'H) Péréquation directe'!I150</f>
        <v>718235.60140487656</v>
      </c>
      <c r="H140" s="378">
        <f>'I) Dépenses thématiques'!O139</f>
        <v>0</v>
      </c>
      <c r="I140" s="375">
        <f>'K) Plafonnement aide'!J139</f>
        <v>0</v>
      </c>
      <c r="J140" s="378">
        <f>'J) Plafonnement effort'!I139</f>
        <v>0</v>
      </c>
      <c r="K140" s="375">
        <f>'L) Plafonnement taux'!Q140</f>
        <v>0</v>
      </c>
      <c r="L140" s="373">
        <f t="shared" si="4"/>
        <v>1659589.5094232149</v>
      </c>
      <c r="M140" s="267">
        <f>'M) Police'!O140</f>
        <v>121666.18651951624</v>
      </c>
      <c r="N140" s="267">
        <f t="shared" si="5"/>
        <v>1781255.6959427311</v>
      </c>
      <c r="P140" s="328"/>
      <c r="R140" s="381"/>
    </row>
    <row r="141" spans="1:18" s="182" customFormat="1" x14ac:dyDescent="0.25">
      <c r="A141" s="179">
        <f>'B) D RI'!A142</f>
        <v>5632</v>
      </c>
      <c r="B141" s="180" t="str">
        <f>'B) D RI'!B142</f>
        <v>Denges</v>
      </c>
      <c r="C141" s="376">
        <f>'B) D RI'!S142</f>
        <v>62</v>
      </c>
      <c r="D141" s="181">
        <f>'B) D RI'!AA142</f>
        <v>1624</v>
      </c>
      <c r="E141" s="374">
        <f>'D) Ecrêtage'!M140</f>
        <v>67310.066612903232</v>
      </c>
      <c r="F141" s="378">
        <f>'E) Fact soc'!G146</f>
        <v>1205503.2099036465</v>
      </c>
      <c r="G141" s="375">
        <f>'H) Péréquation directe'!I151</f>
        <v>855774.10293809255</v>
      </c>
      <c r="H141" s="378">
        <f>'I) Dépenses thématiques'!O140</f>
        <v>0</v>
      </c>
      <c r="I141" s="375">
        <f>'K) Plafonnement aide'!J140</f>
        <v>0</v>
      </c>
      <c r="J141" s="378">
        <f>'J) Plafonnement effort'!I140</f>
        <v>0</v>
      </c>
      <c r="K141" s="375">
        <f>'L) Plafonnement taux'!Q141</f>
        <v>0</v>
      </c>
      <c r="L141" s="373">
        <f t="shared" si="4"/>
        <v>2061277.312841739</v>
      </c>
      <c r="M141" s="267">
        <f>'M) Police'!O141</f>
        <v>210691.062227441</v>
      </c>
      <c r="N141" s="267">
        <f t="shared" si="5"/>
        <v>2271968.37506918</v>
      </c>
      <c r="P141" s="328"/>
      <c r="R141" s="381"/>
    </row>
    <row r="142" spans="1:18" s="182" customFormat="1" x14ac:dyDescent="0.25">
      <c r="A142" s="179">
        <f>'B) D RI'!A143</f>
        <v>5633</v>
      </c>
      <c r="B142" s="180" t="str">
        <f>'B) D RI'!B143</f>
        <v>Echandens</v>
      </c>
      <c r="C142" s="376">
        <f>'B) D RI'!S143</f>
        <v>62</v>
      </c>
      <c r="D142" s="181">
        <f>'B) D RI'!AA143</f>
        <v>2731</v>
      </c>
      <c r="E142" s="374">
        <f>'D) Ecrêtage'!M141</f>
        <v>139554.44612903227</v>
      </c>
      <c r="F142" s="378">
        <f>'E) Fact soc'!G147</f>
        <v>2409874.203503429</v>
      </c>
      <c r="G142" s="375">
        <f>'H) Péréquation directe'!I152</f>
        <v>1928640.9485542537</v>
      </c>
      <c r="H142" s="378">
        <f>'I) Dépenses thématiques'!O141</f>
        <v>-223345.69614703805</v>
      </c>
      <c r="I142" s="375">
        <f>'K) Plafonnement aide'!J141</f>
        <v>0</v>
      </c>
      <c r="J142" s="378">
        <f>'J) Plafonnement effort'!I141</f>
        <v>0</v>
      </c>
      <c r="K142" s="375">
        <f>'L) Plafonnement taux'!Q142</f>
        <v>0</v>
      </c>
      <c r="L142" s="373">
        <f t="shared" si="4"/>
        <v>4115169.455910645</v>
      </c>
      <c r="M142" s="267">
        <f>'M) Police'!O142</f>
        <v>418552.67879006616</v>
      </c>
      <c r="N142" s="267">
        <f t="shared" si="5"/>
        <v>4533722.1347007109</v>
      </c>
      <c r="P142" s="328"/>
      <c r="R142" s="381"/>
    </row>
    <row r="143" spans="1:18" s="182" customFormat="1" x14ac:dyDescent="0.25">
      <c r="A143" s="179">
        <f>'B) D RI'!A144</f>
        <v>5634</v>
      </c>
      <c r="B143" s="180" t="str">
        <f>'B) D RI'!B144</f>
        <v>Echichens</v>
      </c>
      <c r="C143" s="376">
        <f>'B) D RI'!S144</f>
        <v>68</v>
      </c>
      <c r="D143" s="181">
        <f>'B) D RI'!AA144</f>
        <v>2639</v>
      </c>
      <c r="E143" s="374">
        <f>'D) Ecrêtage'!M142</f>
        <v>125699.21529411766</v>
      </c>
      <c r="F143" s="378">
        <f>'E) Fact soc'!G148</f>
        <v>2411114.4576458251</v>
      </c>
      <c r="G143" s="375">
        <f>'H) Péréquation directe'!I153</f>
        <v>1699817.1713516624</v>
      </c>
      <c r="H143" s="378">
        <f>'I) Dépenses thématiques'!O142</f>
        <v>0</v>
      </c>
      <c r="I143" s="375">
        <f>'K) Plafonnement aide'!J142</f>
        <v>0</v>
      </c>
      <c r="J143" s="378">
        <f>'J) Plafonnement effort'!I142</f>
        <v>0</v>
      </c>
      <c r="K143" s="375">
        <f>'L) Plafonnement taux'!Q143</f>
        <v>0</v>
      </c>
      <c r="L143" s="373">
        <f t="shared" si="4"/>
        <v>4110931.6289974875</v>
      </c>
      <c r="M143" s="267">
        <f>'M) Police'!O143</f>
        <v>392534.92176826275</v>
      </c>
      <c r="N143" s="267">
        <f t="shared" si="5"/>
        <v>4503466.55076575</v>
      </c>
      <c r="P143" s="328"/>
      <c r="R143" s="381"/>
    </row>
    <row r="144" spans="1:18" s="182" customFormat="1" x14ac:dyDescent="0.25">
      <c r="A144" s="179">
        <f>'B) D RI'!A145</f>
        <v>5635</v>
      </c>
      <c r="B144" s="180" t="str">
        <f>'B) D RI'!B145</f>
        <v>Ecublens</v>
      </c>
      <c r="C144" s="376">
        <f>'B) D RI'!S145</f>
        <v>62</v>
      </c>
      <c r="D144" s="181">
        <f>'B) D RI'!AA145</f>
        <v>12340</v>
      </c>
      <c r="E144" s="374">
        <f>'D) Ecrêtage'!M143</f>
        <v>424543.31159592536</v>
      </c>
      <c r="F144" s="378">
        <f>'E) Fact soc'!G149</f>
        <v>7897471.3556638407</v>
      </c>
      <c r="G144" s="375">
        <f>'H) Péréquation directe'!I154</f>
        <v>-1069049.1856611408</v>
      </c>
      <c r="H144" s="378">
        <f>'I) Dépenses thématiques'!O143</f>
        <v>-2843195.6003846014</v>
      </c>
      <c r="I144" s="375">
        <f>'K) Plafonnement aide'!J143</f>
        <v>0</v>
      </c>
      <c r="J144" s="378">
        <f>'J) Plafonnement effort'!I143</f>
        <v>0</v>
      </c>
      <c r="K144" s="375">
        <f>'L) Plafonnement taux'!Q144</f>
        <v>0</v>
      </c>
      <c r="L144" s="373">
        <f t="shared" si="4"/>
        <v>3985226.5696180984</v>
      </c>
      <c r="M144" s="267">
        <f>'M) Police'!O144</f>
        <v>552723.71093578043</v>
      </c>
      <c r="N144" s="267">
        <f t="shared" si="5"/>
        <v>4537950.2805538792</v>
      </c>
      <c r="P144" s="328"/>
      <c r="R144" s="381"/>
    </row>
    <row r="145" spans="1:18" s="182" customFormat="1" x14ac:dyDescent="0.25">
      <c r="A145" s="179">
        <f>'B) D RI'!A146</f>
        <v>5636</v>
      </c>
      <c r="B145" s="180" t="str">
        <f>'B) D RI'!B146</f>
        <v>Etoy</v>
      </c>
      <c r="C145" s="376">
        <f>'B) D RI'!S146</f>
        <v>61</v>
      </c>
      <c r="D145" s="181">
        <f>'B) D RI'!AA146</f>
        <v>2906</v>
      </c>
      <c r="E145" s="374">
        <f>'D) Ecrêtage'!M144</f>
        <v>150854.83475409835</v>
      </c>
      <c r="F145" s="378">
        <f>'E) Fact soc'!G150</f>
        <v>4938153.2981966175</v>
      </c>
      <c r="G145" s="375">
        <f>'H) Péréquation directe'!I155</f>
        <v>2080775.8981745765</v>
      </c>
      <c r="H145" s="378">
        <f>'I) Dépenses thématiques'!O144</f>
        <v>0</v>
      </c>
      <c r="I145" s="375">
        <f>'K) Plafonnement aide'!J144</f>
        <v>0</v>
      </c>
      <c r="J145" s="378">
        <f>'J) Plafonnement effort'!I144</f>
        <v>-230461.63243676879</v>
      </c>
      <c r="K145" s="375">
        <f>'L) Plafonnement taux'!Q145</f>
        <v>0</v>
      </c>
      <c r="L145" s="373">
        <f t="shared" si="4"/>
        <v>6788467.5639344249</v>
      </c>
      <c r="M145" s="267">
        <f>'M) Police'!O145</f>
        <v>448442.92052299477</v>
      </c>
      <c r="N145" s="267">
        <f t="shared" si="5"/>
        <v>7236910.4844574193</v>
      </c>
      <c r="P145" s="328"/>
      <c r="R145" s="381"/>
    </row>
    <row r="146" spans="1:18" s="182" customFormat="1" x14ac:dyDescent="0.25">
      <c r="A146" s="179">
        <f>'B) D RI'!A147</f>
        <v>5637</v>
      </c>
      <c r="B146" s="180" t="str">
        <f>'B) D RI'!B147</f>
        <v>Lavigny</v>
      </c>
      <c r="C146" s="376">
        <f>'B) D RI'!S147</f>
        <v>74.5</v>
      </c>
      <c r="D146" s="181">
        <f>'B) D RI'!AA147</f>
        <v>1006</v>
      </c>
      <c r="E146" s="374">
        <f>'D) Ecrêtage'!M145</f>
        <v>35788.809619686814</v>
      </c>
      <c r="F146" s="378">
        <f>'E) Fact soc'!G151</f>
        <v>679711.77259640349</v>
      </c>
      <c r="G146" s="375">
        <f>'H) Péréquation directe'!I156</f>
        <v>355638.13992123026</v>
      </c>
      <c r="H146" s="378">
        <f>'I) Dépenses thématiques'!O145</f>
        <v>-62606.838862413599</v>
      </c>
      <c r="I146" s="375">
        <f>'K) Plafonnement aide'!J145</f>
        <v>0</v>
      </c>
      <c r="J146" s="378">
        <f>'J) Plafonnement effort'!I145</f>
        <v>0</v>
      </c>
      <c r="K146" s="375">
        <f>'L) Plafonnement taux'!Q146</f>
        <v>0</v>
      </c>
      <c r="L146" s="373">
        <f t="shared" si="4"/>
        <v>972743.07365522021</v>
      </c>
      <c r="M146" s="267">
        <f>'M) Police'!O146</f>
        <v>113371.0507260477</v>
      </c>
      <c r="N146" s="267">
        <f t="shared" si="5"/>
        <v>1086114.1243812679</v>
      </c>
      <c r="P146" s="328"/>
      <c r="R146" s="381"/>
    </row>
    <row r="147" spans="1:18" s="182" customFormat="1" x14ac:dyDescent="0.25">
      <c r="A147" s="179">
        <f>'B) D RI'!A148</f>
        <v>5638</v>
      </c>
      <c r="B147" s="180" t="str">
        <f>'B) D RI'!B148</f>
        <v>Lonay</v>
      </c>
      <c r="C147" s="376">
        <f>'B) D RI'!S148</f>
        <v>55</v>
      </c>
      <c r="D147" s="181">
        <f>'B) D RI'!AA148</f>
        <v>2530</v>
      </c>
      <c r="E147" s="374">
        <f>'D) Ecrêtage'!M146</f>
        <v>149182.29456782961</v>
      </c>
      <c r="F147" s="378">
        <f>'E) Fact soc'!G152</f>
        <v>3840484.1631349544</v>
      </c>
      <c r="G147" s="375">
        <f>'H) Péréquation directe'!I157</f>
        <v>2179067.5258204415</v>
      </c>
      <c r="H147" s="378">
        <f>'I) Dépenses thématiques'!O146</f>
        <v>-340830.19529373205</v>
      </c>
      <c r="I147" s="375">
        <f>'K) Plafonnement aide'!J146</f>
        <v>0</v>
      </c>
      <c r="J147" s="378">
        <f>'J) Plafonnement effort'!I146</f>
        <v>0</v>
      </c>
      <c r="K147" s="375">
        <f>'L) Plafonnement taux'!Q147</f>
        <v>0</v>
      </c>
      <c r="L147" s="373">
        <f t="shared" si="4"/>
        <v>5678721.4936616644</v>
      </c>
      <c r="M147" s="267">
        <f>'M) Police'!O147</f>
        <v>413654.42595826933</v>
      </c>
      <c r="N147" s="267">
        <f t="shared" si="5"/>
        <v>6092375.9196199337</v>
      </c>
      <c r="P147" s="328"/>
      <c r="R147" s="381"/>
    </row>
    <row r="148" spans="1:18" s="182" customFormat="1" x14ac:dyDescent="0.25">
      <c r="A148" s="179">
        <f>'B) D RI'!A149</f>
        <v>5639</v>
      </c>
      <c r="B148" s="180" t="str">
        <f>'B) D RI'!B149</f>
        <v>Lully</v>
      </c>
      <c r="C148" s="376">
        <f>'B) D RI'!S149</f>
        <v>61</v>
      </c>
      <c r="D148" s="181">
        <f>'B) D RI'!AA149</f>
        <v>785</v>
      </c>
      <c r="E148" s="374">
        <f>'D) Ecrêtage'!M147</f>
        <v>41723.705573770494</v>
      </c>
      <c r="F148" s="378">
        <f>'E) Fact soc'!G153</f>
        <v>704663.21787217632</v>
      </c>
      <c r="G148" s="375">
        <f>'H) Péréquation directe'!I158</f>
        <v>707288.09599558474</v>
      </c>
      <c r="H148" s="378">
        <f>'I) Dépenses thématiques'!O147</f>
        <v>0</v>
      </c>
      <c r="I148" s="375">
        <f>'K) Plafonnement aide'!J147</f>
        <v>0</v>
      </c>
      <c r="J148" s="378">
        <f>'J) Plafonnement effort'!I147</f>
        <v>0</v>
      </c>
      <c r="K148" s="375">
        <f>'L) Plafonnement taux'!Q148</f>
        <v>0</v>
      </c>
      <c r="L148" s="373">
        <f t="shared" si="4"/>
        <v>1411951.3138677611</v>
      </c>
      <c r="M148" s="267">
        <f>'M) Police'!O148</f>
        <v>122405.22839274249</v>
      </c>
      <c r="N148" s="267">
        <f t="shared" si="5"/>
        <v>1534356.5422605036</v>
      </c>
      <c r="P148" s="328"/>
      <c r="R148" s="381"/>
    </row>
    <row r="149" spans="1:18" s="182" customFormat="1" x14ac:dyDescent="0.25">
      <c r="A149" s="179">
        <f>'B) D RI'!A150</f>
        <v>5640</v>
      </c>
      <c r="B149" s="180" t="str">
        <f>'B) D RI'!B150</f>
        <v>Lussy-sur-Morges</v>
      </c>
      <c r="C149" s="376">
        <f>'B) D RI'!S150</f>
        <v>66</v>
      </c>
      <c r="D149" s="181">
        <f>'B) D RI'!AA150</f>
        <v>644</v>
      </c>
      <c r="E149" s="374">
        <f>'D) Ecrêtage'!M148</f>
        <v>50448.007256951299</v>
      </c>
      <c r="F149" s="378">
        <f>'E) Fact soc'!G154</f>
        <v>1448165.7649134626</v>
      </c>
      <c r="G149" s="375">
        <f>'H) Péréquation directe'!I159</f>
        <v>885264.25359739072</v>
      </c>
      <c r="H149" s="378">
        <f>'I) Dépenses thématiques'!O148</f>
        <v>0</v>
      </c>
      <c r="I149" s="375">
        <f>'K) Plafonnement aide'!J148</f>
        <v>0</v>
      </c>
      <c r="J149" s="378">
        <f>'J) Plafonnement effort'!I148</f>
        <v>0</v>
      </c>
      <c r="K149" s="375">
        <f>'L) Plafonnement taux'!Q149</f>
        <v>0</v>
      </c>
      <c r="L149" s="373">
        <f t="shared" si="4"/>
        <v>2333430.0185108534</v>
      </c>
      <c r="M149" s="267">
        <f>'M) Police'!O149</f>
        <v>65679.540858994253</v>
      </c>
      <c r="N149" s="267">
        <f t="shared" si="5"/>
        <v>2399109.5593698476</v>
      </c>
      <c r="P149" s="328"/>
      <c r="R149" s="381"/>
    </row>
    <row r="150" spans="1:18" s="182" customFormat="1" x14ac:dyDescent="0.25">
      <c r="A150" s="179">
        <f>'B) D RI'!A151</f>
        <v>5642</v>
      </c>
      <c r="B150" s="180" t="str">
        <f>'B) D RI'!B151</f>
        <v>Morges</v>
      </c>
      <c r="C150" s="376">
        <f>'B) D RI'!S151</f>
        <v>68.5</v>
      </c>
      <c r="D150" s="181">
        <f>'B) D RI'!AA151</f>
        <v>15819</v>
      </c>
      <c r="E150" s="374">
        <f>'D) Ecrêtage'!M149</f>
        <v>781778.61635036487</v>
      </c>
      <c r="F150" s="378">
        <f>'E) Fact soc'!G155</f>
        <v>14313495.45966294</v>
      </c>
      <c r="G150" s="375">
        <f>'H) Péréquation directe'!I160</f>
        <v>4242110.2661235519</v>
      </c>
      <c r="H150" s="378">
        <f>'I) Dépenses thématiques'!O149</f>
        <v>-257809.51061297875</v>
      </c>
      <c r="I150" s="375">
        <f>'K) Plafonnement aide'!J149</f>
        <v>0</v>
      </c>
      <c r="J150" s="378">
        <f>'J) Plafonnement effort'!I149</f>
        <v>0</v>
      </c>
      <c r="K150" s="375">
        <f>'L) Plafonnement taux'!Q150</f>
        <v>0</v>
      </c>
      <c r="L150" s="373">
        <f t="shared" si="4"/>
        <v>18297796.215173513</v>
      </c>
      <c r="M150" s="267">
        <f>'M) Police'!O150</f>
        <v>1017817.4196998955</v>
      </c>
      <c r="N150" s="267">
        <f t="shared" si="5"/>
        <v>19315613.634873409</v>
      </c>
      <c r="P150" s="328"/>
      <c r="R150" s="381"/>
    </row>
    <row r="151" spans="1:18" s="182" customFormat="1" x14ac:dyDescent="0.25">
      <c r="A151" s="179">
        <f>'B) D RI'!A152</f>
        <v>5643</v>
      </c>
      <c r="B151" s="180" t="str">
        <f>'B) D RI'!B152</f>
        <v>Préverenges</v>
      </c>
      <c r="C151" s="376">
        <f>'B) D RI'!S152</f>
        <v>64</v>
      </c>
      <c r="D151" s="181">
        <f>'B) D RI'!AA152</f>
        <v>5276</v>
      </c>
      <c r="E151" s="374">
        <f>'D) Ecrêtage'!M150</f>
        <v>262779.91921874997</v>
      </c>
      <c r="F151" s="378">
        <f>'E) Fact soc'!G156</f>
        <v>4520778.5253200699</v>
      </c>
      <c r="G151" s="375">
        <f>'H) Péréquation directe'!I161</f>
        <v>3004090.285095958</v>
      </c>
      <c r="H151" s="378">
        <f>'I) Dépenses thématiques'!O150</f>
        <v>0</v>
      </c>
      <c r="I151" s="375">
        <f>'K) Plafonnement aide'!J150</f>
        <v>0</v>
      </c>
      <c r="J151" s="378">
        <f>'J) Plafonnement effort'!I150</f>
        <v>0</v>
      </c>
      <c r="K151" s="375">
        <f>'L) Plafonnement taux'!Q151</f>
        <v>0</v>
      </c>
      <c r="L151" s="373">
        <f t="shared" si="4"/>
        <v>7524868.8104160279</v>
      </c>
      <c r="M151" s="267">
        <f>'M) Police'!O151</f>
        <v>342119.84535569377</v>
      </c>
      <c r="N151" s="267">
        <f t="shared" si="5"/>
        <v>7866988.6557717221</v>
      </c>
      <c r="P151" s="328"/>
      <c r="R151" s="381"/>
    </row>
    <row r="152" spans="1:18" s="182" customFormat="1" x14ac:dyDescent="0.25">
      <c r="A152" s="179">
        <f>'B) D RI'!A153</f>
        <v>5644</v>
      </c>
      <c r="B152" s="180" t="str">
        <f>'B) D RI'!B153</f>
        <v>Reverolle</v>
      </c>
      <c r="C152" s="376">
        <f>'B) D RI'!S153</f>
        <v>76</v>
      </c>
      <c r="D152" s="181">
        <f>'B) D RI'!AA153</f>
        <v>368</v>
      </c>
      <c r="E152" s="374">
        <f>'D) Ecrêtage'!M151</f>
        <v>14128.860263157892</v>
      </c>
      <c r="F152" s="378">
        <f>'E) Fact soc'!G157</f>
        <v>245173.79651307387</v>
      </c>
      <c r="G152" s="375">
        <f>'H) Péréquation directe'!I162</f>
        <v>170802.90064118704</v>
      </c>
      <c r="H152" s="378">
        <f>'I) Dépenses thématiques'!O151</f>
        <v>-47796.696473298973</v>
      </c>
      <c r="I152" s="375">
        <f>'K) Plafonnement aide'!J151</f>
        <v>0</v>
      </c>
      <c r="J152" s="378">
        <f>'J) Plafonnement effort'!I151</f>
        <v>0</v>
      </c>
      <c r="K152" s="375">
        <f>'L) Plafonnement taux'!Q152</f>
        <v>0</v>
      </c>
      <c r="L152" s="373">
        <f t="shared" si="4"/>
        <v>368180.000680962</v>
      </c>
      <c r="M152" s="267">
        <f>'M) Police'!O152</f>
        <v>44931.922511950281</v>
      </c>
      <c r="N152" s="267">
        <f t="shared" si="5"/>
        <v>413111.92319291225</v>
      </c>
      <c r="P152" s="328"/>
      <c r="R152" s="381"/>
    </row>
    <row r="153" spans="1:18" s="182" customFormat="1" x14ac:dyDescent="0.25">
      <c r="A153" s="179">
        <f>'B) D RI'!A154</f>
        <v>5645</v>
      </c>
      <c r="B153" s="180" t="str">
        <f>'B) D RI'!B154</f>
        <v>Romanel-sur-Morges</v>
      </c>
      <c r="C153" s="376">
        <f>'B) D RI'!S154</f>
        <v>56</v>
      </c>
      <c r="D153" s="181">
        <f>'B) D RI'!AA154</f>
        <v>477</v>
      </c>
      <c r="E153" s="374">
        <f>'D) Ecrêtage'!M152</f>
        <v>26355.884598214288</v>
      </c>
      <c r="F153" s="378">
        <f>'E) Fact soc'!G158</f>
        <v>469201.85162298527</v>
      </c>
      <c r="G153" s="375">
        <f>'H) Péréquation directe'!I163</f>
        <v>448637.30785085371</v>
      </c>
      <c r="H153" s="378">
        <f>'I) Dépenses thématiques'!O152</f>
        <v>0</v>
      </c>
      <c r="I153" s="375">
        <f>'K) Plafonnement aide'!J152</f>
        <v>0</v>
      </c>
      <c r="J153" s="378">
        <f>'J) Plafonnement effort'!I152</f>
        <v>0</v>
      </c>
      <c r="K153" s="375">
        <f>'L) Plafonnement taux'!Q153</f>
        <v>0</v>
      </c>
      <c r="L153" s="373">
        <f t="shared" si="4"/>
        <v>917839.15947383898</v>
      </c>
      <c r="M153" s="267">
        <f>'M) Police'!O153</f>
        <v>75684.229213656479</v>
      </c>
      <c r="N153" s="267">
        <f t="shared" si="5"/>
        <v>993523.38868749549</v>
      </c>
      <c r="P153" s="328"/>
      <c r="R153" s="381"/>
    </row>
    <row r="154" spans="1:18" s="182" customFormat="1" x14ac:dyDescent="0.25">
      <c r="A154" s="179">
        <f>'B) D RI'!A155</f>
        <v>5646</v>
      </c>
      <c r="B154" s="180" t="str">
        <f>'B) D RI'!B155</f>
        <v>Saint-Prex</v>
      </c>
      <c r="C154" s="376">
        <f>'B) D RI'!S155</f>
        <v>55</v>
      </c>
      <c r="D154" s="181">
        <f>'B) D RI'!AA155</f>
        <v>5661</v>
      </c>
      <c r="E154" s="374">
        <f>'D) Ecrêtage'!M153</f>
        <v>484583.52386979276</v>
      </c>
      <c r="F154" s="378">
        <f>'E) Fact soc'!G159</f>
        <v>13177740.641631898</v>
      </c>
      <c r="G154" s="375">
        <f>'H) Péréquation directe'!I164</f>
        <v>6947723.0312315505</v>
      </c>
      <c r="H154" s="378">
        <f>'I) Dépenses thématiques'!O153</f>
        <v>0</v>
      </c>
      <c r="I154" s="375">
        <f>'K) Plafonnement aide'!J153</f>
        <v>0</v>
      </c>
      <c r="J154" s="378">
        <f>'J) Plafonnement effort'!I153</f>
        <v>0</v>
      </c>
      <c r="K154" s="375">
        <f>'L) Plafonnement taux'!Q154</f>
        <v>0</v>
      </c>
      <c r="L154" s="373">
        <f t="shared" si="4"/>
        <v>20125463.672863446</v>
      </c>
      <c r="M154" s="267">
        <f>'M) Police'!O154</f>
        <v>630891.5869261804</v>
      </c>
      <c r="N154" s="267">
        <f t="shared" si="5"/>
        <v>20756355.259789627</v>
      </c>
      <c r="P154" s="328"/>
      <c r="R154" s="381"/>
    </row>
    <row r="155" spans="1:18" s="182" customFormat="1" x14ac:dyDescent="0.25">
      <c r="A155" s="179">
        <f>'B) D RI'!A156</f>
        <v>5648</v>
      </c>
      <c r="B155" s="180" t="str">
        <f>'B) D RI'!B156</f>
        <v>Saint-Sulpice</v>
      </c>
      <c r="C155" s="376">
        <f>'B) D RI'!S156</f>
        <v>55</v>
      </c>
      <c r="D155" s="181">
        <f>'B) D RI'!AA156</f>
        <v>4148</v>
      </c>
      <c r="E155" s="374">
        <f>'D) Ecrêtage'!M154</f>
        <v>303063.54594420397</v>
      </c>
      <c r="F155" s="378">
        <f>'E) Fact soc'!G160</f>
        <v>7908976.9908851478</v>
      </c>
      <c r="G155" s="375">
        <f>'H) Péréquation directe'!I165</f>
        <v>4344957.3170102267</v>
      </c>
      <c r="H155" s="378">
        <f>'I) Dépenses thématiques'!O154</f>
        <v>0</v>
      </c>
      <c r="I155" s="375">
        <f>'K) Plafonnement aide'!J154</f>
        <v>0</v>
      </c>
      <c r="J155" s="378">
        <f>'J) Plafonnement effort'!I154</f>
        <v>0</v>
      </c>
      <c r="K155" s="375">
        <f>'L) Plafonnement taux'!Q155</f>
        <v>0</v>
      </c>
      <c r="L155" s="373">
        <f t="shared" si="4"/>
        <v>12253934.307895374</v>
      </c>
      <c r="M155" s="267">
        <f>'M) Police'!O155</f>
        <v>394566.12126084085</v>
      </c>
      <c r="N155" s="267">
        <f t="shared" si="5"/>
        <v>12648500.429156214</v>
      </c>
      <c r="P155" s="328"/>
      <c r="R155" s="381"/>
    </row>
    <row r="156" spans="1:18" s="182" customFormat="1" x14ac:dyDescent="0.25">
      <c r="A156" s="179">
        <f>'B) D RI'!A157</f>
        <v>5649</v>
      </c>
      <c r="B156" s="180" t="str">
        <f>'B) D RI'!B157</f>
        <v>Tolochenaz</v>
      </c>
      <c r="C156" s="376">
        <f>'B) D RI'!S157</f>
        <v>65</v>
      </c>
      <c r="D156" s="181">
        <f>'B) D RI'!AA157</f>
        <v>1865</v>
      </c>
      <c r="E156" s="374">
        <f>'D) Ecrêtage'!M155</f>
        <v>78727.730769230766</v>
      </c>
      <c r="F156" s="378">
        <f>'E) Fact soc'!G161</f>
        <v>1639845.2571999696</v>
      </c>
      <c r="G156" s="375">
        <f>'H) Péréquation directe'!I166</f>
        <v>986191.96868312801</v>
      </c>
      <c r="H156" s="378">
        <f>'I) Dépenses thématiques'!O155</f>
        <v>-102056.67797351524</v>
      </c>
      <c r="I156" s="375">
        <f>'K) Plafonnement aide'!J155</f>
        <v>0</v>
      </c>
      <c r="J156" s="378">
        <f>'J) Plafonnement effort'!I155</f>
        <v>0</v>
      </c>
      <c r="K156" s="375">
        <f>'L) Plafonnement taux'!Q156</f>
        <v>0</v>
      </c>
      <c r="L156" s="373">
        <f t="shared" si="4"/>
        <v>2523980.547909582</v>
      </c>
      <c r="M156" s="267">
        <f>'M) Police'!O156</f>
        <v>102497.63054973989</v>
      </c>
      <c r="N156" s="267">
        <f t="shared" si="5"/>
        <v>2626478.1784593221</v>
      </c>
      <c r="P156" s="328"/>
      <c r="R156" s="381"/>
    </row>
    <row r="157" spans="1:18" s="182" customFormat="1" x14ac:dyDescent="0.25">
      <c r="A157" s="179">
        <f>'B) D RI'!A158</f>
        <v>5650</v>
      </c>
      <c r="B157" s="180" t="str">
        <f>'B) D RI'!B158</f>
        <v>Vaux-sur-Morges</v>
      </c>
      <c r="C157" s="376">
        <f>'B) D RI'!S158</f>
        <v>56</v>
      </c>
      <c r="D157" s="181">
        <f>'B) D RI'!AA158</f>
        <v>200</v>
      </c>
      <c r="E157" s="374">
        <f>'D) Ecrêtage'!M156</f>
        <v>117330.27959010621</v>
      </c>
      <c r="F157" s="378">
        <f>'E) Fact soc'!G162</f>
        <v>7404425.957452165</v>
      </c>
      <c r="G157" s="375">
        <f>'H) Péréquation directe'!I167</f>
        <v>2186869.3220986379</v>
      </c>
      <c r="H157" s="378">
        <f>'I) Dépenses thématiques'!O156</f>
        <v>0</v>
      </c>
      <c r="I157" s="375">
        <f>'K) Plafonnement aide'!J156</f>
        <v>0</v>
      </c>
      <c r="J157" s="378">
        <f>'J) Plafonnement effort'!I156</f>
        <v>-2049545.2224079473</v>
      </c>
      <c r="K157" s="375">
        <f>'L) Plafonnement taux'!Q157</f>
        <v>0</v>
      </c>
      <c r="L157" s="373">
        <f t="shared" si="4"/>
        <v>7541750.0571428547</v>
      </c>
      <c r="M157" s="267">
        <f>'M) Police'!O157</f>
        <v>170101.53020048281</v>
      </c>
      <c r="N157" s="267">
        <f t="shared" si="5"/>
        <v>7711851.587343337</v>
      </c>
      <c r="P157" s="328"/>
      <c r="R157" s="381"/>
    </row>
    <row r="158" spans="1:18" s="182" customFormat="1" x14ac:dyDescent="0.25">
      <c r="A158" s="179">
        <f>'B) D RI'!A159</f>
        <v>5651</v>
      </c>
      <c r="B158" s="180" t="str">
        <f>'B) D RI'!B159</f>
        <v>Villars-Sainte-Croix</v>
      </c>
      <c r="C158" s="376">
        <f>'B) D RI'!S159</f>
        <v>59</v>
      </c>
      <c r="D158" s="181">
        <f>'B) D RI'!AA159</f>
        <v>841</v>
      </c>
      <c r="E158" s="374">
        <f>'D) Ecrêtage'!M157</f>
        <v>39092.930338983046</v>
      </c>
      <c r="F158" s="378">
        <f>'E) Fact soc'!G163</f>
        <v>816163.66730860923</v>
      </c>
      <c r="G158" s="375">
        <f>'H) Péréquation directe'!I168</f>
        <v>652290.94211037143</v>
      </c>
      <c r="H158" s="378">
        <f>'I) Dépenses thématiques'!O157</f>
        <v>0</v>
      </c>
      <c r="I158" s="375">
        <f>'K) Plafonnement aide'!J157</f>
        <v>0</v>
      </c>
      <c r="J158" s="378">
        <f>'J) Plafonnement effort'!I157</f>
        <v>0</v>
      </c>
      <c r="K158" s="375">
        <f>'L) Plafonnement taux'!Q158</f>
        <v>0</v>
      </c>
      <c r="L158" s="373">
        <f t="shared" si="4"/>
        <v>1468454.6094189808</v>
      </c>
      <c r="M158" s="267">
        <f>'M) Police'!O158</f>
        <v>50896.078063485031</v>
      </c>
      <c r="N158" s="267">
        <f t="shared" si="5"/>
        <v>1519350.6874824658</v>
      </c>
      <c r="P158" s="328"/>
      <c r="R158" s="381"/>
    </row>
    <row r="159" spans="1:18" s="182" customFormat="1" x14ac:dyDescent="0.25">
      <c r="A159" s="179">
        <f>'B) D RI'!A160</f>
        <v>5652</v>
      </c>
      <c r="B159" s="180" t="str">
        <f>'B) D RI'!B160</f>
        <v>Villars-sous-Yens</v>
      </c>
      <c r="C159" s="376">
        <f>'B) D RI'!S160</f>
        <v>76</v>
      </c>
      <c r="D159" s="181">
        <f>'B) D RI'!AA160</f>
        <v>598</v>
      </c>
      <c r="E159" s="374">
        <f>'D) Ecrêtage'!M158</f>
        <v>21921.455131578947</v>
      </c>
      <c r="F159" s="378">
        <f>'E) Fact soc'!G164</f>
        <v>395812.3995040849</v>
      </c>
      <c r="G159" s="375">
        <f>'H) Péréquation directe'!I169</f>
        <v>234127.79080275184</v>
      </c>
      <c r="H159" s="378">
        <f>'I) Dépenses thématiques'!O158</f>
        <v>-140850.1094499568</v>
      </c>
      <c r="I159" s="375">
        <f>'K) Plafonnement aide'!J158</f>
        <v>0</v>
      </c>
      <c r="J159" s="378">
        <f>'J) Plafonnement effort'!I158</f>
        <v>0</v>
      </c>
      <c r="K159" s="375">
        <f>'L) Plafonnement taux'!Q159</f>
        <v>0</v>
      </c>
      <c r="L159" s="373">
        <f t="shared" si="4"/>
        <v>489090.08085687994</v>
      </c>
      <c r="M159" s="267">
        <f>'M) Police'!O159</f>
        <v>69853.285312079359</v>
      </c>
      <c r="N159" s="267">
        <f t="shared" si="5"/>
        <v>558943.3661689593</v>
      </c>
      <c r="P159" s="328"/>
      <c r="R159" s="381"/>
    </row>
    <row r="160" spans="1:18" s="182" customFormat="1" x14ac:dyDescent="0.25">
      <c r="A160" s="179">
        <f>'B) D RI'!A161</f>
        <v>5653</v>
      </c>
      <c r="B160" s="180" t="str">
        <f>'B) D RI'!B161</f>
        <v>Vufflens-le-Château</v>
      </c>
      <c r="C160" s="376">
        <f>'B) D RI'!S161</f>
        <v>55</v>
      </c>
      <c r="D160" s="181">
        <f>'B) D RI'!AA161</f>
        <v>841</v>
      </c>
      <c r="E160" s="374">
        <f>'D) Ecrêtage'!M159</f>
        <v>58455.167959134647</v>
      </c>
      <c r="F160" s="378">
        <f>'E) Fact soc'!G165</f>
        <v>1278541.1072769873</v>
      </c>
      <c r="G160" s="375">
        <f>'H) Péréquation directe'!I170</f>
        <v>1016429.4595409319</v>
      </c>
      <c r="H160" s="378">
        <f>'I) Dépenses thématiques'!O159</f>
        <v>0</v>
      </c>
      <c r="I160" s="375">
        <f>'K) Plafonnement aide'!J159</f>
        <v>0</v>
      </c>
      <c r="J160" s="378">
        <f>'J) Plafonnement effort'!I159</f>
        <v>0</v>
      </c>
      <c r="K160" s="375">
        <f>'L) Plafonnement taux'!Q160</f>
        <v>0</v>
      </c>
      <c r="L160" s="373">
        <f t="shared" si="4"/>
        <v>2294970.5668179193</v>
      </c>
      <c r="M160" s="267">
        <f>'M) Police'!O160</f>
        <v>149045.29714835013</v>
      </c>
      <c r="N160" s="267">
        <f t="shared" si="5"/>
        <v>2444015.8639662694</v>
      </c>
      <c r="P160" s="328"/>
      <c r="R160" s="381"/>
    </row>
    <row r="161" spans="1:18" s="182" customFormat="1" x14ac:dyDescent="0.25">
      <c r="A161" s="179">
        <f>'B) D RI'!A162</f>
        <v>5654</v>
      </c>
      <c r="B161" s="180" t="str">
        <f>'B) D RI'!B162</f>
        <v>Vullierens</v>
      </c>
      <c r="C161" s="376">
        <f>'B) D RI'!S162</f>
        <v>76</v>
      </c>
      <c r="D161" s="181">
        <f>'B) D RI'!AA162</f>
        <v>461</v>
      </c>
      <c r="E161" s="374">
        <f>'D) Ecrêtage'!M160</f>
        <v>17141.735000000001</v>
      </c>
      <c r="F161" s="378">
        <f>'E) Fact soc'!G166</f>
        <v>307733.35035198746</v>
      </c>
      <c r="G161" s="375">
        <f>'H) Péréquation directe'!I171</f>
        <v>190632.49924806401</v>
      </c>
      <c r="H161" s="378">
        <f>'I) Dépenses thématiques'!O160</f>
        <v>-496157.7851695483</v>
      </c>
      <c r="I161" s="375">
        <f>'K) Plafonnement aide'!J160</f>
        <v>0</v>
      </c>
      <c r="J161" s="378">
        <f>'J) Plafonnement effort'!I160</f>
        <v>0</v>
      </c>
      <c r="K161" s="375">
        <f>'L) Plafonnement taux'!Q161</f>
        <v>0</v>
      </c>
      <c r="L161" s="373">
        <f t="shared" si="4"/>
        <v>2208.0644305031747</v>
      </c>
      <c r="M161" s="267">
        <f>'M) Police'!O161</f>
        <v>54291.536378568446</v>
      </c>
      <c r="N161" s="267">
        <f t="shared" si="5"/>
        <v>56499.60080907162</v>
      </c>
      <c r="P161" s="328"/>
      <c r="R161" s="381"/>
    </row>
    <row r="162" spans="1:18" s="182" customFormat="1" x14ac:dyDescent="0.25">
      <c r="A162" s="179">
        <f>'B) D RI'!A163</f>
        <v>5655</v>
      </c>
      <c r="B162" s="180" t="str">
        <f>'B) D RI'!B163</f>
        <v>Yens</v>
      </c>
      <c r="C162" s="376">
        <f>'B) D RI'!S163</f>
        <v>73</v>
      </c>
      <c r="D162" s="181">
        <f>'B) D RI'!AA163</f>
        <v>1388</v>
      </c>
      <c r="E162" s="374">
        <f>'D) Ecrêtage'!M161</f>
        <v>82506.78552989832</v>
      </c>
      <c r="F162" s="378">
        <f>'E) Fact soc'!G167</f>
        <v>1523915.6779480735</v>
      </c>
      <c r="G162" s="375">
        <f>'H) Péréquation directe'!I172</f>
        <v>1319196.0493712458</v>
      </c>
      <c r="H162" s="378">
        <f>'I) Dépenses thématiques'!O161</f>
        <v>0</v>
      </c>
      <c r="I162" s="375">
        <f>'K) Plafonnement aide'!J161</f>
        <v>0</v>
      </c>
      <c r="J162" s="378">
        <f>'J) Plafonnement effort'!I161</f>
        <v>0</v>
      </c>
      <c r="K162" s="375">
        <f>'L) Plafonnement taux'!Q162</f>
        <v>0</v>
      </c>
      <c r="L162" s="373">
        <f t="shared" si="4"/>
        <v>2843111.7273193193</v>
      </c>
      <c r="M162" s="267">
        <f>'M) Police'!O162</f>
        <v>227800.73424945161</v>
      </c>
      <c r="N162" s="267">
        <f t="shared" si="5"/>
        <v>3070912.4615687709</v>
      </c>
      <c r="P162" s="328"/>
      <c r="R162" s="381"/>
    </row>
    <row r="163" spans="1:18" s="182" customFormat="1" x14ac:dyDescent="0.25">
      <c r="A163" s="179">
        <f>'B) D RI'!A164</f>
        <v>5661</v>
      </c>
      <c r="B163" s="180" t="str">
        <f>'B) D RI'!B164</f>
        <v>Boulens</v>
      </c>
      <c r="C163" s="376">
        <f>'B) D RI'!S164</f>
        <v>79</v>
      </c>
      <c r="D163" s="181">
        <f>'B) D RI'!AA164</f>
        <v>368</v>
      </c>
      <c r="E163" s="374">
        <f>'D) Ecrêtage'!M162</f>
        <v>9592.9711392405043</v>
      </c>
      <c r="F163" s="378">
        <f>'E) Fact soc'!G168</f>
        <v>168781.59053624372</v>
      </c>
      <c r="G163" s="375">
        <f>'H) Péréquation directe'!I173</f>
        <v>-32106.987533684238</v>
      </c>
      <c r="H163" s="378">
        <f>'I) Dépenses thématiques'!O162</f>
        <v>-24590.381849637528</v>
      </c>
      <c r="I163" s="375">
        <f>'K) Plafonnement aide'!J162</f>
        <v>0</v>
      </c>
      <c r="J163" s="378">
        <f>'J) Plafonnement effort'!I162</f>
        <v>0</v>
      </c>
      <c r="K163" s="375">
        <f>'L) Plafonnement taux'!Q163</f>
        <v>0</v>
      </c>
      <c r="L163" s="373">
        <f t="shared" si="4"/>
        <v>112084.22115292195</v>
      </c>
      <c r="M163" s="267">
        <f>'M) Police'!O163</f>
        <v>30607.749527526841</v>
      </c>
      <c r="N163" s="267">
        <f t="shared" si="5"/>
        <v>142691.97068044878</v>
      </c>
      <c r="P163" s="328"/>
      <c r="R163" s="381"/>
    </row>
    <row r="164" spans="1:18" s="182" customFormat="1" x14ac:dyDescent="0.25">
      <c r="A164" s="179">
        <f>'B) D RI'!A165</f>
        <v>5663</v>
      </c>
      <c r="B164" s="180" t="str">
        <f>'B) D RI'!B165</f>
        <v>Bussy-sur-Moudon</v>
      </c>
      <c r="C164" s="376">
        <f>'B) D RI'!S165</f>
        <v>80</v>
      </c>
      <c r="D164" s="181">
        <f>'B) D RI'!AA165</f>
        <v>208</v>
      </c>
      <c r="E164" s="374">
        <f>'D) Ecrêtage'!M163</f>
        <v>5468.4132499999996</v>
      </c>
      <c r="F164" s="378">
        <f>'E) Fact soc'!G169</f>
        <v>93017.643507540386</v>
      </c>
      <c r="G164" s="375">
        <f>'H) Péréquation directe'!I174</f>
        <v>-18632.879028188967</v>
      </c>
      <c r="H164" s="378">
        <f>'I) Dépenses thématiques'!O163</f>
        <v>-48639.318573689248</v>
      </c>
      <c r="I164" s="375">
        <f>'K) Plafonnement aide'!J163</f>
        <v>0</v>
      </c>
      <c r="J164" s="378">
        <f>'J) Plafonnement effort'!I163</f>
        <v>0</v>
      </c>
      <c r="K164" s="375">
        <f>'L) Plafonnement taux'!Q164</f>
        <v>0</v>
      </c>
      <c r="L164" s="373">
        <f t="shared" si="4"/>
        <v>25745.445905662171</v>
      </c>
      <c r="M164" s="267">
        <f>'M) Police'!O164</f>
        <v>17314.222481240537</v>
      </c>
      <c r="N164" s="267">
        <f t="shared" si="5"/>
        <v>43059.668386902704</v>
      </c>
      <c r="P164" s="328"/>
      <c r="R164" s="381"/>
    </row>
    <row r="165" spans="1:18" s="182" customFormat="1" x14ac:dyDescent="0.25">
      <c r="A165" s="179">
        <f>'B) D RI'!A166</f>
        <v>5665</v>
      </c>
      <c r="B165" s="180" t="str">
        <f>'B) D RI'!B166</f>
        <v>Chavannes-sur-Moudon</v>
      </c>
      <c r="C165" s="376">
        <f>'B) D RI'!S166</f>
        <v>73</v>
      </c>
      <c r="D165" s="181">
        <f>'B) D RI'!AA166</f>
        <v>224</v>
      </c>
      <c r="E165" s="374">
        <f>'D) Ecrêtage'!M164</f>
        <v>4982.8790410958891</v>
      </c>
      <c r="F165" s="378">
        <f>'E) Fact soc'!G170</f>
        <v>76537.813903304734</v>
      </c>
      <c r="G165" s="375">
        <f>'H) Péréquation directe'!I175</f>
        <v>-38168.886049484354</v>
      </c>
      <c r="H165" s="378">
        <f>'I) Dépenses thématiques'!O164</f>
        <v>-15392.527820978481</v>
      </c>
      <c r="I165" s="375">
        <f>'K) Plafonnement aide'!J164</f>
        <v>0</v>
      </c>
      <c r="J165" s="378">
        <f>'J) Plafonnement effort'!I164</f>
        <v>0</v>
      </c>
      <c r="K165" s="375">
        <f>'L) Plafonnement taux'!Q165</f>
        <v>0</v>
      </c>
      <c r="L165" s="373">
        <f t="shared" si="4"/>
        <v>22976.400032841899</v>
      </c>
      <c r="M165" s="267">
        <f>'M) Police'!O165</f>
        <v>15807.661878822244</v>
      </c>
      <c r="N165" s="267">
        <f t="shared" si="5"/>
        <v>38784.061911664146</v>
      </c>
      <c r="P165" s="328"/>
      <c r="R165" s="381"/>
    </row>
    <row r="166" spans="1:18" s="182" customFormat="1" x14ac:dyDescent="0.25">
      <c r="A166" s="179">
        <f>'B) D RI'!A167</f>
        <v>5669</v>
      </c>
      <c r="B166" s="180" t="str">
        <f>'B) D RI'!B167</f>
        <v>Curtilles</v>
      </c>
      <c r="C166" s="376">
        <f>'B) D RI'!S167</f>
        <v>72</v>
      </c>
      <c r="D166" s="181">
        <f>'B) D RI'!AA167</f>
        <v>309</v>
      </c>
      <c r="E166" s="374">
        <f>'D) Ecrêtage'!M165</f>
        <v>8279.174027777779</v>
      </c>
      <c r="F166" s="378">
        <f>'E) Fact soc'!G171</f>
        <v>128192.18445336494</v>
      </c>
      <c r="G166" s="375">
        <f>'H) Péréquation directe'!I176</f>
        <v>6954.6931049293489</v>
      </c>
      <c r="H166" s="378">
        <f>'I) Dépenses thématiques'!O165</f>
        <v>-31560.534088055134</v>
      </c>
      <c r="I166" s="375">
        <f>'K) Plafonnement aide'!J165</f>
        <v>0</v>
      </c>
      <c r="J166" s="378">
        <f>'J) Plafonnement effort'!I165</f>
        <v>0</v>
      </c>
      <c r="K166" s="375">
        <f>'L) Plafonnement taux'!Q166</f>
        <v>0</v>
      </c>
      <c r="L166" s="373">
        <f t="shared" si="4"/>
        <v>103586.34347023914</v>
      </c>
      <c r="M166" s="267">
        <f>'M) Police'!O166</f>
        <v>26126.742599398262</v>
      </c>
      <c r="N166" s="267">
        <f t="shared" si="5"/>
        <v>129713.0860696374</v>
      </c>
      <c r="P166" s="328"/>
      <c r="R166" s="381"/>
    </row>
    <row r="167" spans="1:18" s="182" customFormat="1" x14ac:dyDescent="0.25">
      <c r="A167" s="179">
        <f>'B) D RI'!A168</f>
        <v>5671</v>
      </c>
      <c r="B167" s="180" t="str">
        <f>'B) D RI'!B168</f>
        <v>Dompierre</v>
      </c>
      <c r="C167" s="376">
        <f>'B) D RI'!S168</f>
        <v>80</v>
      </c>
      <c r="D167" s="181">
        <f>'B) D RI'!AA168</f>
        <v>242</v>
      </c>
      <c r="E167" s="374">
        <f>'D) Ecrêtage'!M166</f>
        <v>6672.7971250000001</v>
      </c>
      <c r="F167" s="378">
        <f>'E) Fact soc'!G172</f>
        <v>100874.85887194227</v>
      </c>
      <c r="G167" s="375">
        <f>'H) Péréquation directe'!I177</f>
        <v>-7914.4969811718183</v>
      </c>
      <c r="H167" s="378">
        <f>'I) Dépenses thématiques'!O166</f>
        <v>-51592.732110662757</v>
      </c>
      <c r="I167" s="375">
        <f>'K) Plafonnement aide'!J166</f>
        <v>0</v>
      </c>
      <c r="J167" s="378">
        <f>'J) Plafonnement effort'!I166</f>
        <v>0</v>
      </c>
      <c r="K167" s="375">
        <f>'L) Plafonnement taux'!Q167</f>
        <v>0</v>
      </c>
      <c r="L167" s="373">
        <f t="shared" si="4"/>
        <v>41367.629780107694</v>
      </c>
      <c r="M167" s="267">
        <f>'M) Police'!O167</f>
        <v>21143.855661563772</v>
      </c>
      <c r="N167" s="267">
        <f t="shared" si="5"/>
        <v>62511.485441671466</v>
      </c>
      <c r="P167" s="328"/>
      <c r="R167" s="381"/>
    </row>
    <row r="168" spans="1:18" s="182" customFormat="1" x14ac:dyDescent="0.25">
      <c r="A168" s="179">
        <f>'B) D RI'!A169</f>
        <v>5673</v>
      </c>
      <c r="B168" s="180" t="str">
        <f>'B) D RI'!B169</f>
        <v>Hermenches</v>
      </c>
      <c r="C168" s="376">
        <f>'B) D RI'!S169</f>
        <v>75</v>
      </c>
      <c r="D168" s="181">
        <f>'B) D RI'!AA169</f>
        <v>379</v>
      </c>
      <c r="E168" s="374">
        <f>'D) Ecrêtage'!M167</f>
        <v>7873.3323555555571</v>
      </c>
      <c r="F168" s="378">
        <f>'E) Fact soc'!G173</f>
        <v>131795.23801819698</v>
      </c>
      <c r="G168" s="375">
        <f>'H) Péréquation directe'!I178</f>
        <v>-97889.670780563058</v>
      </c>
      <c r="H168" s="378">
        <f>'I) Dépenses thématiques'!O167</f>
        <v>-26230.605169962015</v>
      </c>
      <c r="I168" s="375">
        <f>'K) Plafonnement aide'!J167</f>
        <v>0</v>
      </c>
      <c r="J168" s="378">
        <f>'J) Plafonnement effort'!I167</f>
        <v>0</v>
      </c>
      <c r="K168" s="375">
        <f>'L) Plafonnement taux'!Q168</f>
        <v>0</v>
      </c>
      <c r="L168" s="373">
        <f t="shared" ref="L168:L220" si="6">F168+G168+H168+I168+J168+K168</f>
        <v>7674.962067671906</v>
      </c>
      <c r="M168" s="267">
        <f>'M) Police'!O168</f>
        <v>24773.871460685012</v>
      </c>
      <c r="N168" s="267">
        <f t="shared" si="5"/>
        <v>32448.833528356918</v>
      </c>
      <c r="P168" s="328"/>
      <c r="R168" s="381"/>
    </row>
    <row r="169" spans="1:18" s="182" customFormat="1" x14ac:dyDescent="0.25">
      <c r="A169" s="179">
        <f>'B) D RI'!A170</f>
        <v>5674</v>
      </c>
      <c r="B169" s="180" t="str">
        <f>'B) D RI'!B170</f>
        <v>Lovatens</v>
      </c>
      <c r="C169" s="376">
        <f>'B) D RI'!S170</f>
        <v>75</v>
      </c>
      <c r="D169" s="181">
        <f>'B) D RI'!AA170</f>
        <v>143</v>
      </c>
      <c r="E169" s="374">
        <f>'D) Ecrêtage'!M168</f>
        <v>3776.8391809523814</v>
      </c>
      <c r="F169" s="378">
        <f>'E) Fact soc'!G174</f>
        <v>84703.864469304128</v>
      </c>
      <c r="G169" s="375">
        <f>'H) Péréquation directe'!I179</f>
        <v>-3690.6834335500171</v>
      </c>
      <c r="H169" s="378">
        <f>'I) Dépenses thématiques'!O168</f>
        <v>-21497.236134105948</v>
      </c>
      <c r="I169" s="375">
        <f>'K) Plafonnement aide'!J168</f>
        <v>0</v>
      </c>
      <c r="J169" s="378">
        <f>'J) Plafonnement effort'!I168</f>
        <v>0</v>
      </c>
      <c r="K169" s="375">
        <f>'L) Plafonnement taux'!Q169</f>
        <v>0</v>
      </c>
      <c r="L169" s="373">
        <f t="shared" si="6"/>
        <v>59515.944901648167</v>
      </c>
      <c r="M169" s="267">
        <f>'M) Police'!O169</f>
        <v>12036.509707270883</v>
      </c>
      <c r="N169" s="267">
        <f t="shared" si="5"/>
        <v>71552.454608919055</v>
      </c>
      <c r="P169" s="328"/>
      <c r="R169" s="381"/>
    </row>
    <row r="170" spans="1:18" s="182" customFormat="1" x14ac:dyDescent="0.25">
      <c r="A170" s="179">
        <f>'B) D RI'!A171</f>
        <v>5675</v>
      </c>
      <c r="B170" s="180" t="str">
        <f>'B) D RI'!B171</f>
        <v>Lucens</v>
      </c>
      <c r="C170" s="376">
        <f>'B) D RI'!S171</f>
        <v>67.819999999999993</v>
      </c>
      <c r="D170" s="181">
        <f>'B) D RI'!AA171</f>
        <v>4009</v>
      </c>
      <c r="E170" s="374">
        <f>'D) Ecrêtage'!M169</f>
        <v>92926.657086941384</v>
      </c>
      <c r="F170" s="378">
        <f>'E) Fact soc'!G175</f>
        <v>1625020.8701999683</v>
      </c>
      <c r="G170" s="375">
        <f>'H) Péréquation directe'!I180</f>
        <v>-1165838.9726029632</v>
      </c>
      <c r="H170" s="378">
        <f>'I) Dépenses thématiques'!O169</f>
        <v>-476912.04901694489</v>
      </c>
      <c r="I170" s="375">
        <f>'K) Plafonnement aide'!J169</f>
        <v>0</v>
      </c>
      <c r="J170" s="378">
        <f>'J) Plafonnement effort'!I169</f>
        <v>0</v>
      </c>
      <c r="K170" s="375">
        <f>'L) Plafonnement taux'!Q170</f>
        <v>0</v>
      </c>
      <c r="L170" s="373">
        <f t="shared" ref="L170" si="7">F170+G170+H170+I170+J170+K170</f>
        <v>-17730.151419939764</v>
      </c>
      <c r="M170" s="267">
        <f>'M) Police'!O170</f>
        <v>290000.23538818618</v>
      </c>
      <c r="N170" s="267">
        <f t="shared" ref="N170" si="8">L170+M170</f>
        <v>272270.08396824641</v>
      </c>
      <c r="P170" s="328"/>
      <c r="R170" s="381"/>
    </row>
    <row r="171" spans="1:18" s="182" customFormat="1" x14ac:dyDescent="0.25">
      <c r="A171" s="179">
        <f>'B) D RI'!A172</f>
        <v>5678</v>
      </c>
      <c r="B171" s="180" t="str">
        <f>'B) D RI'!B172</f>
        <v>Moudon</v>
      </c>
      <c r="C171" s="376">
        <f>'B) D RI'!S172</f>
        <v>75</v>
      </c>
      <c r="D171" s="181">
        <f>'B) D RI'!AA172</f>
        <v>6003</v>
      </c>
      <c r="E171" s="374">
        <f>'D) Ecrêtage'!M170</f>
        <v>123116.47720000001</v>
      </c>
      <c r="F171" s="378">
        <f>'E) Fact soc'!G176</f>
        <v>2262836.6252655517</v>
      </c>
      <c r="G171" s="375">
        <f>'H) Péréquation directe'!I181</f>
        <v>-3392158.1266284268</v>
      </c>
      <c r="H171" s="378">
        <f>'I) Dépenses thématiques'!O170</f>
        <v>-1344788.7563094727</v>
      </c>
      <c r="I171" s="375">
        <f>'K) Plafonnement aide'!J170</f>
        <v>329064.39956287469</v>
      </c>
      <c r="J171" s="378">
        <f>'J) Plafonnement effort'!I170</f>
        <v>0</v>
      </c>
      <c r="K171" s="375">
        <f>'L) Plafonnement taux'!Q171</f>
        <v>0</v>
      </c>
      <c r="L171" s="373">
        <f t="shared" si="6"/>
        <v>-2145045.8581094733</v>
      </c>
      <c r="M171" s="267">
        <f>'M) Police'!O171</f>
        <v>385233.99370754923</v>
      </c>
      <c r="N171" s="267">
        <f t="shared" si="5"/>
        <v>-1759811.864401924</v>
      </c>
      <c r="P171" s="328"/>
      <c r="R171" s="381"/>
    </row>
    <row r="172" spans="1:18" s="182" customFormat="1" x14ac:dyDescent="0.25">
      <c r="A172" s="179">
        <f>'B) D RI'!A173</f>
        <v>5680</v>
      </c>
      <c r="B172" s="180" t="str">
        <f>'B) D RI'!B173</f>
        <v>Ogens</v>
      </c>
      <c r="C172" s="376">
        <f>'B) D RI'!S173</f>
        <v>78</v>
      </c>
      <c r="D172" s="181">
        <f>'B) D RI'!AA173</f>
        <v>296</v>
      </c>
      <c r="E172" s="374">
        <f>'D) Ecrêtage'!M171</f>
        <v>8504.3488034188031</v>
      </c>
      <c r="F172" s="378">
        <f>'E) Fact soc'!G177</f>
        <v>148298.00026096098</v>
      </c>
      <c r="G172" s="375">
        <f>'H) Péréquation directe'!I182</f>
        <v>11689.477989817562</v>
      </c>
      <c r="H172" s="378">
        <f>'I) Dépenses thématiques'!O171</f>
        <v>-20294.816313256422</v>
      </c>
      <c r="I172" s="375">
        <f>'K) Plafonnement aide'!J171</f>
        <v>0</v>
      </c>
      <c r="J172" s="378">
        <f>'J) Plafonnement effort'!I171</f>
        <v>0</v>
      </c>
      <c r="K172" s="375">
        <f>'L) Plafonnement taux'!Q172</f>
        <v>0</v>
      </c>
      <c r="L172" s="373">
        <f t="shared" si="6"/>
        <v>139692.66193752212</v>
      </c>
      <c r="M172" s="267">
        <f>'M) Police'!O172</f>
        <v>27132.525982235406</v>
      </c>
      <c r="N172" s="267">
        <f t="shared" si="5"/>
        <v>166825.18791975753</v>
      </c>
      <c r="P172" s="328"/>
      <c r="R172" s="381"/>
    </row>
    <row r="173" spans="1:18" s="182" customFormat="1" x14ac:dyDescent="0.25">
      <c r="A173" s="179">
        <f>'B) D RI'!A174</f>
        <v>5683</v>
      </c>
      <c r="B173" s="180" t="str">
        <f>'B) D RI'!B174</f>
        <v>Prévonloup</v>
      </c>
      <c r="C173" s="376">
        <f>'B) D RI'!S174</f>
        <v>74</v>
      </c>
      <c r="D173" s="181">
        <f>'B) D RI'!AA174</f>
        <v>166</v>
      </c>
      <c r="E173" s="374">
        <f>'D) Ecrêtage'!M172</f>
        <v>4128.5685135135127</v>
      </c>
      <c r="F173" s="378">
        <f>'E) Fact soc'!G178</f>
        <v>62412.921948952564</v>
      </c>
      <c r="G173" s="375">
        <f>'H) Péréquation directe'!I183</f>
        <v>-12814.051465528377</v>
      </c>
      <c r="H173" s="378">
        <f>'I) Dépenses thématiques'!O172</f>
        <v>-19385.229919062993</v>
      </c>
      <c r="I173" s="375">
        <f>'K) Plafonnement aide'!J172</f>
        <v>0</v>
      </c>
      <c r="J173" s="378">
        <f>'J) Plafonnement effort'!I172</f>
        <v>0</v>
      </c>
      <c r="K173" s="375">
        <f>'L) Plafonnement taux'!Q173</f>
        <v>0</v>
      </c>
      <c r="L173" s="373">
        <f t="shared" si="6"/>
        <v>30213.640564361194</v>
      </c>
      <c r="M173" s="267">
        <f>'M) Police'!O173</f>
        <v>13029.845415076301</v>
      </c>
      <c r="N173" s="267">
        <f t="shared" si="5"/>
        <v>43243.485979437493</v>
      </c>
      <c r="P173" s="328"/>
      <c r="R173" s="381"/>
    </row>
    <row r="174" spans="1:18" s="182" customFormat="1" x14ac:dyDescent="0.25">
      <c r="A174" s="179">
        <f>'B) D RI'!A175</f>
        <v>5684</v>
      </c>
      <c r="B174" s="180" t="str">
        <f>'B) D RI'!B175</f>
        <v>Rossenges</v>
      </c>
      <c r="C174" s="376">
        <f>'B) D RI'!S175</f>
        <v>60</v>
      </c>
      <c r="D174" s="181">
        <f>'B) D RI'!AA175</f>
        <v>60</v>
      </c>
      <c r="E174" s="374">
        <f>'D) Ecrêtage'!M173</f>
        <v>2119.9519999999998</v>
      </c>
      <c r="F174" s="378">
        <f>'E) Fact soc'!G179</f>
        <v>32048.008475200233</v>
      </c>
      <c r="G174" s="375">
        <f>'H) Péréquation directe'!I184</f>
        <v>25358.874264746915</v>
      </c>
      <c r="H174" s="378">
        <f>'I) Dépenses thématiques'!O173</f>
        <v>0</v>
      </c>
      <c r="I174" s="375">
        <f>'K) Plafonnement aide'!J173</f>
        <v>0</v>
      </c>
      <c r="J174" s="378">
        <f>'J) Plafonnement effort'!I173</f>
        <v>0</v>
      </c>
      <c r="K174" s="375">
        <f>'L) Plafonnement taux'!Q174</f>
        <v>0</v>
      </c>
      <c r="L174" s="373">
        <f t="shared" si="6"/>
        <v>57406.882739947148</v>
      </c>
      <c r="M174" s="267">
        <f>'M) Police'!O174</f>
        <v>6708.8399731561385</v>
      </c>
      <c r="N174" s="267">
        <f t="shared" si="5"/>
        <v>64115.722713103285</v>
      </c>
      <c r="P174" s="328"/>
      <c r="R174" s="381"/>
    </row>
    <row r="175" spans="1:18" s="182" customFormat="1" x14ac:dyDescent="0.25">
      <c r="A175" s="179">
        <f>'B) D RI'!A176</f>
        <v>5688</v>
      </c>
      <c r="B175" s="180" t="str">
        <f>'B) D RI'!B176</f>
        <v>Syens</v>
      </c>
      <c r="C175" s="376">
        <f>'B) D RI'!S176</f>
        <v>75.599999999999994</v>
      </c>
      <c r="D175" s="181">
        <f>'B) D RI'!AA176</f>
        <v>145</v>
      </c>
      <c r="E175" s="374">
        <f>'D) Ecrêtage'!M174</f>
        <v>4845.4007936507942</v>
      </c>
      <c r="F175" s="378">
        <f>'E) Fact soc'!G180</f>
        <v>94802.610225072363</v>
      </c>
      <c r="G175" s="375">
        <f>'H) Péréquation directe'!I185</f>
        <v>37522.548871567902</v>
      </c>
      <c r="H175" s="378">
        <f>'I) Dépenses thématiques'!O174</f>
        <v>-18432.895058471844</v>
      </c>
      <c r="I175" s="375">
        <f>'K) Plafonnement aide'!J174</f>
        <v>0</v>
      </c>
      <c r="J175" s="378">
        <f>'J) Plafonnement effort'!I174</f>
        <v>0</v>
      </c>
      <c r="K175" s="375">
        <f>'L) Plafonnement taux'!Q175</f>
        <v>0</v>
      </c>
      <c r="L175" s="373">
        <f t="shared" si="6"/>
        <v>113892.26403816843</v>
      </c>
      <c r="M175" s="267">
        <f>'M) Police'!O175</f>
        <v>15443.135968515813</v>
      </c>
      <c r="N175" s="267">
        <f t="shared" si="5"/>
        <v>129335.40000668424</v>
      </c>
      <c r="P175" s="328"/>
      <c r="R175" s="381"/>
    </row>
    <row r="176" spans="1:18" s="182" customFormat="1" x14ac:dyDescent="0.25">
      <c r="A176" s="179">
        <f>'B) D RI'!A177</f>
        <v>5690</v>
      </c>
      <c r="B176" s="180" t="str">
        <f>'B) D RI'!B177</f>
        <v>Villars-le-Comte</v>
      </c>
      <c r="C176" s="376">
        <f>'B) D RI'!S177</f>
        <v>76</v>
      </c>
      <c r="D176" s="181">
        <f>'B) D RI'!AA177</f>
        <v>143</v>
      </c>
      <c r="E176" s="374">
        <f>'D) Ecrêtage'!M175</f>
        <v>3252.2851315789467</v>
      </c>
      <c r="F176" s="378">
        <f>'E) Fact soc'!G181</f>
        <v>50538.984161249784</v>
      </c>
      <c r="G176" s="375">
        <f>'H) Péréquation directe'!I186</f>
        <v>-27265.076196402195</v>
      </c>
      <c r="H176" s="378">
        <f>'I) Dépenses thématiques'!O175</f>
        <v>-585.43278495753873</v>
      </c>
      <c r="I176" s="375">
        <f>'K) Plafonnement aide'!J175</f>
        <v>0</v>
      </c>
      <c r="J176" s="378">
        <f>'J) Plafonnement effort'!I175</f>
        <v>0</v>
      </c>
      <c r="K176" s="375">
        <f>'L) Plafonnement taux'!Q176</f>
        <v>0</v>
      </c>
      <c r="L176" s="373">
        <f t="shared" si="6"/>
        <v>22688.475179890051</v>
      </c>
      <c r="M176" s="267">
        <f>'M) Police'!O176</f>
        <v>10213.992282374526</v>
      </c>
      <c r="N176" s="267">
        <f t="shared" si="5"/>
        <v>32902.467462264576</v>
      </c>
      <c r="P176" s="328"/>
      <c r="R176" s="381"/>
    </row>
    <row r="177" spans="1:18" s="182" customFormat="1" x14ac:dyDescent="0.25">
      <c r="A177" s="179">
        <f>'B) D RI'!A178</f>
        <v>5692</v>
      </c>
      <c r="B177" s="180" t="str">
        <f>'B) D RI'!B178</f>
        <v>Vucherens</v>
      </c>
      <c r="C177" s="376">
        <f>'B) D RI'!S178</f>
        <v>79</v>
      </c>
      <c r="D177" s="181">
        <f>'B) D RI'!AA178</f>
        <v>557</v>
      </c>
      <c r="E177" s="374">
        <f>'D) Ecrêtage'!M176</f>
        <v>16993.232405063292</v>
      </c>
      <c r="F177" s="378">
        <f>'E) Fact soc'!G182</f>
        <v>326604.8930032546</v>
      </c>
      <c r="G177" s="375">
        <f>'H) Péréquation directe'!I187</f>
        <v>59476.83391013334</v>
      </c>
      <c r="H177" s="378">
        <f>'I) Dépenses thématiques'!O176</f>
        <v>-43544.399866964784</v>
      </c>
      <c r="I177" s="375">
        <f>'K) Plafonnement aide'!J176</f>
        <v>0</v>
      </c>
      <c r="J177" s="378">
        <f>'J) Plafonnement effort'!I176</f>
        <v>0</v>
      </c>
      <c r="K177" s="375">
        <f>'L) Plafonnement taux'!Q177</f>
        <v>0</v>
      </c>
      <c r="L177" s="373">
        <f t="shared" si="6"/>
        <v>342537.32704642316</v>
      </c>
      <c r="M177" s="267">
        <f>'M) Police'!O177</f>
        <v>53936.575186290225</v>
      </c>
      <c r="N177" s="267">
        <f t="shared" si="5"/>
        <v>396473.90223271342</v>
      </c>
      <c r="P177" s="328"/>
      <c r="R177" s="381"/>
    </row>
    <row r="178" spans="1:18" s="182" customFormat="1" x14ac:dyDescent="0.25">
      <c r="A178" s="179">
        <f>'B) D RI'!A179</f>
        <v>5693</v>
      </c>
      <c r="B178" s="180" t="str">
        <f>'B) D RI'!B179</f>
        <v>Montanaire</v>
      </c>
      <c r="C178" s="376">
        <f>'B) D RI'!S179</f>
        <v>72</v>
      </c>
      <c r="D178" s="181">
        <f>'B) D RI'!AA179</f>
        <v>2500</v>
      </c>
      <c r="E178" s="374">
        <f>'D) Ecrêtage'!M177</f>
        <v>63585.08152777778</v>
      </c>
      <c r="F178" s="378">
        <f>'E) Fact soc'!G183</f>
        <v>1107908.7157784516</v>
      </c>
      <c r="G178" s="375">
        <f>'H) Péréquation directe'!I188</f>
        <v>-447620.05754093034</v>
      </c>
      <c r="H178" s="378">
        <f>'I) Dépenses thématiques'!O177</f>
        <v>-425496.29084529483</v>
      </c>
      <c r="I178" s="375">
        <f>'K) Plafonnement aide'!J177</f>
        <v>0</v>
      </c>
      <c r="J178" s="378">
        <f>'J) Plafonnement effort'!I177</f>
        <v>0</v>
      </c>
      <c r="K178" s="375">
        <f>'L) Plafonnement taux'!Q178</f>
        <v>0</v>
      </c>
      <c r="L178" s="373">
        <f>F178+G178+H178+I178+J178+K178</f>
        <v>234792.36739222647</v>
      </c>
      <c r="M178" s="267">
        <f>'M) Police'!O178</f>
        <v>201013.47761854588</v>
      </c>
      <c r="N178" s="267">
        <f t="shared" si="5"/>
        <v>435805.84501077235</v>
      </c>
      <c r="P178" s="328"/>
      <c r="R178" s="381"/>
    </row>
    <row r="179" spans="1:18" s="182" customFormat="1" x14ac:dyDescent="0.25">
      <c r="A179" s="179">
        <f>'B) D RI'!A180</f>
        <v>5701</v>
      </c>
      <c r="B179" s="180" t="str">
        <f>'B) D RI'!B180</f>
        <v>Arnex-sur-Nyon</v>
      </c>
      <c r="C179" s="376">
        <f>'B) D RI'!S180</f>
        <v>70</v>
      </c>
      <c r="D179" s="181">
        <f>'B) D RI'!AA180</f>
        <v>214</v>
      </c>
      <c r="E179" s="374">
        <f>'D) Ecrêtage'!M178</f>
        <v>14660.270137972431</v>
      </c>
      <c r="F179" s="378">
        <f>'E) Fact soc'!G184</f>
        <v>363987.95926283946</v>
      </c>
      <c r="G179" s="375">
        <f>'H) Péréquation directe'!I189</f>
        <v>254611.74409996788</v>
      </c>
      <c r="H179" s="378">
        <f>'I) Dépenses thématiques'!O178</f>
        <v>0</v>
      </c>
      <c r="I179" s="375">
        <f>'K) Plafonnement aide'!J178</f>
        <v>0</v>
      </c>
      <c r="J179" s="378">
        <f>'J) Plafonnement effort'!I178</f>
        <v>0</v>
      </c>
      <c r="K179" s="375">
        <f>'L) Plafonnement taux'!Q179</f>
        <v>0</v>
      </c>
      <c r="L179" s="373">
        <f>F179+G179+H179+I179+J179+K179</f>
        <v>618599.7033628074</v>
      </c>
      <c r="M179" s="267">
        <f>'M) Police'!O179</f>
        <v>37647.07777512099</v>
      </c>
      <c r="N179" s="267">
        <f t="shared" si="5"/>
        <v>656246.78113792837</v>
      </c>
      <c r="P179" s="328"/>
      <c r="R179" s="381"/>
    </row>
    <row r="180" spans="1:18" s="182" customFormat="1" x14ac:dyDescent="0.25">
      <c r="A180" s="179">
        <f>'B) D RI'!A181</f>
        <v>5702</v>
      </c>
      <c r="B180" s="180" t="str">
        <f>'B) D RI'!B181</f>
        <v>Arzier-Le Muids</v>
      </c>
      <c r="C180" s="376">
        <f>'B) D RI'!S181</f>
        <v>64</v>
      </c>
      <c r="D180" s="181">
        <f>'B) D RI'!AA181</f>
        <v>2565</v>
      </c>
      <c r="E180" s="374">
        <f>'D) Ecrêtage'!M179</f>
        <v>151993.41132082354</v>
      </c>
      <c r="F180" s="378">
        <f>'E) Fact soc'!G185</f>
        <v>3009446.0738705168</v>
      </c>
      <c r="G180" s="375">
        <f>'H) Péréquation directe'!I190</f>
        <v>2219857.7050943999</v>
      </c>
      <c r="H180" s="378">
        <f>'I) Dépenses thématiques'!O179</f>
        <v>-229191.95786163674</v>
      </c>
      <c r="I180" s="375">
        <f>'K) Plafonnement aide'!J179</f>
        <v>0</v>
      </c>
      <c r="J180" s="378">
        <f>'J) Plafonnement effort'!I179</f>
        <v>0</v>
      </c>
      <c r="K180" s="375">
        <f>'L) Plafonnement taux'!Q180</f>
        <v>0</v>
      </c>
      <c r="L180" s="373">
        <f t="shared" si="6"/>
        <v>5000111.8211032795</v>
      </c>
      <c r="M180" s="267">
        <f>'M) Police'!O180</f>
        <v>420349.88599901414</v>
      </c>
      <c r="N180" s="267">
        <f t="shared" si="5"/>
        <v>5420461.7071022931</v>
      </c>
      <c r="P180" s="328"/>
      <c r="R180" s="381"/>
    </row>
    <row r="181" spans="1:18" s="182" customFormat="1" x14ac:dyDescent="0.25">
      <c r="A181" s="179">
        <f>'B) D RI'!A182</f>
        <v>5703</v>
      </c>
      <c r="B181" s="180" t="str">
        <f>'B) D RI'!B182</f>
        <v>Bassins</v>
      </c>
      <c r="C181" s="376">
        <f>'B) D RI'!S182</f>
        <v>71</v>
      </c>
      <c r="D181" s="181">
        <f>'B) D RI'!AA182</f>
        <v>1311</v>
      </c>
      <c r="E181" s="374">
        <f>'D) Ecrêtage'!M180</f>
        <v>52372.205915492945</v>
      </c>
      <c r="F181" s="378">
        <f>'E) Fact soc'!G186</f>
        <v>897116.6589520186</v>
      </c>
      <c r="G181" s="375">
        <f>'H) Péréquation directe'!I191</f>
        <v>637710.93170334806</v>
      </c>
      <c r="H181" s="378">
        <f>'I) Dépenses thématiques'!O180</f>
        <v>-201496.92973295721</v>
      </c>
      <c r="I181" s="375">
        <f>'K) Plafonnement aide'!J180</f>
        <v>0</v>
      </c>
      <c r="J181" s="378">
        <f>'J) Plafonnement effort'!I180</f>
        <v>0</v>
      </c>
      <c r="K181" s="375">
        <f>'L) Plafonnement taux'!Q181</f>
        <v>0</v>
      </c>
      <c r="L181" s="373">
        <f t="shared" si="6"/>
        <v>1333330.6609224095</v>
      </c>
      <c r="M181" s="267">
        <f>'M) Police'!O181</f>
        <v>164856.61575362313</v>
      </c>
      <c r="N181" s="267">
        <f t="shared" si="5"/>
        <v>1498187.2766760327</v>
      </c>
      <c r="P181" s="328"/>
      <c r="R181" s="381"/>
    </row>
    <row r="182" spans="1:18" s="182" customFormat="1" x14ac:dyDescent="0.25">
      <c r="A182" s="179">
        <f>'B) D RI'!A183</f>
        <v>5704</v>
      </c>
      <c r="B182" s="180" t="str">
        <f>'B) D RI'!B183</f>
        <v>Begnins</v>
      </c>
      <c r="C182" s="376">
        <f>'B) D RI'!S183</f>
        <v>67</v>
      </c>
      <c r="D182" s="181">
        <f>'B) D RI'!AA183</f>
        <v>1856</v>
      </c>
      <c r="E182" s="374">
        <f>'D) Ecrêtage'!M181</f>
        <v>115692.90527235197</v>
      </c>
      <c r="F182" s="378">
        <f>'E) Fact soc'!G187</f>
        <v>2468495.5347297792</v>
      </c>
      <c r="G182" s="375">
        <f>'H) Péréquation directe'!I192</f>
        <v>1781822.3013649224</v>
      </c>
      <c r="H182" s="378">
        <f>'I) Dépenses thématiques'!O181</f>
        <v>0</v>
      </c>
      <c r="I182" s="375">
        <f>'K) Plafonnement aide'!J181</f>
        <v>0</v>
      </c>
      <c r="J182" s="378">
        <f>'J) Plafonnement effort'!I181</f>
        <v>0</v>
      </c>
      <c r="K182" s="375">
        <f>'L) Plafonnement taux'!Q182</f>
        <v>0</v>
      </c>
      <c r="L182" s="373">
        <f t="shared" si="6"/>
        <v>4250317.8360947017</v>
      </c>
      <c r="M182" s="267">
        <f>'M) Police'!O182</f>
        <v>311596.83814934874</v>
      </c>
      <c r="N182" s="267">
        <f t="shared" si="5"/>
        <v>4561914.6742440499</v>
      </c>
      <c r="P182" s="328"/>
      <c r="R182" s="381"/>
    </row>
    <row r="183" spans="1:18" s="182" customFormat="1" x14ac:dyDescent="0.25">
      <c r="A183" s="179">
        <f>'B) D RI'!A184</f>
        <v>5705</v>
      </c>
      <c r="B183" s="180" t="str">
        <f>'B) D RI'!B184</f>
        <v>Bogis-Bossey</v>
      </c>
      <c r="C183" s="376">
        <f>'B) D RI'!S184</f>
        <v>70</v>
      </c>
      <c r="D183" s="181">
        <f>'B) D RI'!AA184</f>
        <v>827</v>
      </c>
      <c r="E183" s="374">
        <f>'D) Ecrêtage'!M182</f>
        <v>49004.809228600694</v>
      </c>
      <c r="F183" s="378">
        <f>'E) Fact soc'!G188</f>
        <v>902912.76871644915</v>
      </c>
      <c r="G183" s="375">
        <f>'H) Péréquation directe'!I193</f>
        <v>840080.30288650584</v>
      </c>
      <c r="H183" s="378">
        <f>'I) Dépenses thématiques'!O182</f>
        <v>0</v>
      </c>
      <c r="I183" s="375">
        <f>'K) Plafonnement aide'!J182</f>
        <v>0</v>
      </c>
      <c r="J183" s="378">
        <f>'J) Plafonnement effort'!I182</f>
        <v>0</v>
      </c>
      <c r="K183" s="375">
        <f>'L) Plafonnement taux'!Q183</f>
        <v>0</v>
      </c>
      <c r="L183" s="373">
        <f t="shared" si="6"/>
        <v>1742993.071602955</v>
      </c>
      <c r="M183" s="267">
        <f>'M) Police'!O183</f>
        <v>135527.39697569521</v>
      </c>
      <c r="N183" s="267">
        <f t="shared" si="5"/>
        <v>1878520.4685786502</v>
      </c>
      <c r="P183" s="328"/>
      <c r="R183" s="381"/>
    </row>
    <row r="184" spans="1:18" s="182" customFormat="1" x14ac:dyDescent="0.25">
      <c r="A184" s="179">
        <f>'B) D RI'!A185</f>
        <v>5706</v>
      </c>
      <c r="B184" s="180" t="str">
        <f>'B) D RI'!B185</f>
        <v>Borex</v>
      </c>
      <c r="C184" s="376">
        <f>'B) D RI'!S185</f>
        <v>55</v>
      </c>
      <c r="D184" s="181">
        <f>'B) D RI'!AA185</f>
        <v>1099</v>
      </c>
      <c r="E184" s="374">
        <f>'D) Ecrêtage'!M183</f>
        <v>66994.978821330893</v>
      </c>
      <c r="F184" s="378">
        <f>'E) Fact soc'!G189</f>
        <v>1359237.3359161611</v>
      </c>
      <c r="G184" s="375">
        <f>'H) Péréquation directe'!I194</f>
        <v>1127196.5291660428</v>
      </c>
      <c r="H184" s="378">
        <f>'I) Dépenses thématiques'!O183</f>
        <v>0</v>
      </c>
      <c r="I184" s="375">
        <f>'K) Plafonnement aide'!J183</f>
        <v>0</v>
      </c>
      <c r="J184" s="378">
        <f>'J) Plafonnement effort'!I183</f>
        <v>0</v>
      </c>
      <c r="K184" s="375">
        <f>'L) Plafonnement taux'!Q184</f>
        <v>0</v>
      </c>
      <c r="L184" s="373">
        <f t="shared" si="6"/>
        <v>2486433.8650822039</v>
      </c>
      <c r="M184" s="267">
        <f>'M) Police'!O184</f>
        <v>182540.17125500657</v>
      </c>
      <c r="N184" s="267">
        <f t="shared" si="5"/>
        <v>2668974.0363372103</v>
      </c>
      <c r="P184" s="328"/>
      <c r="R184" s="381"/>
    </row>
    <row r="185" spans="1:18" s="182" customFormat="1" x14ac:dyDescent="0.25">
      <c r="A185" s="179">
        <f>'B) D RI'!A186</f>
        <v>5707</v>
      </c>
      <c r="B185" s="180" t="str">
        <f>'B) D RI'!B186</f>
        <v>Chavannes-de-Bogis</v>
      </c>
      <c r="C185" s="376">
        <f>'B) D RI'!S186</f>
        <v>59</v>
      </c>
      <c r="D185" s="181">
        <f>'B) D RI'!AA186</f>
        <v>1153</v>
      </c>
      <c r="E185" s="374">
        <f>'D) Ecrêtage'!M184</f>
        <v>93606.750062920488</v>
      </c>
      <c r="F185" s="378">
        <f>'E) Fact soc'!G190</f>
        <v>2698071.6942950711</v>
      </c>
      <c r="G185" s="375">
        <f>'H) Péréquation directe'!I195</f>
        <v>1609040.5696758975</v>
      </c>
      <c r="H185" s="378">
        <f>'I) Dépenses thématiques'!O184</f>
        <v>0</v>
      </c>
      <c r="I185" s="375">
        <f>'K) Plafonnement aide'!J184</f>
        <v>0</v>
      </c>
      <c r="J185" s="378">
        <f>'J) Plafonnement effort'!I184</f>
        <v>0</v>
      </c>
      <c r="K185" s="375">
        <f>'L) Plafonnement taux'!Q185</f>
        <v>0</v>
      </c>
      <c r="L185" s="373">
        <f t="shared" si="6"/>
        <v>4307112.2639709683</v>
      </c>
      <c r="M185" s="267">
        <f>'M) Police'!O185</f>
        <v>221870.20222428246</v>
      </c>
      <c r="N185" s="267">
        <f t="shared" si="5"/>
        <v>4528982.4661952509</v>
      </c>
      <c r="P185" s="328"/>
      <c r="R185" s="381"/>
    </row>
    <row r="186" spans="1:18" s="182" customFormat="1" x14ac:dyDescent="0.25">
      <c r="A186" s="179">
        <f>'B) D RI'!A187</f>
        <v>5708</v>
      </c>
      <c r="B186" s="180" t="str">
        <f>'B) D RI'!B187</f>
        <v>Chavannes-des-Bois</v>
      </c>
      <c r="C186" s="376">
        <f>'B) D RI'!S187</f>
        <v>61</v>
      </c>
      <c r="D186" s="181">
        <f>'B) D RI'!AA187</f>
        <v>850</v>
      </c>
      <c r="E186" s="374">
        <f>'D) Ecrêtage'!M185</f>
        <v>62406.249989727599</v>
      </c>
      <c r="F186" s="378">
        <f>'E) Fact soc'!G191</f>
        <v>1534775.1580443515</v>
      </c>
      <c r="G186" s="375">
        <f>'H) Péréquation directe'!I196</f>
        <v>1089848.6894724919</v>
      </c>
      <c r="H186" s="378">
        <f>'I) Dépenses thématiques'!O185</f>
        <v>0</v>
      </c>
      <c r="I186" s="375">
        <f>'K) Plafonnement aide'!J185</f>
        <v>0</v>
      </c>
      <c r="J186" s="378">
        <f>'J) Plafonnement effort'!I185</f>
        <v>0</v>
      </c>
      <c r="K186" s="375">
        <f>'L) Plafonnement taux'!Q186</f>
        <v>0</v>
      </c>
      <c r="L186" s="373">
        <f t="shared" si="6"/>
        <v>2624623.8475168431</v>
      </c>
      <c r="M186" s="267">
        <f>'M) Police'!O186</f>
        <v>154969.89288781898</v>
      </c>
      <c r="N186" s="267">
        <f t="shared" si="5"/>
        <v>2779593.7404046622</v>
      </c>
      <c r="P186" s="328"/>
      <c r="R186" s="381"/>
    </row>
    <row r="187" spans="1:18" s="182" customFormat="1" x14ac:dyDescent="0.25">
      <c r="A187" s="179">
        <f>'B) D RI'!A188</f>
        <v>5709</v>
      </c>
      <c r="B187" s="180" t="str">
        <f>'B) D RI'!B188</f>
        <v>Chéserex</v>
      </c>
      <c r="C187" s="376">
        <f>'B) D RI'!S188</f>
        <v>52</v>
      </c>
      <c r="D187" s="181">
        <f>'B) D RI'!AA188</f>
        <v>1222</v>
      </c>
      <c r="E187" s="374">
        <f>'D) Ecrêtage'!M186</f>
        <v>124275.39965933609</v>
      </c>
      <c r="F187" s="378">
        <f>'E) Fact soc'!G192</f>
        <v>4386127.3659539353</v>
      </c>
      <c r="G187" s="375">
        <f>'H) Péréquation directe'!I197</f>
        <v>2162004.780477284</v>
      </c>
      <c r="H187" s="378">
        <f>'I) Dépenses thématiques'!O186</f>
        <v>0</v>
      </c>
      <c r="I187" s="375">
        <f>'K) Plafonnement aide'!J186</f>
        <v>0</v>
      </c>
      <c r="J187" s="378">
        <f>'J) Plafonnement effort'!I186</f>
        <v>-172485.13873891113</v>
      </c>
      <c r="K187" s="375">
        <f>'L) Plafonnement taux'!Q187</f>
        <v>0</v>
      </c>
      <c r="L187" s="373">
        <f t="shared" si="6"/>
        <v>6375647.0076923072</v>
      </c>
      <c r="M187" s="267">
        <f>'M) Police'!O187</f>
        <v>267782.95570422348</v>
      </c>
      <c r="N187" s="267">
        <f t="shared" si="5"/>
        <v>6643429.9633965306</v>
      </c>
      <c r="P187" s="328"/>
      <c r="R187" s="381"/>
    </row>
    <row r="188" spans="1:18" s="182" customFormat="1" x14ac:dyDescent="0.25">
      <c r="A188" s="179">
        <f>'B) D RI'!A189</f>
        <v>5710</v>
      </c>
      <c r="B188" s="180" t="str">
        <f>'B) D RI'!B189</f>
        <v>Coinsins</v>
      </c>
      <c r="C188" s="376">
        <f>'B) D RI'!S189</f>
        <v>41</v>
      </c>
      <c r="D188" s="181">
        <f>'B) D RI'!AA189</f>
        <v>490</v>
      </c>
      <c r="E188" s="374">
        <f>'D) Ecrêtage'!M187</f>
        <v>64292.971472833407</v>
      </c>
      <c r="F188" s="378">
        <f>'E) Fact soc'!G193</f>
        <v>2111260.5090750046</v>
      </c>
      <c r="G188" s="375">
        <f>'H) Péréquation directe'!I198</f>
        <v>1160824.5277176327</v>
      </c>
      <c r="H188" s="378">
        <f>'I) Dépenses thématiques'!O187</f>
        <v>0</v>
      </c>
      <c r="I188" s="375">
        <f>'K) Plafonnement aide'!J187</f>
        <v>0</v>
      </c>
      <c r="J188" s="378">
        <f>'J) Plafonnement effort'!I187</f>
        <v>0</v>
      </c>
      <c r="K188" s="375">
        <f>'L) Plafonnement taux'!Q188</f>
        <v>0</v>
      </c>
      <c r="L188" s="373">
        <f t="shared" si="6"/>
        <v>3272085.0367926373</v>
      </c>
      <c r="M188" s="267">
        <f>'M) Police'!O188</f>
        <v>126202.99235167888</v>
      </c>
      <c r="N188" s="267">
        <f t="shared" si="5"/>
        <v>3398288.029144316</v>
      </c>
      <c r="P188" s="328"/>
      <c r="R188" s="381"/>
    </row>
    <row r="189" spans="1:18" s="182" customFormat="1" x14ac:dyDescent="0.25">
      <c r="A189" s="179">
        <f>'B) D RI'!A190</f>
        <v>5711</v>
      </c>
      <c r="B189" s="180" t="str">
        <f>'B) D RI'!B190</f>
        <v>Commugny</v>
      </c>
      <c r="C189" s="376">
        <f>'B) D RI'!S190</f>
        <v>57</v>
      </c>
      <c r="D189" s="181">
        <f>'B) D RI'!AA190</f>
        <v>2561</v>
      </c>
      <c r="E189" s="374">
        <f>'D) Ecrêtage'!M188</f>
        <v>226389.55281831487</v>
      </c>
      <c r="F189" s="378">
        <f>'E) Fact soc'!G194</f>
        <v>6680048.9775492158</v>
      </c>
      <c r="G189" s="375">
        <f>'H) Péréquation directe'!I199</f>
        <v>3620378.995117987</v>
      </c>
      <c r="H189" s="378">
        <f>'I) Dépenses thématiques'!O188</f>
        <v>0</v>
      </c>
      <c r="I189" s="375">
        <f>'K) Plafonnement aide'!J188</f>
        <v>0</v>
      </c>
      <c r="J189" s="378">
        <f>'J) Plafonnement effort'!I188</f>
        <v>0</v>
      </c>
      <c r="K189" s="375">
        <f>'L) Plafonnement taux'!Q189</f>
        <v>0</v>
      </c>
      <c r="L189" s="373">
        <f t="shared" si="6"/>
        <v>10300427.972667202</v>
      </c>
      <c r="M189" s="267">
        <f>'M) Police'!O189</f>
        <v>516861.18531921442</v>
      </c>
      <c r="N189" s="267">
        <f t="shared" si="5"/>
        <v>10817289.157986417</v>
      </c>
      <c r="P189" s="328"/>
      <c r="R189" s="381"/>
    </row>
    <row r="190" spans="1:18" s="182" customFormat="1" x14ac:dyDescent="0.25">
      <c r="A190" s="179">
        <f>'B) D RI'!A191</f>
        <v>5712</v>
      </c>
      <c r="B190" s="180" t="str">
        <f>'B) D RI'!B191</f>
        <v>Coppet</v>
      </c>
      <c r="C190" s="376">
        <f>'B) D RI'!S191</f>
        <v>53</v>
      </c>
      <c r="D190" s="181">
        <f>'B) D RI'!AA191</f>
        <v>2942</v>
      </c>
      <c r="E190" s="374">
        <f>'D) Ecrêtage'!M189</f>
        <v>281747.88573250698</v>
      </c>
      <c r="F190" s="378">
        <f>'E) Fact soc'!G195</f>
        <v>9249297.0160776079</v>
      </c>
      <c r="G190" s="375">
        <f>'H) Péréquation directe'!I200</f>
        <v>4530011.0732082305</v>
      </c>
      <c r="H190" s="378">
        <f>'I) Dépenses thématiques'!O189</f>
        <v>0</v>
      </c>
      <c r="I190" s="375">
        <f>'K) Plafonnement aide'!J189</f>
        <v>0</v>
      </c>
      <c r="J190" s="378">
        <f>'J) Plafonnement effort'!I189</f>
        <v>0</v>
      </c>
      <c r="K190" s="375">
        <f>'L) Plafonnement taux'!Q190</f>
        <v>0</v>
      </c>
      <c r="L190" s="373">
        <f t="shared" si="6"/>
        <v>13779308.089285839</v>
      </c>
      <c r="M190" s="267">
        <f>'M) Police'!O190</f>
        <v>621978.23235561722</v>
      </c>
      <c r="N190" s="267">
        <f t="shared" si="5"/>
        <v>14401286.321641456</v>
      </c>
      <c r="P190" s="328"/>
      <c r="R190" s="381"/>
    </row>
    <row r="191" spans="1:18" s="182" customFormat="1" x14ac:dyDescent="0.25">
      <c r="A191" s="179">
        <f>'B) D RI'!A192</f>
        <v>5713</v>
      </c>
      <c r="B191" s="180" t="str">
        <f>'B) D RI'!B192</f>
        <v>Crans-près-Céligny</v>
      </c>
      <c r="C191" s="376">
        <f>'B) D RI'!S192</f>
        <v>53</v>
      </c>
      <c r="D191" s="181">
        <f>'B) D RI'!AA192</f>
        <v>2059</v>
      </c>
      <c r="E191" s="374">
        <f>'D) Ecrêtage'!M190</f>
        <v>202601.05352067066</v>
      </c>
      <c r="F191" s="378">
        <f>'E) Fact soc'!G196</f>
        <v>6681145.1262735371</v>
      </c>
      <c r="G191" s="375">
        <f>'H) Péréquation directe'!I201</f>
        <v>3346222.746194704</v>
      </c>
      <c r="H191" s="378">
        <f>'I) Dépenses thématiques'!O190</f>
        <v>-28741.646715719835</v>
      </c>
      <c r="I191" s="375">
        <f>'K) Plafonnement aide'!J190</f>
        <v>0</v>
      </c>
      <c r="J191" s="378">
        <f>'J) Plafonnement effort'!I190</f>
        <v>0</v>
      </c>
      <c r="K191" s="375">
        <f>'L) Plafonnement taux'!Q191</f>
        <v>0</v>
      </c>
      <c r="L191" s="373">
        <f t="shared" si="6"/>
        <v>9998626.2257525213</v>
      </c>
      <c r="M191" s="267">
        <f>'M) Police'!O191</f>
        <v>263771.45295372623</v>
      </c>
      <c r="N191" s="267">
        <f t="shared" si="5"/>
        <v>10262397.678706247</v>
      </c>
      <c r="P191" s="328"/>
      <c r="R191" s="381"/>
    </row>
    <row r="192" spans="1:18" s="182" customFormat="1" x14ac:dyDescent="0.25">
      <c r="A192" s="179">
        <f>'B) D RI'!A193</f>
        <v>5714</v>
      </c>
      <c r="B192" s="180" t="str">
        <f>'B) D RI'!B193</f>
        <v>Crassier</v>
      </c>
      <c r="C192" s="376">
        <f>'B) D RI'!S193</f>
        <v>64</v>
      </c>
      <c r="D192" s="181">
        <f>'B) D RI'!AA193</f>
        <v>1172</v>
      </c>
      <c r="E192" s="374">
        <f>'D) Ecrêtage'!M191</f>
        <v>79362.009468971679</v>
      </c>
      <c r="F192" s="378">
        <f>'E) Fact soc'!G197</f>
        <v>1759050.5489440837</v>
      </c>
      <c r="G192" s="375">
        <f>'H) Péréquation directe'!I202</f>
        <v>1334588.6080724392</v>
      </c>
      <c r="H192" s="378">
        <f>'I) Dépenses thématiques'!O191</f>
        <v>0</v>
      </c>
      <c r="I192" s="375">
        <f>'K) Plafonnement aide'!J191</f>
        <v>0</v>
      </c>
      <c r="J192" s="378">
        <f>'J) Plafonnement effort'!I191</f>
        <v>0</v>
      </c>
      <c r="K192" s="375">
        <f>'L) Plafonnement taux'!Q192</f>
        <v>0</v>
      </c>
      <c r="L192" s="373">
        <f t="shared" si="6"/>
        <v>3093639.1570165232</v>
      </c>
      <c r="M192" s="267">
        <f>'M) Police'!O192</f>
        <v>204972.50782282383</v>
      </c>
      <c r="N192" s="267">
        <f t="shared" si="5"/>
        <v>3298611.6648393469</v>
      </c>
      <c r="P192" s="328"/>
      <c r="R192" s="381"/>
    </row>
    <row r="193" spans="1:18" s="182" customFormat="1" x14ac:dyDescent="0.25">
      <c r="A193" s="179">
        <f>'B) D RI'!A194</f>
        <v>5715</v>
      </c>
      <c r="B193" s="180" t="str">
        <f>'B) D RI'!B194</f>
        <v>Duillier</v>
      </c>
      <c r="C193" s="376">
        <f>'B) D RI'!S194</f>
        <v>66</v>
      </c>
      <c r="D193" s="181">
        <f>'B) D RI'!AA194</f>
        <v>1039</v>
      </c>
      <c r="E193" s="374">
        <f>'D) Ecrêtage'!M192</f>
        <v>63030.040980148689</v>
      </c>
      <c r="F193" s="378">
        <f>'E) Fact soc'!G198</f>
        <v>1293140.7067150879</v>
      </c>
      <c r="G193" s="375">
        <f>'H) Péréquation directe'!I203</f>
        <v>1073333.6194836299</v>
      </c>
      <c r="H193" s="378">
        <f>'I) Dépenses thématiques'!O192</f>
        <v>0</v>
      </c>
      <c r="I193" s="375">
        <f>'K) Plafonnement aide'!J192</f>
        <v>0</v>
      </c>
      <c r="J193" s="378">
        <f>'J) Plafonnement effort'!I192</f>
        <v>0</v>
      </c>
      <c r="K193" s="375">
        <f>'L) Plafonnement taux'!Q193</f>
        <v>0</v>
      </c>
      <c r="L193" s="373">
        <f t="shared" si="6"/>
        <v>2366474.3261987176</v>
      </c>
      <c r="M193" s="267">
        <f>'M) Police'!O193</f>
        <v>172174.23954296048</v>
      </c>
      <c r="N193" s="267">
        <f t="shared" si="5"/>
        <v>2538648.5657416782</v>
      </c>
      <c r="P193" s="328"/>
      <c r="R193" s="381"/>
    </row>
    <row r="194" spans="1:18" s="182" customFormat="1" x14ac:dyDescent="0.25">
      <c r="A194" s="179">
        <f>'B) D RI'!A195</f>
        <v>5716</v>
      </c>
      <c r="B194" s="180" t="str">
        <f>'B) D RI'!B195</f>
        <v>Eysins</v>
      </c>
      <c r="C194" s="376">
        <f>'B) D RI'!S195</f>
        <v>61</v>
      </c>
      <c r="D194" s="181">
        <f>'B) D RI'!AA195</f>
        <v>1482</v>
      </c>
      <c r="E194" s="374">
        <f>'D) Ecrêtage'!M193</f>
        <v>91389.284930366979</v>
      </c>
      <c r="F194" s="378">
        <f>'E) Fact soc'!G199</f>
        <v>2363993.5354548991</v>
      </c>
      <c r="G194" s="375">
        <f>'H) Péréquation directe'!I204</f>
        <v>1453809.3453815901</v>
      </c>
      <c r="H194" s="378">
        <f>'I) Dépenses thématiques'!O193</f>
        <v>0</v>
      </c>
      <c r="I194" s="375">
        <f>'K) Plafonnement aide'!J193</f>
        <v>0</v>
      </c>
      <c r="J194" s="378">
        <f>'J) Plafonnement effort'!I193</f>
        <v>0</v>
      </c>
      <c r="K194" s="375">
        <f>'L) Plafonnement taux'!Q194</f>
        <v>0</v>
      </c>
      <c r="L194" s="373">
        <f t="shared" si="6"/>
        <v>3817802.8808364891</v>
      </c>
      <c r="M194" s="267">
        <f>'M) Police'!O194</f>
        <v>247517.82864182419</v>
      </c>
      <c r="N194" s="267">
        <f t="shared" ref="N194:N254" si="9">L194+M194</f>
        <v>4065320.7094783131</v>
      </c>
      <c r="P194" s="328"/>
      <c r="R194" s="381"/>
    </row>
    <row r="195" spans="1:18" s="182" customFormat="1" x14ac:dyDescent="0.25">
      <c r="A195" s="179">
        <f>'B) D RI'!A196</f>
        <v>5717</v>
      </c>
      <c r="B195" s="180" t="str">
        <f>'B) D RI'!B196</f>
        <v>Founex</v>
      </c>
      <c r="C195" s="376">
        <f>'B) D RI'!S196</f>
        <v>57</v>
      </c>
      <c r="D195" s="181">
        <f>'B) D RI'!AA196</f>
        <v>3410</v>
      </c>
      <c r="E195" s="374">
        <f>'D) Ecrêtage'!M194</f>
        <v>321105.05976303871</v>
      </c>
      <c r="F195" s="378">
        <f>'E) Fact soc'!G200</f>
        <v>10061223.4081131</v>
      </c>
      <c r="G195" s="375">
        <f>'H) Péréquation directe'!I205</f>
        <v>5048060.2821215726</v>
      </c>
      <c r="H195" s="378">
        <f>'I) Dépenses thématiques'!O194</f>
        <v>0</v>
      </c>
      <c r="I195" s="375">
        <f>'K) Plafonnement aide'!J194</f>
        <v>0</v>
      </c>
      <c r="J195" s="378">
        <f>'J) Plafonnement effort'!I194</f>
        <v>0</v>
      </c>
      <c r="K195" s="375">
        <f>'L) Plafonnement taux'!Q195</f>
        <v>0</v>
      </c>
      <c r="L195" s="373">
        <f t="shared" si="6"/>
        <v>15109283.690234672</v>
      </c>
      <c r="M195" s="267">
        <f>'M) Police'!O195</f>
        <v>713808.5884350402</v>
      </c>
      <c r="N195" s="267">
        <f t="shared" si="9"/>
        <v>15823092.278669713</v>
      </c>
      <c r="P195" s="328"/>
      <c r="R195" s="381"/>
    </row>
    <row r="196" spans="1:18" s="182" customFormat="1" x14ac:dyDescent="0.25">
      <c r="A196" s="179">
        <f>'B) D RI'!A197</f>
        <v>5718</v>
      </c>
      <c r="B196" s="180" t="str">
        <f>'B) D RI'!B197</f>
        <v>Genolier</v>
      </c>
      <c r="C196" s="376">
        <f>'B) D RI'!S197</f>
        <v>55</v>
      </c>
      <c r="D196" s="181">
        <f>'B) D RI'!AA197</f>
        <v>1895</v>
      </c>
      <c r="E196" s="374">
        <f>'D) Ecrêtage'!M195</f>
        <v>174604.38142677894</v>
      </c>
      <c r="F196" s="378">
        <f>'E) Fact soc'!G201</f>
        <v>5474221.0441153347</v>
      </c>
      <c r="G196" s="375">
        <f>'H) Péréquation directe'!I206</f>
        <v>2876291.128630416</v>
      </c>
      <c r="H196" s="378">
        <f>'I) Dépenses thématiques'!O195</f>
        <v>0</v>
      </c>
      <c r="I196" s="375">
        <f>'K) Plafonnement aide'!J195</f>
        <v>0</v>
      </c>
      <c r="J196" s="378">
        <f>'J) Plafonnement effort'!I195</f>
        <v>0</v>
      </c>
      <c r="K196" s="375">
        <f>'L) Plafonnement taux'!Q196</f>
        <v>0</v>
      </c>
      <c r="L196" s="373">
        <f t="shared" si="6"/>
        <v>8350512.1727457512</v>
      </c>
      <c r="M196" s="267">
        <f>'M) Police'!O196</f>
        <v>391677.70497944299</v>
      </c>
      <c r="N196" s="267">
        <f t="shared" si="9"/>
        <v>8742189.8777251951</v>
      </c>
      <c r="P196" s="328"/>
      <c r="R196" s="381"/>
    </row>
    <row r="197" spans="1:18" s="182" customFormat="1" x14ac:dyDescent="0.25">
      <c r="A197" s="179">
        <f>'B) D RI'!A198</f>
        <v>5719</v>
      </c>
      <c r="B197" s="180" t="str">
        <f>'B) D RI'!B198</f>
        <v>Gingins</v>
      </c>
      <c r="C197" s="376">
        <f>'B) D RI'!S198</f>
        <v>57</v>
      </c>
      <c r="D197" s="181">
        <f>'B) D RI'!AA198</f>
        <v>1195</v>
      </c>
      <c r="E197" s="374">
        <f>'D) Ecrêtage'!M196</f>
        <v>85513.552336943947</v>
      </c>
      <c r="F197" s="378">
        <f>'E) Fact soc'!G202</f>
        <v>2325274.0521660089</v>
      </c>
      <c r="G197" s="375">
        <f>'H) Péréquation directe'!I207</f>
        <v>1442341.8039528504</v>
      </c>
      <c r="H197" s="378">
        <f>'I) Dépenses thématiques'!O196</f>
        <v>0</v>
      </c>
      <c r="I197" s="375">
        <f>'K) Plafonnement aide'!J196</f>
        <v>0</v>
      </c>
      <c r="J197" s="378">
        <f>'J) Plafonnement effort'!I196</f>
        <v>0</v>
      </c>
      <c r="K197" s="375">
        <f>'L) Plafonnement taux'!Q197</f>
        <v>0</v>
      </c>
      <c r="L197" s="373">
        <f t="shared" si="6"/>
        <v>3767615.8561188593</v>
      </c>
      <c r="M197" s="267">
        <f>'M) Police'!O197</f>
        <v>214976.17768832762</v>
      </c>
      <c r="N197" s="267">
        <f t="shared" si="9"/>
        <v>3982592.0338071869</v>
      </c>
      <c r="P197" s="328"/>
      <c r="R197" s="381"/>
    </row>
    <row r="198" spans="1:18" s="182" customFormat="1" x14ac:dyDescent="0.25">
      <c r="A198" s="179">
        <f>'B) D RI'!A199</f>
        <v>5720</v>
      </c>
      <c r="B198" s="180" t="str">
        <f>'B) D RI'!B199</f>
        <v>Givrins</v>
      </c>
      <c r="C198" s="376">
        <f>'B) D RI'!S199</f>
        <v>61</v>
      </c>
      <c r="D198" s="181">
        <f>'B) D RI'!AA199</f>
        <v>1000</v>
      </c>
      <c r="E198" s="374">
        <f>'D) Ecrêtage'!M197</f>
        <v>70256.366894965046</v>
      </c>
      <c r="F198" s="378">
        <f>'E) Fact soc'!G203</f>
        <v>1614527.7086157277</v>
      </c>
      <c r="G198" s="375">
        <f>'H) Péréquation directe'!I208</f>
        <v>1222694.2330129831</v>
      </c>
      <c r="H198" s="378">
        <f>'I) Dépenses thématiques'!O197</f>
        <v>-9962.2503955420525</v>
      </c>
      <c r="I198" s="375">
        <f>'K) Plafonnement aide'!J197</f>
        <v>0</v>
      </c>
      <c r="J198" s="378">
        <f>'J) Plafonnement effort'!I197</f>
        <v>0</v>
      </c>
      <c r="K198" s="375">
        <f>'L) Plafonnement taux'!Q198</f>
        <v>0</v>
      </c>
      <c r="L198" s="373">
        <f t="shared" si="6"/>
        <v>2827259.6912331688</v>
      </c>
      <c r="M198" s="267">
        <f>'M) Police'!O198</f>
        <v>178199.85559544613</v>
      </c>
      <c r="N198" s="267">
        <f t="shared" si="9"/>
        <v>3005459.546828615</v>
      </c>
      <c r="P198" s="328"/>
      <c r="R198" s="381"/>
    </row>
    <row r="199" spans="1:18" s="182" customFormat="1" x14ac:dyDescent="0.25">
      <c r="A199" s="179">
        <f>'B) D RI'!A200</f>
        <v>5721</v>
      </c>
      <c r="B199" s="180" t="str">
        <f>'B) D RI'!B200</f>
        <v>Gland</v>
      </c>
      <c r="C199" s="376">
        <f>'B) D RI'!S200</f>
        <v>62.5</v>
      </c>
      <c r="D199" s="181">
        <f>'B) D RI'!AA200</f>
        <v>12829</v>
      </c>
      <c r="E199" s="374">
        <f>'D) Ecrêtage'!M198</f>
        <v>541149.08192000003</v>
      </c>
      <c r="F199" s="378">
        <f>'E) Fact soc'!G204</f>
        <v>10001140.448422505</v>
      </c>
      <c r="G199" s="375">
        <f>'H) Péréquation directe'!I209</f>
        <v>2079601.720107737</v>
      </c>
      <c r="H199" s="378">
        <f>'I) Dépenses thématiques'!O198</f>
        <v>0</v>
      </c>
      <c r="I199" s="375">
        <f>'K) Plafonnement aide'!J198</f>
        <v>0</v>
      </c>
      <c r="J199" s="378">
        <f>'J) Plafonnement effort'!I198</f>
        <v>0</v>
      </c>
      <c r="K199" s="375">
        <f>'L) Plafonnement taux'!Q199</f>
        <v>0</v>
      </c>
      <c r="L199" s="373">
        <f t="shared" si="6"/>
        <v>12080742.168530241</v>
      </c>
      <c r="M199" s="267">
        <f>'M) Police'!O199</f>
        <v>1695733.9374470417</v>
      </c>
      <c r="N199" s="267">
        <f t="shared" si="9"/>
        <v>13776476.105977282</v>
      </c>
      <c r="P199" s="328"/>
      <c r="R199" s="381"/>
    </row>
    <row r="200" spans="1:18" s="182" customFormat="1" x14ac:dyDescent="0.25">
      <c r="A200" s="179">
        <f>'B) D RI'!A201</f>
        <v>5722</v>
      </c>
      <c r="B200" s="180" t="str">
        <f>'B) D RI'!B201</f>
        <v>Grens</v>
      </c>
      <c r="C200" s="376">
        <f>'B) D RI'!S201</f>
        <v>62</v>
      </c>
      <c r="D200" s="181">
        <f>'B) D RI'!AA201</f>
        <v>377</v>
      </c>
      <c r="E200" s="374">
        <f>'D) Ecrêtage'!M199</f>
        <v>20499.342258064513</v>
      </c>
      <c r="F200" s="378">
        <f>'E) Fact soc'!G205</f>
        <v>498024.77858272346</v>
      </c>
      <c r="G200" s="375">
        <f>'H) Péréquation directe'!I210</f>
        <v>348354.61415484105</v>
      </c>
      <c r="H200" s="378">
        <f>'I) Dépenses thématiques'!O199</f>
        <v>0</v>
      </c>
      <c r="I200" s="375">
        <f>'K) Plafonnement aide'!J199</f>
        <v>0</v>
      </c>
      <c r="J200" s="378">
        <f>'J) Plafonnement effort'!I199</f>
        <v>0</v>
      </c>
      <c r="K200" s="375">
        <f>'L) Plafonnement taux'!Q200</f>
        <v>0</v>
      </c>
      <c r="L200" s="373">
        <f t="shared" si="6"/>
        <v>846379.39273756451</v>
      </c>
      <c r="M200" s="267">
        <f>'M) Police'!O200</f>
        <v>59386.317255450354</v>
      </c>
      <c r="N200" s="267">
        <f t="shared" si="9"/>
        <v>905765.70999301481</v>
      </c>
      <c r="P200" s="328"/>
      <c r="R200" s="381"/>
    </row>
    <row r="201" spans="1:18" s="182" customFormat="1" x14ac:dyDescent="0.25">
      <c r="A201" s="179">
        <f>'B) D RI'!A202</f>
        <v>5723</v>
      </c>
      <c r="B201" s="180" t="str">
        <f>'B) D RI'!B202</f>
        <v>Mies</v>
      </c>
      <c r="C201" s="376">
        <f>'B) D RI'!S202</f>
        <v>49</v>
      </c>
      <c r="D201" s="181">
        <f>'B) D RI'!AA202</f>
        <v>1791</v>
      </c>
      <c r="E201" s="374">
        <f>'D) Ecrêtage'!M200</f>
        <v>461595.53306972765</v>
      </c>
      <c r="F201" s="378">
        <f>'E) Fact soc'!G206</f>
        <v>23611216.908077907</v>
      </c>
      <c r="G201" s="375">
        <f>'H) Péréquation directe'!I211</f>
        <v>8309516.0188782671</v>
      </c>
      <c r="H201" s="378">
        <f>'I) Dépenses thématiques'!O200</f>
        <v>0</v>
      </c>
      <c r="I201" s="375">
        <f>'K) Plafonnement aide'!J200</f>
        <v>0</v>
      </c>
      <c r="J201" s="378">
        <f>'J) Plafonnement effort'!I200</f>
        <v>-3950585.6871602582</v>
      </c>
      <c r="K201" s="375">
        <f>'L) Plafonnement taux'!Q201</f>
        <v>0</v>
      </c>
      <c r="L201" s="373">
        <f t="shared" si="6"/>
        <v>27970147.239795916</v>
      </c>
      <c r="M201" s="267">
        <f>'M) Police'!O201</f>
        <v>756298.71213324089</v>
      </c>
      <c r="N201" s="267">
        <f t="shared" si="9"/>
        <v>28726445.951929156</v>
      </c>
      <c r="P201" s="328"/>
      <c r="R201" s="381"/>
    </row>
    <row r="202" spans="1:18" s="182" customFormat="1" x14ac:dyDescent="0.25">
      <c r="A202" s="179">
        <f>'B) D RI'!A203</f>
        <v>5724</v>
      </c>
      <c r="B202" s="180" t="str">
        <f>'B) D RI'!B203</f>
        <v>Nyon</v>
      </c>
      <c r="C202" s="376">
        <f>'B) D RI'!S203</f>
        <v>61</v>
      </c>
      <c r="D202" s="181">
        <f>'B) D RI'!AA203</f>
        <v>20047</v>
      </c>
      <c r="E202" s="374">
        <f>'D) Ecrêtage'!M201</f>
        <v>1364222.9732743632</v>
      </c>
      <c r="F202" s="378">
        <f>'E) Fact soc'!G207</f>
        <v>32776526.172828536</v>
      </c>
      <c r="G202" s="375">
        <f>'H) Péréquation directe'!I212</f>
        <v>10819054.905430652</v>
      </c>
      <c r="H202" s="378">
        <f>'I) Dépenses thématiques'!O201</f>
        <v>0</v>
      </c>
      <c r="I202" s="375">
        <f>'K) Plafonnement aide'!J201</f>
        <v>0</v>
      </c>
      <c r="J202" s="378">
        <f>'J) Plafonnement effort'!I201</f>
        <v>0</v>
      </c>
      <c r="K202" s="375">
        <f>'L) Plafonnement taux'!Q202</f>
        <v>0</v>
      </c>
      <c r="L202" s="373">
        <f t="shared" si="6"/>
        <v>43595581.078259185</v>
      </c>
      <c r="M202" s="267">
        <f>'M) Police'!O202</f>
        <v>1776116.508578361</v>
      </c>
      <c r="N202" s="267">
        <f t="shared" si="9"/>
        <v>45371697.586837545</v>
      </c>
      <c r="P202" s="328"/>
      <c r="R202" s="381"/>
    </row>
    <row r="203" spans="1:18" s="182" customFormat="1" x14ac:dyDescent="0.25">
      <c r="A203" s="179">
        <f>'B) D RI'!A204</f>
        <v>5725</v>
      </c>
      <c r="B203" s="180" t="str">
        <f>'B) D RI'!B204</f>
        <v>Prangins</v>
      </c>
      <c r="C203" s="376">
        <f>'B) D RI'!S204</f>
        <v>56</v>
      </c>
      <c r="D203" s="181">
        <f>'B) D RI'!AA204</f>
        <v>4011</v>
      </c>
      <c r="E203" s="374">
        <f>'D) Ecrêtage'!M202</f>
        <v>300667.51187256473</v>
      </c>
      <c r="F203" s="378">
        <f>'E) Fact soc'!G208</f>
        <v>7525919.2156192828</v>
      </c>
      <c r="G203" s="375">
        <f>'H) Péréquation directe'!I213</f>
        <v>4367431.1923064291</v>
      </c>
      <c r="H203" s="378">
        <f>'I) Dépenses thématiques'!O202</f>
        <v>0</v>
      </c>
      <c r="I203" s="375">
        <f>'K) Plafonnement aide'!J202</f>
        <v>0</v>
      </c>
      <c r="J203" s="378">
        <f>'J) Plafonnement effort'!I202</f>
        <v>0</v>
      </c>
      <c r="K203" s="375">
        <f>'L) Plafonnement taux'!Q203</f>
        <v>0</v>
      </c>
      <c r="L203" s="373">
        <f t="shared" si="6"/>
        <v>11893350.407925712</v>
      </c>
      <c r="M203" s="267">
        <f>'M) Police'!O203</f>
        <v>391446.66369919281</v>
      </c>
      <c r="N203" s="267">
        <f t="shared" si="9"/>
        <v>12284797.071624905</v>
      </c>
      <c r="P203" s="328"/>
      <c r="R203" s="381"/>
    </row>
    <row r="204" spans="1:18" s="182" customFormat="1" x14ac:dyDescent="0.25">
      <c r="A204" s="179">
        <f>'B) D RI'!A205</f>
        <v>5726</v>
      </c>
      <c r="B204" s="180" t="str">
        <f>'B) D RI'!B205</f>
        <v>La Rippe</v>
      </c>
      <c r="C204" s="376">
        <f>'B) D RI'!S205</f>
        <v>65</v>
      </c>
      <c r="D204" s="181">
        <f>'B) D RI'!AA205</f>
        <v>1120</v>
      </c>
      <c r="E204" s="374">
        <f>'D) Ecrêtage'!M203</f>
        <v>62420.845692307696</v>
      </c>
      <c r="F204" s="378">
        <f>'E) Fact soc'!G209</f>
        <v>1064569.3064724498</v>
      </c>
      <c r="G204" s="375">
        <f>'H) Péréquation directe'!I214</f>
        <v>1033926.0024111166</v>
      </c>
      <c r="H204" s="378">
        <f>'I) Dépenses thématiques'!O203</f>
        <v>-41017.131443860526</v>
      </c>
      <c r="I204" s="375">
        <f>'K) Plafonnement aide'!J203</f>
        <v>0</v>
      </c>
      <c r="J204" s="378">
        <f>'J) Plafonnement effort'!I203</f>
        <v>0</v>
      </c>
      <c r="K204" s="375">
        <f>'L) Plafonnement taux'!Q204</f>
        <v>0</v>
      </c>
      <c r="L204" s="373">
        <f t="shared" si="6"/>
        <v>2057478.1774397059</v>
      </c>
      <c r="M204" s="267">
        <f>'M) Police'!O204</f>
        <v>178406.34873892393</v>
      </c>
      <c r="N204" s="267">
        <f t="shared" si="9"/>
        <v>2235884.5261786301</v>
      </c>
      <c r="P204" s="328"/>
      <c r="R204" s="381"/>
    </row>
    <row r="205" spans="1:18" s="182" customFormat="1" x14ac:dyDescent="0.25">
      <c r="A205" s="179">
        <f>'B) D RI'!A206</f>
        <v>5727</v>
      </c>
      <c r="B205" s="180" t="str">
        <f>'B) D RI'!B206</f>
        <v>Saint-Cergue</v>
      </c>
      <c r="C205" s="376">
        <f>'B) D RI'!S206</f>
        <v>66</v>
      </c>
      <c r="D205" s="181">
        <f>'B) D RI'!AA206</f>
        <v>2481</v>
      </c>
      <c r="E205" s="374">
        <f>'D) Ecrêtage'!M204</f>
        <v>94126.01979797981</v>
      </c>
      <c r="F205" s="378">
        <f>'E) Fact soc'!G210</f>
        <v>1787669.1739847893</v>
      </c>
      <c r="G205" s="375">
        <f>'H) Péréquation directe'!I215</f>
        <v>842841.51526270586</v>
      </c>
      <c r="H205" s="378">
        <f>'I) Dépenses thématiques'!O204</f>
        <v>-240181.35690157564</v>
      </c>
      <c r="I205" s="375">
        <f>'K) Plafonnement aide'!J204</f>
        <v>0</v>
      </c>
      <c r="J205" s="378">
        <f>'J) Plafonnement effort'!I204</f>
        <v>0</v>
      </c>
      <c r="K205" s="375">
        <f>'L) Plafonnement taux'!Q205</f>
        <v>0</v>
      </c>
      <c r="L205" s="373">
        <f t="shared" si="6"/>
        <v>2390329.3323459192</v>
      </c>
      <c r="M205" s="267">
        <f>'M) Police'!O205</f>
        <v>296468.93379623437</v>
      </c>
      <c r="N205" s="267">
        <f t="shared" si="9"/>
        <v>2686798.2661421536</v>
      </c>
      <c r="P205" s="328"/>
      <c r="R205" s="381"/>
    </row>
    <row r="206" spans="1:18" s="182" customFormat="1" x14ac:dyDescent="0.25">
      <c r="A206" s="179">
        <f>'B) D RI'!A207</f>
        <v>5728</v>
      </c>
      <c r="B206" s="180" t="str">
        <f>'B) D RI'!B207</f>
        <v>Signy-Avenex</v>
      </c>
      <c r="C206" s="376">
        <f>'B) D RI'!S207</f>
        <v>56</v>
      </c>
      <c r="D206" s="181">
        <f>'B) D RI'!AA207</f>
        <v>516</v>
      </c>
      <c r="E206" s="374">
        <f>'D) Ecrêtage'!M205</f>
        <v>32702.770254379117</v>
      </c>
      <c r="F206" s="378">
        <f>'E) Fact soc'!G211</f>
        <v>816152.0616237619</v>
      </c>
      <c r="G206" s="375">
        <f>'H) Péréquation directe'!I216</f>
        <v>564155.79336008662</v>
      </c>
      <c r="H206" s="378">
        <f>'I) Dépenses thématiques'!O205</f>
        <v>0</v>
      </c>
      <c r="I206" s="375">
        <f>'K) Plafonnement aide'!J205</f>
        <v>0</v>
      </c>
      <c r="J206" s="378">
        <f>'J) Plafonnement effort'!I205</f>
        <v>0</v>
      </c>
      <c r="K206" s="375">
        <f>'L) Plafonnement taux'!Q206</f>
        <v>0</v>
      </c>
      <c r="L206" s="373">
        <f t="shared" si="6"/>
        <v>1380307.8549838485</v>
      </c>
      <c r="M206" s="267">
        <f>'M) Police'!O206</f>
        <v>87329.921750692854</v>
      </c>
      <c r="N206" s="267">
        <f t="shared" si="9"/>
        <v>1467637.7767345414</v>
      </c>
      <c r="P206" s="328"/>
      <c r="R206" s="381"/>
    </row>
    <row r="207" spans="1:18" s="182" customFormat="1" x14ac:dyDescent="0.25">
      <c r="A207" s="179">
        <f>'B) D RI'!A208</f>
        <v>5729</v>
      </c>
      <c r="B207" s="180" t="str">
        <f>'B) D RI'!B208</f>
        <v>Tannay</v>
      </c>
      <c r="C207" s="376">
        <f>'B) D RI'!S208</f>
        <v>61</v>
      </c>
      <c r="D207" s="181">
        <f>'B) D RI'!AA208</f>
        <v>1430</v>
      </c>
      <c r="E207" s="374">
        <f>'D) Ecrêtage'!M206</f>
        <v>128032.5299435471</v>
      </c>
      <c r="F207" s="378">
        <f>'E) Fact soc'!G212</f>
        <v>3807958.6693698717</v>
      </c>
      <c r="G207" s="375">
        <f>'H) Péréquation directe'!I217</f>
        <v>2160889.1069464241</v>
      </c>
      <c r="H207" s="378">
        <f>'I) Dépenses thématiques'!O206</f>
        <v>0</v>
      </c>
      <c r="I207" s="375">
        <f>'K) Plafonnement aide'!J206</f>
        <v>0</v>
      </c>
      <c r="J207" s="378">
        <f>'J) Plafonnement effort'!I206</f>
        <v>0</v>
      </c>
      <c r="K207" s="375">
        <f>'L) Plafonnement taux'!Q207</f>
        <v>0</v>
      </c>
      <c r="L207" s="373">
        <f t="shared" si="6"/>
        <v>5968847.7763162963</v>
      </c>
      <c r="M207" s="267">
        <f>'M) Police'!O207</f>
        <v>290714.57116456155</v>
      </c>
      <c r="N207" s="267">
        <f t="shared" si="9"/>
        <v>6259562.3474808577</v>
      </c>
      <c r="P207" s="328"/>
      <c r="R207" s="381"/>
    </row>
    <row r="208" spans="1:18" s="182" customFormat="1" x14ac:dyDescent="0.25">
      <c r="A208" s="179">
        <f>'B) D RI'!A209</f>
        <v>5730</v>
      </c>
      <c r="B208" s="180" t="str">
        <f>'B) D RI'!B209</f>
        <v>Trélex</v>
      </c>
      <c r="C208" s="376">
        <f>'B) D RI'!S209</f>
        <v>57</v>
      </c>
      <c r="D208" s="181">
        <f>'B) D RI'!AA209</f>
        <v>1414</v>
      </c>
      <c r="E208" s="374">
        <f>'D) Ecrêtage'!M207</f>
        <v>115553.12234600043</v>
      </c>
      <c r="F208" s="378">
        <f>'E) Fact soc'!G213</f>
        <v>3012799.6539615062</v>
      </c>
      <c r="G208" s="375">
        <f>'H) Péréquation directe'!I218</f>
        <v>1931714.5817822935</v>
      </c>
      <c r="H208" s="378">
        <f>'I) Dépenses thématiques'!O207</f>
        <v>0</v>
      </c>
      <c r="I208" s="375">
        <f>'K) Plafonnement aide'!J207</f>
        <v>0</v>
      </c>
      <c r="J208" s="378">
        <f>'J) Plafonnement effort'!I207</f>
        <v>0</v>
      </c>
      <c r="K208" s="375">
        <f>'L) Plafonnement taux'!Q208</f>
        <v>0</v>
      </c>
      <c r="L208" s="373">
        <f t="shared" si="6"/>
        <v>4944514.2357438002</v>
      </c>
      <c r="M208" s="267">
        <f>'M) Police'!O208</f>
        <v>273079.61278694449</v>
      </c>
      <c r="N208" s="267">
        <f t="shared" si="9"/>
        <v>5217593.8485307451</v>
      </c>
      <c r="P208" s="328"/>
      <c r="R208" s="381"/>
    </row>
    <row r="209" spans="1:18" s="182" customFormat="1" x14ac:dyDescent="0.25">
      <c r="A209" s="179">
        <f>'B) D RI'!A210</f>
        <v>5731</v>
      </c>
      <c r="B209" s="180" t="str">
        <f>'B) D RI'!B210</f>
        <v>Le Vaud</v>
      </c>
      <c r="C209" s="376">
        <f>'B) D RI'!S210</f>
        <v>75</v>
      </c>
      <c r="D209" s="181">
        <f>'B) D RI'!AA210</f>
        <v>1260</v>
      </c>
      <c r="E209" s="374">
        <f>'D) Ecrêtage'!M208</f>
        <v>47266.974133333322</v>
      </c>
      <c r="F209" s="378">
        <f>'E) Fact soc'!G214</f>
        <v>854435.10360267432</v>
      </c>
      <c r="G209" s="375">
        <f>'H) Péréquation directe'!I219</f>
        <v>480245.15400404437</v>
      </c>
      <c r="H209" s="378">
        <f>'I) Dépenses thématiques'!O208</f>
        <v>-106836.52470615912</v>
      </c>
      <c r="I209" s="375">
        <f>'K) Plafonnement aide'!J208</f>
        <v>0</v>
      </c>
      <c r="J209" s="378">
        <f>'J) Plafonnement effort'!I208</f>
        <v>0</v>
      </c>
      <c r="K209" s="375">
        <f>'L) Plafonnement taux'!Q209</f>
        <v>0</v>
      </c>
      <c r="L209" s="373">
        <f t="shared" si="6"/>
        <v>1227843.7329005597</v>
      </c>
      <c r="M209" s="267">
        <f>'M) Police'!O209</f>
        <v>149659.11737744388</v>
      </c>
      <c r="N209" s="267">
        <f t="shared" si="9"/>
        <v>1377502.8502780036</v>
      </c>
      <c r="P209" s="328"/>
      <c r="R209" s="381"/>
    </row>
    <row r="210" spans="1:18" s="182" customFormat="1" x14ac:dyDescent="0.25">
      <c r="A210" s="179">
        <f>'B) D RI'!A211</f>
        <v>5732</v>
      </c>
      <c r="B210" s="180" t="str">
        <f>'B) D RI'!B211</f>
        <v>Vich</v>
      </c>
      <c r="C210" s="376">
        <f>'B) D RI'!S211</f>
        <v>68</v>
      </c>
      <c r="D210" s="181">
        <f>'B) D RI'!AA211</f>
        <v>958</v>
      </c>
      <c r="E210" s="374">
        <f>'D) Ecrêtage'!M209</f>
        <v>71775.488137800727</v>
      </c>
      <c r="F210" s="378">
        <f>'E) Fact soc'!G215</f>
        <v>1881501.3723734745</v>
      </c>
      <c r="G210" s="375">
        <f>'H) Péréquation directe'!I220</f>
        <v>1255404.6353843519</v>
      </c>
      <c r="H210" s="378">
        <f>'I) Dépenses thématiques'!O209</f>
        <v>0</v>
      </c>
      <c r="I210" s="375">
        <f>'K) Plafonnement aide'!J209</f>
        <v>0</v>
      </c>
      <c r="J210" s="378">
        <f>'J) Plafonnement effort'!I209</f>
        <v>0</v>
      </c>
      <c r="K210" s="375">
        <f>'L) Plafonnement taux'!Q210</f>
        <v>0</v>
      </c>
      <c r="L210" s="373">
        <f t="shared" si="6"/>
        <v>3136906.0077578267</v>
      </c>
      <c r="M210" s="267">
        <f>'M) Police'!O210</f>
        <v>176534.92312869191</v>
      </c>
      <c r="N210" s="267">
        <f t="shared" si="9"/>
        <v>3313440.9308865187</v>
      </c>
      <c r="P210" s="328"/>
      <c r="R210" s="381"/>
    </row>
    <row r="211" spans="1:18" s="182" customFormat="1" x14ac:dyDescent="0.25">
      <c r="A211" s="179">
        <f>'B) D RI'!A212</f>
        <v>5741</v>
      </c>
      <c r="B211" s="180" t="str">
        <f>'B) D RI'!B212</f>
        <v>L'Abergement</v>
      </c>
      <c r="C211" s="376">
        <f>'B) D RI'!S212</f>
        <v>81</v>
      </c>
      <c r="D211" s="181">
        <f>'B) D RI'!AA212</f>
        <v>240</v>
      </c>
      <c r="E211" s="374">
        <f>'D) Ecrêtage'!M210</f>
        <v>6474.3855761316872</v>
      </c>
      <c r="F211" s="378">
        <f>'E) Fact soc'!G216</f>
        <v>117321.81152598854</v>
      </c>
      <c r="G211" s="375">
        <f>'H) Péréquation directe'!I221</f>
        <v>-17024.700003530248</v>
      </c>
      <c r="H211" s="378">
        <f>'I) Dépenses thématiques'!O210</f>
        <v>-64117.18382885414</v>
      </c>
      <c r="I211" s="375">
        <f>'K) Plafonnement aide'!J210</f>
        <v>0</v>
      </c>
      <c r="J211" s="378">
        <f>'J) Plafonnement effort'!I210</f>
        <v>0</v>
      </c>
      <c r="K211" s="375">
        <f>'L) Plafonnement taux'!Q211</f>
        <v>0</v>
      </c>
      <c r="L211" s="373">
        <f t="shared" si="6"/>
        <v>36179.92769360415</v>
      </c>
      <c r="M211" s="267">
        <f>'M) Police'!O211</f>
        <v>20487.28268350249</v>
      </c>
      <c r="N211" s="267">
        <f t="shared" si="9"/>
        <v>56667.210377106639</v>
      </c>
      <c r="P211" s="328"/>
      <c r="R211" s="381"/>
    </row>
    <row r="212" spans="1:18" s="182" customFormat="1" x14ac:dyDescent="0.25">
      <c r="A212" s="179">
        <f>'B) D RI'!A213</f>
        <v>5742</v>
      </c>
      <c r="B212" s="180" t="str">
        <f>'B) D RI'!B213</f>
        <v>Agiez</v>
      </c>
      <c r="C212" s="376">
        <f>'B) D RI'!S213</f>
        <v>76</v>
      </c>
      <c r="D212" s="181">
        <f>'B) D RI'!AA213</f>
        <v>293</v>
      </c>
      <c r="E212" s="374">
        <f>'D) Ecrêtage'!M211</f>
        <v>8406.0221052631568</v>
      </c>
      <c r="F212" s="378">
        <f>'E) Fact soc'!G217</f>
        <v>175203.46337190378</v>
      </c>
      <c r="G212" s="375">
        <f>'H) Péréquation directe'!I222</f>
        <v>17029.881165391242</v>
      </c>
      <c r="H212" s="378">
        <f>'I) Dépenses thématiques'!O211</f>
        <v>-23716.888815935614</v>
      </c>
      <c r="I212" s="375">
        <f>'K) Plafonnement aide'!J211</f>
        <v>0</v>
      </c>
      <c r="J212" s="378">
        <f>'J) Plafonnement effort'!I211</f>
        <v>0</v>
      </c>
      <c r="K212" s="375">
        <f>'L) Plafonnement taux'!Q212</f>
        <v>0</v>
      </c>
      <c r="L212" s="373">
        <f t="shared" si="6"/>
        <v>168516.45572135941</v>
      </c>
      <c r="M212" s="267">
        <f>'M) Police'!O212</f>
        <v>26503.305076094279</v>
      </c>
      <c r="N212" s="267">
        <f t="shared" si="9"/>
        <v>195019.76079745369</v>
      </c>
      <c r="P212" s="328"/>
      <c r="R212" s="381"/>
    </row>
    <row r="213" spans="1:18" s="182" customFormat="1" x14ac:dyDescent="0.25">
      <c r="A213" s="179">
        <f>'B) D RI'!A214</f>
        <v>5743</v>
      </c>
      <c r="B213" s="180" t="str">
        <f>'B) D RI'!B214</f>
        <v>Arnex-sur-Orbe</v>
      </c>
      <c r="C213" s="376">
        <f>'B) D RI'!S214</f>
        <v>73</v>
      </c>
      <c r="D213" s="181">
        <f>'B) D RI'!AA214</f>
        <v>632</v>
      </c>
      <c r="E213" s="374">
        <f>'D) Ecrêtage'!M212</f>
        <v>16157.310890410963</v>
      </c>
      <c r="F213" s="378">
        <f>'E) Fact soc'!G218</f>
        <v>266845.03877809289</v>
      </c>
      <c r="G213" s="375">
        <f>'H) Péréquation directe'!I223</f>
        <v>-23632.376620683644</v>
      </c>
      <c r="H213" s="378">
        <f>'I) Dépenses thématiques'!O212</f>
        <v>-105306.59428156042</v>
      </c>
      <c r="I213" s="375">
        <f>'K) Plafonnement aide'!J212</f>
        <v>0</v>
      </c>
      <c r="J213" s="378">
        <f>'J) Plafonnement effort'!I212</f>
        <v>0</v>
      </c>
      <c r="K213" s="375">
        <f>'L) Plafonnement taux'!Q213</f>
        <v>0</v>
      </c>
      <c r="L213" s="373">
        <f t="shared" si="6"/>
        <v>137906.06787584882</v>
      </c>
      <c r="M213" s="267">
        <f>'M) Police'!O213</f>
        <v>51238.258823195516</v>
      </c>
      <c r="N213" s="267">
        <f t="shared" si="9"/>
        <v>189144.32669904432</v>
      </c>
      <c r="P213" s="328"/>
      <c r="R213" s="381"/>
    </row>
    <row r="214" spans="1:18" s="182" customFormat="1" x14ac:dyDescent="0.25">
      <c r="A214" s="179">
        <f>'B) D RI'!A215</f>
        <v>5744</v>
      </c>
      <c r="B214" s="180" t="str">
        <f>'B) D RI'!B215</f>
        <v>Ballaigues</v>
      </c>
      <c r="C214" s="376">
        <f>'B) D RI'!S215</f>
        <v>66</v>
      </c>
      <c r="D214" s="181">
        <f>'B) D RI'!AA215</f>
        <v>1101</v>
      </c>
      <c r="E214" s="374">
        <f>'D) Ecrêtage'!M213</f>
        <v>66740.940086057177</v>
      </c>
      <c r="F214" s="378">
        <f>'E) Fact soc'!G219</f>
        <v>1638612.6715006649</v>
      </c>
      <c r="G214" s="375">
        <f>'H) Péréquation directe'!I224</f>
        <v>1121728.7747905904</v>
      </c>
      <c r="H214" s="378">
        <f>'I) Dépenses thématiques'!O213</f>
        <v>-293390.91194665991</v>
      </c>
      <c r="I214" s="375">
        <f>'K) Plafonnement aide'!J213</f>
        <v>0</v>
      </c>
      <c r="J214" s="378">
        <f>'J) Plafonnement effort'!I213</f>
        <v>0</v>
      </c>
      <c r="K214" s="375">
        <f>'L) Plafonnement taux'!Q214</f>
        <v>0</v>
      </c>
      <c r="L214" s="373">
        <f t="shared" si="6"/>
        <v>2466950.5343445954</v>
      </c>
      <c r="M214" s="267">
        <f>'M) Police'!O214</f>
        <v>182382.89439615275</v>
      </c>
      <c r="N214" s="267">
        <f t="shared" si="9"/>
        <v>2649333.4287407482</v>
      </c>
      <c r="P214" s="328"/>
      <c r="R214" s="381"/>
    </row>
    <row r="215" spans="1:18" s="182" customFormat="1" x14ac:dyDescent="0.25">
      <c r="A215" s="179">
        <f>'B) D RI'!A216</f>
        <v>5745</v>
      </c>
      <c r="B215" s="180" t="str">
        <f>'B) D RI'!B216</f>
        <v>Baulmes</v>
      </c>
      <c r="C215" s="376">
        <f>'B) D RI'!S216</f>
        <v>78</v>
      </c>
      <c r="D215" s="181">
        <f>'B) D RI'!AA216</f>
        <v>1055</v>
      </c>
      <c r="E215" s="374">
        <f>'D) Ecrêtage'!M214</f>
        <v>26708.244230769233</v>
      </c>
      <c r="F215" s="378">
        <f>'E) Fact soc'!G220</f>
        <v>486986.99755400605</v>
      </c>
      <c r="G215" s="375">
        <f>'H) Péréquation directe'!I225</f>
        <v>-127059.60007258982</v>
      </c>
      <c r="H215" s="378">
        <f>'I) Dépenses thématiques'!O214</f>
        <v>-346093.75107156334</v>
      </c>
      <c r="I215" s="375">
        <f>'K) Plafonnement aide'!J214</f>
        <v>0</v>
      </c>
      <c r="J215" s="378">
        <f>'J) Plafonnement effort'!I214</f>
        <v>0</v>
      </c>
      <c r="K215" s="375">
        <f>'L) Plafonnement taux'!Q215</f>
        <v>0</v>
      </c>
      <c r="L215" s="373">
        <f t="shared" si="6"/>
        <v>13833.646409852896</v>
      </c>
      <c r="M215" s="267">
        <f>'M) Police'!O215</f>
        <v>85064.801191374427</v>
      </c>
      <c r="N215" s="267">
        <f t="shared" si="9"/>
        <v>98898.447601227323</v>
      </c>
      <c r="P215" s="328"/>
      <c r="R215" s="381"/>
    </row>
    <row r="216" spans="1:18" s="182" customFormat="1" x14ac:dyDescent="0.25">
      <c r="A216" s="179">
        <f>'B) D RI'!A217</f>
        <v>5746</v>
      </c>
      <c r="B216" s="180" t="str">
        <f>'B) D RI'!B217</f>
        <v>Bavois</v>
      </c>
      <c r="C216" s="376">
        <f>'B) D RI'!S217</f>
        <v>73</v>
      </c>
      <c r="D216" s="181">
        <f>'B) D RI'!AA217</f>
        <v>939</v>
      </c>
      <c r="E216" s="374">
        <f>'D) Ecrêtage'!M215</f>
        <v>26575.73502283105</v>
      </c>
      <c r="F216" s="378">
        <f>'E) Fact soc'!G221</f>
        <v>458787.59747290751</v>
      </c>
      <c r="G216" s="375">
        <f>'H) Péréquation directe'!I226</f>
        <v>67828.551919029152</v>
      </c>
      <c r="H216" s="378">
        <f>'I) Dépenses thématiques'!O215</f>
        <v>-218848.40108641275</v>
      </c>
      <c r="I216" s="375">
        <f>'K) Plafonnement aide'!J215</f>
        <v>0</v>
      </c>
      <c r="J216" s="378">
        <f>'J) Plafonnement effort'!I215</f>
        <v>0</v>
      </c>
      <c r="K216" s="375">
        <f>'L) Plafonnement taux'!Q216</f>
        <v>0</v>
      </c>
      <c r="L216" s="373">
        <f t="shared" si="6"/>
        <v>307767.74830552388</v>
      </c>
      <c r="M216" s="267">
        <f>'M) Police'!O216</f>
        <v>83416.431779689534</v>
      </c>
      <c r="N216" s="267">
        <f t="shared" si="9"/>
        <v>391184.18008521339</v>
      </c>
      <c r="P216" s="328"/>
      <c r="R216" s="381"/>
    </row>
    <row r="217" spans="1:18" s="182" customFormat="1" x14ac:dyDescent="0.25">
      <c r="A217" s="179">
        <f>'B) D RI'!A218</f>
        <v>5747</v>
      </c>
      <c r="B217" s="180" t="str">
        <f>'B) D RI'!B218</f>
        <v>Bofflens</v>
      </c>
      <c r="C217" s="376">
        <f>'B) D RI'!S218</f>
        <v>69</v>
      </c>
      <c r="D217" s="181">
        <f>'B) D RI'!AA218</f>
        <v>188</v>
      </c>
      <c r="E217" s="374">
        <f>'D) Ecrêtage'!M216</f>
        <v>5307.8250724637683</v>
      </c>
      <c r="F217" s="378">
        <f>'E) Fact soc'!G222</f>
        <v>87672.45444972298</v>
      </c>
      <c r="G217" s="375">
        <f>'H) Péréquation directe'!I227</f>
        <v>20332.206536978323</v>
      </c>
      <c r="H217" s="378">
        <f>'I) Dépenses thématiques'!O216</f>
        <v>-7875.6373960375304</v>
      </c>
      <c r="I217" s="375">
        <f>'K) Plafonnement aide'!J216</f>
        <v>0</v>
      </c>
      <c r="J217" s="378">
        <f>'J) Plafonnement effort'!I216</f>
        <v>0</v>
      </c>
      <c r="K217" s="375">
        <f>'L) Plafonnement taux'!Q217</f>
        <v>0</v>
      </c>
      <c r="L217" s="373">
        <f t="shared" si="6"/>
        <v>100129.02359066377</v>
      </c>
      <c r="M217" s="267">
        <f>'M) Police'!O217</f>
        <v>16770.456795366277</v>
      </c>
      <c r="N217" s="267">
        <f t="shared" si="9"/>
        <v>116899.48038603005</v>
      </c>
      <c r="P217" s="328"/>
      <c r="R217" s="381"/>
    </row>
    <row r="218" spans="1:18" s="182" customFormat="1" x14ac:dyDescent="0.25">
      <c r="A218" s="179">
        <f>'B) D RI'!A219</f>
        <v>5748</v>
      </c>
      <c r="B218" s="180" t="str">
        <f>'B) D RI'!B219</f>
        <v>Bretonnières</v>
      </c>
      <c r="C218" s="376">
        <f>'B) D RI'!S219</f>
        <v>72</v>
      </c>
      <c r="D218" s="181">
        <f>'B) D RI'!AA219</f>
        <v>258</v>
      </c>
      <c r="E218" s="374">
        <f>'D) Ecrêtage'!M217</f>
        <v>7260.9913888888877</v>
      </c>
      <c r="F218" s="378">
        <f>'E) Fact soc'!G223</f>
        <v>136788.1741392008</v>
      </c>
      <c r="G218" s="375">
        <f>'H) Péréquation directe'!I228</f>
        <v>19556.59635864853</v>
      </c>
      <c r="H218" s="378">
        <f>'I) Dépenses thématiques'!O217</f>
        <v>-65696.177280236167</v>
      </c>
      <c r="I218" s="375">
        <f>'K) Plafonnement aide'!J217</f>
        <v>0</v>
      </c>
      <c r="J218" s="378">
        <f>'J) Plafonnement effort'!I217</f>
        <v>0</v>
      </c>
      <c r="K218" s="375">
        <f>'L) Plafonnement taux'!Q218</f>
        <v>0</v>
      </c>
      <c r="L218" s="373">
        <f t="shared" si="6"/>
        <v>90648.593217613161</v>
      </c>
      <c r="M218" s="267">
        <f>'M) Police'!O218</f>
        <v>23009.696172456534</v>
      </c>
      <c r="N218" s="267">
        <f t="shared" si="9"/>
        <v>113658.28939006969</v>
      </c>
      <c r="P218" s="328"/>
      <c r="R218" s="381"/>
    </row>
    <row r="219" spans="1:18" s="182" customFormat="1" x14ac:dyDescent="0.25">
      <c r="A219" s="179">
        <f>'B) D RI'!A220</f>
        <v>5749</v>
      </c>
      <c r="B219" s="180" t="str">
        <f>'B) D RI'!B220</f>
        <v>Chavornay</v>
      </c>
      <c r="C219" s="376">
        <f>'B) D RI'!S220</f>
        <v>72.36</v>
      </c>
      <c r="D219" s="181">
        <f>'B) D RI'!AA220</f>
        <v>4817</v>
      </c>
      <c r="E219" s="374">
        <f>'D) Ecrêtage'!M218</f>
        <v>132615.92523493644</v>
      </c>
      <c r="F219" s="378">
        <f>'E) Fact soc'!G224</f>
        <v>2582993.4764137319</v>
      </c>
      <c r="G219" s="375">
        <f>'H) Péréquation directe'!I229</f>
        <v>-978628.94687071024</v>
      </c>
      <c r="H219" s="378">
        <f>'I) Dépenses thématiques'!O218</f>
        <v>-599572.44743771956</v>
      </c>
      <c r="I219" s="375">
        <f>'K) Plafonnement aide'!J218</f>
        <v>0</v>
      </c>
      <c r="J219" s="378">
        <f>'J) Plafonnement effort'!I218</f>
        <v>0</v>
      </c>
      <c r="K219" s="375">
        <f>'L) Plafonnement taux'!Q219</f>
        <v>0</v>
      </c>
      <c r="L219" s="373">
        <f t="shared" ref="L219" si="10">F219+G219+H219+I219+J219+K219</f>
        <v>1004792.0821053021</v>
      </c>
      <c r="M219" s="267">
        <f>'M) Police'!O219</f>
        <v>417004.88310246391</v>
      </c>
      <c r="N219" s="267">
        <f t="shared" ref="N219" si="11">L219+M219</f>
        <v>1421796.965207766</v>
      </c>
      <c r="P219" s="328"/>
      <c r="R219" s="381"/>
    </row>
    <row r="220" spans="1:18" s="182" customFormat="1" x14ac:dyDescent="0.25">
      <c r="A220" s="179">
        <f>'B) D RI'!A221</f>
        <v>5750</v>
      </c>
      <c r="B220" s="180" t="str">
        <f>'B) D RI'!B221</f>
        <v>Les Clées</v>
      </c>
      <c r="C220" s="376">
        <f>'B) D RI'!S221</f>
        <v>80</v>
      </c>
      <c r="D220" s="181">
        <f>'B) D RI'!AA221</f>
        <v>176</v>
      </c>
      <c r="E220" s="374">
        <f>'D) Ecrêtage'!M219</f>
        <v>4790.0727916666665</v>
      </c>
      <c r="F220" s="378">
        <f>'E) Fact soc'!G225</f>
        <v>83679.718704196785</v>
      </c>
      <c r="G220" s="375">
        <f>'H) Péréquation directe'!I230</f>
        <v>-8542.9072010343807</v>
      </c>
      <c r="H220" s="378">
        <f>'I) Dépenses thématiques'!O219</f>
        <v>-45840.319596310044</v>
      </c>
      <c r="I220" s="375">
        <f>'K) Plafonnement aide'!J219</f>
        <v>0</v>
      </c>
      <c r="J220" s="378">
        <f>'J) Plafonnement effort'!I219</f>
        <v>0</v>
      </c>
      <c r="K220" s="375">
        <f>'L) Plafonnement taux'!Q220</f>
        <v>0</v>
      </c>
      <c r="L220" s="373">
        <f t="shared" si="6"/>
        <v>29296.49190685236</v>
      </c>
      <c r="M220" s="267">
        <f>'M) Police'!O220</f>
        <v>15270.023324396931</v>
      </c>
      <c r="N220" s="267">
        <f t="shared" si="9"/>
        <v>44566.515231249286</v>
      </c>
      <c r="P220" s="328"/>
      <c r="R220" s="381"/>
    </row>
    <row r="221" spans="1:18" s="182" customFormat="1" x14ac:dyDescent="0.25">
      <c r="A221" s="179">
        <f>'B) D RI'!A222</f>
        <v>5752</v>
      </c>
      <c r="B221" s="180" t="str">
        <f>'B) D RI'!B222</f>
        <v>Croy</v>
      </c>
      <c r="C221" s="376">
        <f>'B) D RI'!S222</f>
        <v>74</v>
      </c>
      <c r="D221" s="181">
        <f>'B) D RI'!AA222</f>
        <v>344</v>
      </c>
      <c r="E221" s="374">
        <f>'D) Ecrêtage'!M220</f>
        <v>9213.5061196911174</v>
      </c>
      <c r="F221" s="378">
        <f>'E) Fact soc'!G226</f>
        <v>162552.64359548243</v>
      </c>
      <c r="G221" s="375">
        <f>'H) Péréquation directe'!I231</f>
        <v>185.43291735553066</v>
      </c>
      <c r="H221" s="378">
        <f>'I) Dépenses thématiques'!O220</f>
        <v>-406798.81360670831</v>
      </c>
      <c r="I221" s="375">
        <f>'K) Plafonnement aide'!J220</f>
        <v>0</v>
      </c>
      <c r="J221" s="378">
        <f>'J) Plafonnement effort'!I220</f>
        <v>0</v>
      </c>
      <c r="K221" s="375">
        <f>'L) Plafonnement taux'!Q221</f>
        <v>0</v>
      </c>
      <c r="L221" s="373">
        <f t="shared" ref="L221:L265" si="12">F221+G221+H221+I221+J221+K221</f>
        <v>-244060.73709387035</v>
      </c>
      <c r="M221" s="267">
        <f>'M) Police'!O221</f>
        <v>29225.219318817773</v>
      </c>
      <c r="N221" s="267">
        <f t="shared" si="9"/>
        <v>-214835.51777505258</v>
      </c>
      <c r="P221" s="328"/>
      <c r="R221" s="381"/>
    </row>
    <row r="222" spans="1:18" s="182" customFormat="1" x14ac:dyDescent="0.25">
      <c r="A222" s="179">
        <f>'B) D RI'!A223</f>
        <v>5754</v>
      </c>
      <c r="B222" s="180" t="str">
        <f>'B) D RI'!B223</f>
        <v>Juriens</v>
      </c>
      <c r="C222" s="376">
        <f>'B) D RI'!S223</f>
        <v>79</v>
      </c>
      <c r="D222" s="181">
        <f>'B) D RI'!AA223</f>
        <v>302</v>
      </c>
      <c r="E222" s="374">
        <f>'D) Ecrêtage'!M221</f>
        <v>7202.565316455697</v>
      </c>
      <c r="F222" s="378">
        <f>'E) Fact soc'!G227</f>
        <v>124785.28307301083</v>
      </c>
      <c r="G222" s="375">
        <f>'H) Péréquation directe'!I232</f>
        <v>-55620.261649898195</v>
      </c>
      <c r="H222" s="378">
        <f>'I) Dépenses thématiques'!O221</f>
        <v>-41344.208626184467</v>
      </c>
      <c r="I222" s="375">
        <f>'K) Plafonnement aide'!J221</f>
        <v>0</v>
      </c>
      <c r="J222" s="378">
        <f>'J) Plafonnement effort'!I221</f>
        <v>0</v>
      </c>
      <c r="K222" s="375">
        <f>'L) Plafonnement taux'!Q222</f>
        <v>0</v>
      </c>
      <c r="L222" s="373">
        <f t="shared" si="12"/>
        <v>27820.812796928163</v>
      </c>
      <c r="M222" s="267">
        <f>'M) Police'!O222</f>
        <v>22831.495222092111</v>
      </c>
      <c r="N222" s="267">
        <f t="shared" si="9"/>
        <v>50652.308019020275</v>
      </c>
      <c r="P222" s="328"/>
      <c r="R222" s="381"/>
    </row>
    <row r="223" spans="1:18" s="182" customFormat="1" x14ac:dyDescent="0.25">
      <c r="A223" s="179">
        <f>'B) D RI'!A224</f>
        <v>5755</v>
      </c>
      <c r="B223" s="180" t="str">
        <f>'B) D RI'!B224</f>
        <v>Lignerolle</v>
      </c>
      <c r="C223" s="376">
        <f>'B) D RI'!S224</f>
        <v>80</v>
      </c>
      <c r="D223" s="181">
        <f>'B) D RI'!AA224</f>
        <v>405</v>
      </c>
      <c r="E223" s="374">
        <f>'D) Ecrêtage'!M222</f>
        <v>9116.1979107142852</v>
      </c>
      <c r="F223" s="378">
        <f>'E) Fact soc'!G228</f>
        <v>177448.77354080381</v>
      </c>
      <c r="G223" s="375">
        <f>'H) Péréquation directe'!I233</f>
        <v>-104165.33476413539</v>
      </c>
      <c r="H223" s="378">
        <f>'I) Dépenses thématiques'!O222</f>
        <v>-186189.56198077396</v>
      </c>
      <c r="I223" s="375">
        <f>'K) Plafonnement aide'!J222</f>
        <v>0</v>
      </c>
      <c r="J223" s="378">
        <f>'J) Plafonnement effort'!I222</f>
        <v>0</v>
      </c>
      <c r="K223" s="375">
        <f>'L) Plafonnement taux'!Q223</f>
        <v>0</v>
      </c>
      <c r="L223" s="373">
        <f t="shared" si="12"/>
        <v>-112906.12320410553</v>
      </c>
      <c r="M223" s="267">
        <f>'M) Police'!O223</f>
        <v>28821.251650283783</v>
      </c>
      <c r="N223" s="267">
        <f t="shared" si="9"/>
        <v>-84084.871553821751</v>
      </c>
      <c r="P223" s="328"/>
      <c r="R223" s="381"/>
    </row>
    <row r="224" spans="1:18" s="182" customFormat="1" x14ac:dyDescent="0.25">
      <c r="A224" s="179">
        <f>'B) D RI'!A225</f>
        <v>5756</v>
      </c>
      <c r="B224" s="180" t="str">
        <f>'B) D RI'!B225</f>
        <v>Montcherand</v>
      </c>
      <c r="C224" s="376">
        <f>'B) D RI'!S225</f>
        <v>72</v>
      </c>
      <c r="D224" s="181">
        <f>'B) D RI'!AA225</f>
        <v>469</v>
      </c>
      <c r="E224" s="374">
        <f>'D) Ecrêtage'!M223</f>
        <v>14643.939999999999</v>
      </c>
      <c r="F224" s="378">
        <f>'E) Fact soc'!G229</f>
        <v>284717.55053661764</v>
      </c>
      <c r="G224" s="375">
        <f>'H) Péréquation directe'!I234</f>
        <v>92585.300558934308</v>
      </c>
      <c r="H224" s="378">
        <f>'I) Dépenses thématiques'!O223</f>
        <v>-48558.003314044821</v>
      </c>
      <c r="I224" s="375">
        <f>'K) Plafonnement aide'!J223</f>
        <v>0</v>
      </c>
      <c r="J224" s="378">
        <f>'J) Plafonnement effort'!I223</f>
        <v>0</v>
      </c>
      <c r="K224" s="375">
        <f>'L) Plafonnement taux'!Q224</f>
        <v>0</v>
      </c>
      <c r="L224" s="373">
        <f t="shared" si="12"/>
        <v>328744.84778150718</v>
      </c>
      <c r="M224" s="267">
        <f>'M) Police'!O224</f>
        <v>19065.317102969046</v>
      </c>
      <c r="N224" s="267">
        <f t="shared" si="9"/>
        <v>347810.16488447622</v>
      </c>
      <c r="P224" s="328"/>
      <c r="R224" s="381"/>
    </row>
    <row r="225" spans="1:18" s="182" customFormat="1" x14ac:dyDescent="0.25">
      <c r="A225" s="179">
        <f>'B) D RI'!A226</f>
        <v>5757</v>
      </c>
      <c r="B225" s="180" t="str">
        <f>'B) D RI'!B226</f>
        <v>Orbe</v>
      </c>
      <c r="C225" s="376">
        <f>'B) D RI'!S226</f>
        <v>74</v>
      </c>
      <c r="D225" s="181">
        <f>'B) D RI'!AA226</f>
        <v>6805</v>
      </c>
      <c r="E225" s="374">
        <f>'D) Ecrêtage'!M224</f>
        <v>219459.11337837842</v>
      </c>
      <c r="F225" s="378">
        <f>'E) Fact soc'!G230</f>
        <v>4357406.1148128072</v>
      </c>
      <c r="G225" s="375">
        <f>'H) Péréquation directe'!I235</f>
        <v>-655978.15093489923</v>
      </c>
      <c r="H225" s="378">
        <f>'I) Dépenses thématiques'!O224</f>
        <v>-1431501.4909719019</v>
      </c>
      <c r="I225" s="375">
        <f>'K) Plafonnement aide'!J224</f>
        <v>0</v>
      </c>
      <c r="J225" s="378">
        <f>'J) Plafonnement effort'!I224</f>
        <v>0</v>
      </c>
      <c r="K225" s="375">
        <f>'L) Plafonnement taux'!Q225</f>
        <v>0</v>
      </c>
      <c r="L225" s="373">
        <f t="shared" si="12"/>
        <v>2269926.472906006</v>
      </c>
      <c r="M225" s="267">
        <f>'M) Police'!O225</f>
        <v>285719.38888681744</v>
      </c>
      <c r="N225" s="267">
        <f t="shared" si="9"/>
        <v>2555645.8617928233</v>
      </c>
      <c r="P225" s="328"/>
      <c r="R225" s="381"/>
    </row>
    <row r="226" spans="1:18" s="182" customFormat="1" x14ac:dyDescent="0.25">
      <c r="A226" s="179">
        <f>'B) D RI'!A227</f>
        <v>5758</v>
      </c>
      <c r="B226" s="180" t="str">
        <f>'B) D RI'!B227</f>
        <v>La Praz</v>
      </c>
      <c r="C226" s="376">
        <f>'B) D RI'!S227</f>
        <v>83</v>
      </c>
      <c r="D226" s="181">
        <f>'B) D RI'!AA227</f>
        <v>159</v>
      </c>
      <c r="E226" s="374">
        <f>'D) Ecrêtage'!M225</f>
        <v>3792.6817536813919</v>
      </c>
      <c r="F226" s="378">
        <f>'E) Fact soc'!G231</f>
        <v>63169.436828248254</v>
      </c>
      <c r="G226" s="375">
        <f>'H) Péréquation directe'!I236</f>
        <v>-38073.212191764484</v>
      </c>
      <c r="H226" s="378">
        <f>'I) Dépenses thématiques'!O225</f>
        <v>-20719.506014342136</v>
      </c>
      <c r="I226" s="375">
        <f>'K) Plafonnement aide'!J225</f>
        <v>0</v>
      </c>
      <c r="J226" s="378">
        <f>'J) Plafonnement effort'!I225</f>
        <v>0</v>
      </c>
      <c r="K226" s="375">
        <f>'L) Plafonnement taux'!Q226</f>
        <v>0</v>
      </c>
      <c r="L226" s="373">
        <f t="shared" si="12"/>
        <v>4376.7186221416341</v>
      </c>
      <c r="M226" s="267">
        <f>'M) Police'!O226</f>
        <v>11946.415850323596</v>
      </c>
      <c r="N226" s="267">
        <f t="shared" si="9"/>
        <v>16323.13447246523</v>
      </c>
      <c r="P226" s="328"/>
      <c r="R226" s="381"/>
    </row>
    <row r="227" spans="1:18" s="182" customFormat="1" x14ac:dyDescent="0.25">
      <c r="A227" s="179">
        <f>'B) D RI'!A228</f>
        <v>5759</v>
      </c>
      <c r="B227" s="180" t="str">
        <f>'B) D RI'!B228</f>
        <v>Premier</v>
      </c>
      <c r="C227" s="376">
        <f>'B) D RI'!S228</f>
        <v>81</v>
      </c>
      <c r="D227" s="181">
        <f>'B) D RI'!AA228</f>
        <v>196</v>
      </c>
      <c r="E227" s="374">
        <f>'D) Ecrêtage'!M226</f>
        <v>4689.5245679012341</v>
      </c>
      <c r="F227" s="378">
        <f>'E) Fact soc'!G232</f>
        <v>74040.358285149137</v>
      </c>
      <c r="G227" s="375">
        <f>'H) Péréquation directe'!I237</f>
        <v>-40790.47689956674</v>
      </c>
      <c r="H227" s="378">
        <f>'I) Dépenses thématiques'!O226</f>
        <v>-78372.02595967619</v>
      </c>
      <c r="I227" s="375">
        <f>'K) Plafonnement aide'!J226</f>
        <v>0</v>
      </c>
      <c r="J227" s="378">
        <f>'J) Plafonnement effort'!I226</f>
        <v>0</v>
      </c>
      <c r="K227" s="375">
        <f>'L) Plafonnement taux'!Q227</f>
        <v>0</v>
      </c>
      <c r="L227" s="373">
        <f t="shared" si="12"/>
        <v>-45122.144574093792</v>
      </c>
      <c r="M227" s="267">
        <f>'M) Police'!O227</f>
        <v>14839.386102008602</v>
      </c>
      <c r="N227" s="267">
        <f t="shared" si="9"/>
        <v>-30282.758472085188</v>
      </c>
      <c r="P227" s="328"/>
      <c r="R227" s="381"/>
    </row>
    <row r="228" spans="1:18" s="182" customFormat="1" x14ac:dyDescent="0.25">
      <c r="A228" s="179">
        <f>'B) D RI'!A229</f>
        <v>5760</v>
      </c>
      <c r="B228" s="180" t="str">
        <f>'B) D RI'!B229</f>
        <v>Rances</v>
      </c>
      <c r="C228" s="376">
        <f>'B) D RI'!S229</f>
        <v>78</v>
      </c>
      <c r="D228" s="181">
        <f>'B) D RI'!AA229</f>
        <v>473</v>
      </c>
      <c r="E228" s="374">
        <f>'D) Ecrêtage'!M227</f>
        <v>13227.609572649571</v>
      </c>
      <c r="F228" s="378">
        <f>'E) Fact soc'!G233</f>
        <v>307296.95974714204</v>
      </c>
      <c r="G228" s="375">
        <f>'H) Péréquation directe'!I238</f>
        <v>3084.2551422524848</v>
      </c>
      <c r="H228" s="378">
        <f>'I) Dépenses thématiques'!O227</f>
        <v>-113709.60420486119</v>
      </c>
      <c r="I228" s="375">
        <f>'K) Plafonnement aide'!J227</f>
        <v>0</v>
      </c>
      <c r="J228" s="378">
        <f>'J) Plafonnement effort'!I227</f>
        <v>0</v>
      </c>
      <c r="K228" s="375">
        <f>'L) Plafonnement taux'!Q228</f>
        <v>0</v>
      </c>
      <c r="L228" s="373">
        <f t="shared" si="12"/>
        <v>196671.61068453334</v>
      </c>
      <c r="M228" s="267">
        <f>'M) Police'!O228</f>
        <v>42037.98314170893</v>
      </c>
      <c r="N228" s="267">
        <f t="shared" si="9"/>
        <v>238709.59382624226</v>
      </c>
      <c r="P228" s="328"/>
      <c r="R228" s="381"/>
    </row>
    <row r="229" spans="1:18" s="182" customFormat="1" x14ac:dyDescent="0.25">
      <c r="A229" s="179">
        <f>'B) D RI'!A230</f>
        <v>5761</v>
      </c>
      <c r="B229" s="180" t="str">
        <f>'B) D RI'!B230</f>
        <v>Romainmôtier-Envy</v>
      </c>
      <c r="C229" s="376">
        <f>'B) D RI'!S230</f>
        <v>76</v>
      </c>
      <c r="D229" s="181">
        <f>'B) D RI'!AA230</f>
        <v>546</v>
      </c>
      <c r="E229" s="374">
        <f>'D) Ecrêtage'!M228</f>
        <v>12165.915592105261</v>
      </c>
      <c r="F229" s="378">
        <f>'E) Fact soc'!G234</f>
        <v>257953.48923517141</v>
      </c>
      <c r="G229" s="375">
        <f>'H) Péréquation directe'!I239</f>
        <v>-114642.38292006857</v>
      </c>
      <c r="H229" s="378">
        <f>'I) Dépenses thématiques'!O228</f>
        <v>-49025.63280453012</v>
      </c>
      <c r="I229" s="375">
        <f>'K) Plafonnement aide'!J228</f>
        <v>0</v>
      </c>
      <c r="J229" s="378">
        <f>'J) Plafonnement effort'!I228</f>
        <v>0</v>
      </c>
      <c r="K229" s="375">
        <f>'L) Plafonnement taux'!Q229</f>
        <v>0</v>
      </c>
      <c r="L229" s="373">
        <f t="shared" si="12"/>
        <v>94285.473510572716</v>
      </c>
      <c r="M229" s="267">
        <f>'M) Police'!O229</f>
        <v>38126.560557683537</v>
      </c>
      <c r="N229" s="267">
        <f t="shared" si="9"/>
        <v>132412.03406825627</v>
      </c>
      <c r="P229" s="328"/>
      <c r="R229" s="381"/>
    </row>
    <row r="230" spans="1:18" s="182" customFormat="1" x14ac:dyDescent="0.25">
      <c r="A230" s="179">
        <f>'B) D RI'!A231</f>
        <v>5762</v>
      </c>
      <c r="B230" s="180" t="str">
        <f>'B) D RI'!B231</f>
        <v>Sergey</v>
      </c>
      <c r="C230" s="376">
        <f>'B) D RI'!S231</f>
        <v>78</v>
      </c>
      <c r="D230" s="181">
        <f>'B) D RI'!AA231</f>
        <v>140</v>
      </c>
      <c r="E230" s="374">
        <f>'D) Ecrêtage'!M229</f>
        <v>3586.5485897435897</v>
      </c>
      <c r="F230" s="378">
        <f>'E) Fact soc'!G235</f>
        <v>58345.469299163386</v>
      </c>
      <c r="G230" s="375">
        <f>'H) Péréquation directe'!I240</f>
        <v>-13239.138017223697</v>
      </c>
      <c r="H230" s="378">
        <f>'I) Dépenses thématiques'!O229</f>
        <v>-27503.2052425287</v>
      </c>
      <c r="I230" s="375">
        <f>'K) Plafonnement aide'!J229</f>
        <v>0</v>
      </c>
      <c r="J230" s="378">
        <f>'J) Plafonnement effort'!I229</f>
        <v>0</v>
      </c>
      <c r="K230" s="375">
        <f>'L) Plafonnement taux'!Q230</f>
        <v>0</v>
      </c>
      <c r="L230" s="373">
        <f t="shared" si="12"/>
        <v>17603.126039410989</v>
      </c>
      <c r="M230" s="267">
        <f>'M) Police'!O230</f>
        <v>11352.949137088843</v>
      </c>
      <c r="N230" s="267">
        <f t="shared" si="9"/>
        <v>28956.075176499831</v>
      </c>
      <c r="P230" s="328"/>
      <c r="R230" s="381"/>
    </row>
    <row r="231" spans="1:18" s="182" customFormat="1" x14ac:dyDescent="0.25">
      <c r="A231" s="179">
        <f>'B) D RI'!A232</f>
        <v>5763</v>
      </c>
      <c r="B231" s="180" t="str">
        <f>'B) D RI'!B232</f>
        <v>Valeyres-sous-Rances</v>
      </c>
      <c r="C231" s="376">
        <f>'B) D RI'!S232</f>
        <v>65</v>
      </c>
      <c r="D231" s="181">
        <f>'B) D RI'!AA232</f>
        <v>623</v>
      </c>
      <c r="E231" s="374">
        <f>'D) Ecrêtage'!M230</f>
        <v>16085.850769230768</v>
      </c>
      <c r="F231" s="378">
        <f>'E) Fact soc'!G236</f>
        <v>293030.25772953063</v>
      </c>
      <c r="G231" s="375">
        <f>'H) Péréquation directe'!I241</f>
        <v>36516.002252517093</v>
      </c>
      <c r="H231" s="378">
        <f>'I) Dépenses thématiques'!O230</f>
        <v>-137288.54289410022</v>
      </c>
      <c r="I231" s="375">
        <f>'K) Plafonnement aide'!J230</f>
        <v>0</v>
      </c>
      <c r="J231" s="378">
        <f>'J) Plafonnement effort'!I230</f>
        <v>0</v>
      </c>
      <c r="K231" s="375">
        <f>'L) Plafonnement taux'!Q231</f>
        <v>0</v>
      </c>
      <c r="L231" s="373">
        <f t="shared" si="12"/>
        <v>192257.7170879475</v>
      </c>
      <c r="M231" s="267">
        <f>'M) Police'!O231</f>
        <v>50535.165016881758</v>
      </c>
      <c r="N231" s="267">
        <f t="shared" si="9"/>
        <v>242792.88210482924</v>
      </c>
      <c r="P231" s="328"/>
      <c r="R231" s="381"/>
    </row>
    <row r="232" spans="1:18" s="182" customFormat="1" x14ac:dyDescent="0.25">
      <c r="A232" s="179">
        <f>'B) D RI'!A233</f>
        <v>5764</v>
      </c>
      <c r="B232" s="180" t="str">
        <f>'B) D RI'!B233</f>
        <v>Vallorbe</v>
      </c>
      <c r="C232" s="376">
        <f>'B) D RI'!S233</f>
        <v>74</v>
      </c>
      <c r="D232" s="181">
        <f>'B) D RI'!AA233</f>
        <v>3747</v>
      </c>
      <c r="E232" s="374">
        <f>'D) Ecrêtage'!M231</f>
        <v>84513.608378378369</v>
      </c>
      <c r="F232" s="378">
        <f>'E) Fact soc'!G237</f>
        <v>2134174.7583654081</v>
      </c>
      <c r="G232" s="375">
        <f>'H) Péréquation directe'!I242</f>
        <v>-1429477.8620252886</v>
      </c>
      <c r="H232" s="378">
        <f>'I) Dépenses thématiques'!O231</f>
        <v>-1727384.6051095794</v>
      </c>
      <c r="I232" s="375">
        <f>'K) Plafonnement aide'!J231</f>
        <v>0</v>
      </c>
      <c r="J232" s="378">
        <f>'J) Plafonnement effort'!I231</f>
        <v>0</v>
      </c>
      <c r="K232" s="375">
        <f>'L) Plafonnement taux'!Q232</f>
        <v>0</v>
      </c>
      <c r="L232" s="373">
        <f t="shared" si="12"/>
        <v>-1022687.70876946</v>
      </c>
      <c r="M232" s="267">
        <f>'M) Police'!O232</f>
        <v>268408.00522018172</v>
      </c>
      <c r="N232" s="267">
        <f t="shared" si="9"/>
        <v>-754279.7035492782</v>
      </c>
      <c r="P232" s="328"/>
      <c r="R232" s="381"/>
    </row>
    <row r="233" spans="1:18" s="182" customFormat="1" x14ac:dyDescent="0.25">
      <c r="A233" s="179">
        <f>'B) D RI'!A234</f>
        <v>5765</v>
      </c>
      <c r="B233" s="180" t="str">
        <f>'B) D RI'!B234</f>
        <v>Vaulion</v>
      </c>
      <c r="C233" s="376">
        <f>'B) D RI'!S234</f>
        <v>81</v>
      </c>
      <c r="D233" s="181">
        <f>'B) D RI'!AA234</f>
        <v>494</v>
      </c>
      <c r="E233" s="374">
        <f>'D) Ecrêtage'!M232</f>
        <v>10199.027160493826</v>
      </c>
      <c r="F233" s="378">
        <f>'E) Fact soc'!G238</f>
        <v>173787.53783767912</v>
      </c>
      <c r="G233" s="375">
        <f>'H) Péréquation directe'!I243</f>
        <v>-175681.61203232239</v>
      </c>
      <c r="H233" s="378">
        <f>'I) Dépenses thématiques'!O232</f>
        <v>-144410.48764985948</v>
      </c>
      <c r="I233" s="375">
        <f>'K) Plafonnement aide'!J232</f>
        <v>0</v>
      </c>
      <c r="J233" s="378">
        <f>'J) Plafonnement effort'!I232</f>
        <v>0</v>
      </c>
      <c r="K233" s="375">
        <f>'L) Plafonnement taux'!Q233</f>
        <v>0</v>
      </c>
      <c r="L233" s="373">
        <f t="shared" si="12"/>
        <v>-146304.56184450275</v>
      </c>
      <c r="M233" s="267">
        <f>'M) Police'!O233</f>
        <v>32256.564871952432</v>
      </c>
      <c r="N233" s="267">
        <f t="shared" si="9"/>
        <v>-114047.99697255032</v>
      </c>
      <c r="P233" s="328"/>
      <c r="R233" s="381"/>
    </row>
    <row r="234" spans="1:18" s="182" customFormat="1" x14ac:dyDescent="0.25">
      <c r="A234" s="179">
        <f>'B) D RI'!A235</f>
        <v>5766</v>
      </c>
      <c r="B234" s="180" t="str">
        <f>'B) D RI'!B235</f>
        <v>Vuiteboeuf</v>
      </c>
      <c r="C234" s="376">
        <f>'B) D RI'!S235</f>
        <v>77</v>
      </c>
      <c r="D234" s="181">
        <f>'B) D RI'!AA235</f>
        <v>556</v>
      </c>
      <c r="E234" s="374">
        <f>'D) Ecrêtage'!M233</f>
        <v>13023.960575139146</v>
      </c>
      <c r="F234" s="378">
        <f>'E) Fact soc'!G239</f>
        <v>225231.88117527807</v>
      </c>
      <c r="G234" s="375">
        <f>'H) Péréquation directe'!I244</f>
        <v>-97589.007767775212</v>
      </c>
      <c r="H234" s="378">
        <f>'I) Dépenses thématiques'!O233</f>
        <v>-106835.16546651631</v>
      </c>
      <c r="I234" s="375">
        <f>'K) Plafonnement aide'!J233</f>
        <v>0</v>
      </c>
      <c r="J234" s="378">
        <f>'J) Plafonnement effort'!I233</f>
        <v>0</v>
      </c>
      <c r="K234" s="375">
        <f>'L) Plafonnement taux'!Q234</f>
        <v>0</v>
      </c>
      <c r="L234" s="373">
        <f t="shared" si="12"/>
        <v>20807.707940986555</v>
      </c>
      <c r="M234" s="267">
        <f>'M) Police'!O234</f>
        <v>41094.504000558089</v>
      </c>
      <c r="N234" s="267">
        <f t="shared" si="9"/>
        <v>61902.211941544643</v>
      </c>
      <c r="P234" s="328"/>
      <c r="R234" s="381"/>
    </row>
    <row r="235" spans="1:18" s="182" customFormat="1" x14ac:dyDescent="0.25">
      <c r="A235" s="179">
        <f>'B) D RI'!A236</f>
        <v>5785</v>
      </c>
      <c r="B235" s="180" t="str">
        <f>'B) D RI'!B236</f>
        <v>Corcelles-le-Jorat</v>
      </c>
      <c r="C235" s="376">
        <f>'B) D RI'!S236</f>
        <v>77</v>
      </c>
      <c r="D235" s="181">
        <f>'B) D RI'!AA236</f>
        <v>425</v>
      </c>
      <c r="E235" s="374">
        <f>'D) Ecrêtage'!M234</f>
        <v>12275.22831168831</v>
      </c>
      <c r="F235" s="378">
        <f>'E) Fact soc'!G240</f>
        <v>205321.39540706811</v>
      </c>
      <c r="G235" s="375">
        <f>'H) Péréquation directe'!I245</f>
        <v>23881.173958080646</v>
      </c>
      <c r="H235" s="378">
        <f>'I) Dépenses thématiques'!O234</f>
        <v>-53618.497423378445</v>
      </c>
      <c r="I235" s="375">
        <f>'K) Plafonnement aide'!J234</f>
        <v>0</v>
      </c>
      <c r="J235" s="378">
        <f>'J) Plafonnement effort'!I234</f>
        <v>0</v>
      </c>
      <c r="K235" s="375">
        <f>'L) Plafonnement taux'!Q235</f>
        <v>0</v>
      </c>
      <c r="L235" s="373">
        <f t="shared" si="12"/>
        <v>175584.07194177032</v>
      </c>
      <c r="M235" s="267">
        <f>'M) Police'!O235</f>
        <v>38780.20994682968</v>
      </c>
      <c r="N235" s="267">
        <f t="shared" si="9"/>
        <v>214364.2818886</v>
      </c>
      <c r="P235" s="328"/>
      <c r="R235" s="381"/>
    </row>
    <row r="236" spans="1:18" s="182" customFormat="1" x14ac:dyDescent="0.25">
      <c r="A236" s="179">
        <f>'B) D RI'!A237</f>
        <v>5788</v>
      </c>
      <c r="B236" s="180" t="str">
        <f>'B) D RI'!B237</f>
        <v>Essertes</v>
      </c>
      <c r="C236" s="376">
        <f>'B) D RI'!S237</f>
        <v>72</v>
      </c>
      <c r="D236" s="181">
        <f>'B) D RI'!AA237</f>
        <v>335</v>
      </c>
      <c r="E236" s="374">
        <f>'D) Ecrêtage'!M235</f>
        <v>9663.2152777777756</v>
      </c>
      <c r="F236" s="378">
        <f>'E) Fact soc'!G241</f>
        <v>159796.63917706936</v>
      </c>
      <c r="G236" s="375">
        <f>'H) Péréquation directe'!I246</f>
        <v>34678.010645086062</v>
      </c>
      <c r="H236" s="378">
        <f>'I) Dépenses thématiques'!O235</f>
        <v>-2893.9213529703625</v>
      </c>
      <c r="I236" s="375">
        <f>'K) Plafonnement aide'!J235</f>
        <v>0</v>
      </c>
      <c r="J236" s="378">
        <f>'J) Plafonnement effort'!I235</f>
        <v>0</v>
      </c>
      <c r="K236" s="375">
        <f>'L) Plafonnement taux'!Q236</f>
        <v>0</v>
      </c>
      <c r="L236" s="373">
        <f t="shared" si="12"/>
        <v>191580.72846918507</v>
      </c>
      <c r="M236" s="267">
        <f>'M) Police'!O236</f>
        <v>30381.324636482132</v>
      </c>
      <c r="N236" s="267">
        <f t="shared" si="9"/>
        <v>221962.0531056672</v>
      </c>
      <c r="P236" s="328"/>
      <c r="R236" s="381"/>
    </row>
    <row r="237" spans="1:18" s="182" customFormat="1" x14ac:dyDescent="0.25">
      <c r="A237" s="179">
        <f>'B) D RI'!A238</f>
        <v>5790</v>
      </c>
      <c r="B237" s="180" t="str">
        <f>'B) D RI'!B238</f>
        <v>Maracon</v>
      </c>
      <c r="C237" s="376">
        <f>'B) D RI'!S238</f>
        <v>76</v>
      </c>
      <c r="D237" s="181">
        <f>'B) D RI'!AA238</f>
        <v>449</v>
      </c>
      <c r="E237" s="374">
        <f>'D) Ecrêtage'!M236</f>
        <v>12077.747368421051</v>
      </c>
      <c r="F237" s="378">
        <f>'E) Fact soc'!G242</f>
        <v>212730.26133067408</v>
      </c>
      <c r="G237" s="375">
        <f>'H) Péréquation directe'!I247</f>
        <v>-7535.0452183947782</v>
      </c>
      <c r="H237" s="378">
        <f>'I) Dépenses thématiques'!O236</f>
        <v>-82512.614102754014</v>
      </c>
      <c r="I237" s="375">
        <f>'K) Plafonnement aide'!J236</f>
        <v>0</v>
      </c>
      <c r="J237" s="378">
        <f>'J) Plafonnement effort'!I236</f>
        <v>0</v>
      </c>
      <c r="K237" s="375">
        <f>'L) Plafonnement taux'!Q237</f>
        <v>0</v>
      </c>
      <c r="L237" s="373">
        <f t="shared" si="12"/>
        <v>122682.60200952529</v>
      </c>
      <c r="M237" s="267">
        <f>'M) Police'!O237</f>
        <v>37943.838951943144</v>
      </c>
      <c r="N237" s="267">
        <f t="shared" si="9"/>
        <v>160626.44096146844</v>
      </c>
      <c r="P237" s="328"/>
      <c r="R237" s="381"/>
    </row>
    <row r="238" spans="1:18" s="182" customFormat="1" x14ac:dyDescent="0.25">
      <c r="A238" s="179">
        <f>'B) D RI'!A239</f>
        <v>5792</v>
      </c>
      <c r="B238" s="180" t="str">
        <f>'B) D RI'!B239</f>
        <v>Montpreveyres</v>
      </c>
      <c r="C238" s="376">
        <f>'B) D RI'!S239</f>
        <v>77</v>
      </c>
      <c r="D238" s="181">
        <f>'B) D RI'!AA239</f>
        <v>621</v>
      </c>
      <c r="E238" s="374">
        <f>'D) Ecrêtage'!M237</f>
        <v>15670.869999999999</v>
      </c>
      <c r="F238" s="378">
        <f>'E) Fact soc'!G243</f>
        <v>304291.89757266256</v>
      </c>
      <c r="G238" s="375">
        <f>'H) Péréquation directe'!I248</f>
        <v>-61270.76276781701</v>
      </c>
      <c r="H238" s="378">
        <f>'I) Dépenses thématiques'!O237</f>
        <v>-148037.66268089859</v>
      </c>
      <c r="I238" s="375">
        <f>'K) Plafonnement aide'!J237</f>
        <v>0</v>
      </c>
      <c r="J238" s="378">
        <f>'J) Plafonnement effort'!I237</f>
        <v>0</v>
      </c>
      <c r="K238" s="375">
        <f>'L) Plafonnement taux'!Q238</f>
        <v>0</v>
      </c>
      <c r="L238" s="373">
        <f t="shared" si="12"/>
        <v>94983.472123946965</v>
      </c>
      <c r="M238" s="267">
        <f>'M) Police'!O238</f>
        <v>49023.035538002834</v>
      </c>
      <c r="N238" s="267">
        <f t="shared" si="9"/>
        <v>144006.50766194978</v>
      </c>
      <c r="P238" s="328"/>
      <c r="R238" s="381"/>
    </row>
    <row r="239" spans="1:18" s="182" customFormat="1" x14ac:dyDescent="0.25">
      <c r="A239" s="179">
        <f>'B) D RI'!A240</f>
        <v>5798</v>
      </c>
      <c r="B239" s="180" t="str">
        <f>'B) D RI'!B240</f>
        <v>Ropraz</v>
      </c>
      <c r="C239" s="376">
        <f>'B) D RI'!S240</f>
        <v>77.5</v>
      </c>
      <c r="D239" s="181">
        <f>'B) D RI'!AA240</f>
        <v>438</v>
      </c>
      <c r="E239" s="374">
        <f>'D) Ecrêtage'!M238</f>
        <v>10971.989935483871</v>
      </c>
      <c r="F239" s="378">
        <f>'E) Fact soc'!G244</f>
        <v>186987.53918211299</v>
      </c>
      <c r="G239" s="375">
        <f>'H) Péréquation directe'!I249</f>
        <v>-49382.729067562206</v>
      </c>
      <c r="H239" s="378">
        <f>'I) Dépenses thématiques'!O238</f>
        <v>-75337.997799182471</v>
      </c>
      <c r="I239" s="375">
        <f>'K) Plafonnement aide'!J238</f>
        <v>0</v>
      </c>
      <c r="J239" s="378">
        <f>'J) Plafonnement effort'!I238</f>
        <v>0</v>
      </c>
      <c r="K239" s="375">
        <f>'L) Plafonnement taux'!Q239</f>
        <v>0</v>
      </c>
      <c r="L239" s="373">
        <f t="shared" si="12"/>
        <v>62266.812315368312</v>
      </c>
      <c r="M239" s="267">
        <f>'M) Police'!O239</f>
        <v>35250.22361534548</v>
      </c>
      <c r="N239" s="267">
        <f t="shared" si="9"/>
        <v>97517.035930713784</v>
      </c>
      <c r="P239" s="328"/>
      <c r="R239" s="381"/>
    </row>
    <row r="240" spans="1:18" s="182" customFormat="1" x14ac:dyDescent="0.25">
      <c r="A240" s="179">
        <f>'B) D RI'!A241</f>
        <v>5799</v>
      </c>
      <c r="B240" s="180" t="str">
        <f>'B) D RI'!B241</f>
        <v>Servion</v>
      </c>
      <c r="C240" s="376">
        <f>'B) D RI'!S241</f>
        <v>69</v>
      </c>
      <c r="D240" s="181">
        <f>'B) D RI'!AA241</f>
        <v>1918</v>
      </c>
      <c r="E240" s="374">
        <f>'D) Ecrêtage'!M239</f>
        <v>60598.657971014502</v>
      </c>
      <c r="F240" s="378">
        <f>'E) Fact soc'!G245</f>
        <v>1041769.8230891421</v>
      </c>
      <c r="G240" s="375">
        <f>'H) Péréquation directe'!I250</f>
        <v>224829.49897812842</v>
      </c>
      <c r="H240" s="378">
        <f>'I) Dépenses thématiques'!O239</f>
        <v>-255113.21544431482</v>
      </c>
      <c r="I240" s="375">
        <f>'K) Plafonnement aide'!J239</f>
        <v>0</v>
      </c>
      <c r="J240" s="378">
        <f>'J) Plafonnement effort'!I239</f>
        <v>0</v>
      </c>
      <c r="K240" s="375">
        <f>'L) Plafonnement taux'!Q240</f>
        <v>0</v>
      </c>
      <c r="L240" s="373">
        <f t="shared" si="12"/>
        <v>1011486.1066229558</v>
      </c>
      <c r="M240" s="267">
        <f>'M) Police'!O240</f>
        <v>189880.2103252495</v>
      </c>
      <c r="N240" s="267">
        <f t="shared" si="9"/>
        <v>1201366.3169482052</v>
      </c>
      <c r="P240" s="328"/>
      <c r="R240" s="381"/>
    </row>
    <row r="241" spans="1:18" s="182" customFormat="1" x14ac:dyDescent="0.25">
      <c r="A241" s="179">
        <f>'B) D RI'!A242</f>
        <v>5803</v>
      </c>
      <c r="B241" s="180" t="str">
        <f>'B) D RI'!B242</f>
        <v>Vulliens</v>
      </c>
      <c r="C241" s="376">
        <f>'B) D RI'!S242</f>
        <v>78</v>
      </c>
      <c r="D241" s="181">
        <f>'B) D RI'!AA242</f>
        <v>466</v>
      </c>
      <c r="E241" s="374">
        <f>'D) Ecrêtage'!M240</f>
        <v>14215.08564102564</v>
      </c>
      <c r="F241" s="378">
        <f>'E) Fact soc'!G246</f>
        <v>293587.12878125865</v>
      </c>
      <c r="G241" s="375">
        <f>'H) Péréquation directe'!I251</f>
        <v>53997.662528041401</v>
      </c>
      <c r="H241" s="378">
        <f>'I) Dépenses thématiques'!O240</f>
        <v>-74731.908669862823</v>
      </c>
      <c r="I241" s="375">
        <f>'K) Plafonnement aide'!J240</f>
        <v>0</v>
      </c>
      <c r="J241" s="378">
        <f>'J) Plafonnement effort'!I240</f>
        <v>0</v>
      </c>
      <c r="K241" s="375">
        <f>'L) Plafonnement taux'!Q241</f>
        <v>0</v>
      </c>
      <c r="L241" s="373">
        <f t="shared" si="12"/>
        <v>272852.88263943722</v>
      </c>
      <c r="M241" s="267">
        <f>'M) Police'!O241</f>
        <v>45008.255858255638</v>
      </c>
      <c r="N241" s="267">
        <f t="shared" si="9"/>
        <v>317861.13849769288</v>
      </c>
      <c r="P241" s="328"/>
      <c r="R241" s="381"/>
    </row>
    <row r="242" spans="1:18" s="182" customFormat="1" x14ac:dyDescent="0.25">
      <c r="A242" s="179">
        <f>'B) D RI'!A243</f>
        <v>5804</v>
      </c>
      <c r="B242" s="180" t="str">
        <f>'B) D RI'!B243</f>
        <v>Jorat-Menthue</v>
      </c>
      <c r="C242" s="376">
        <f>'B) D RI'!S243</f>
        <v>72</v>
      </c>
      <c r="D242" s="181">
        <f>'B) D RI'!AA243</f>
        <v>1545</v>
      </c>
      <c r="E242" s="374">
        <f>'D) Ecrêtage'!M241</f>
        <v>48554.511111111118</v>
      </c>
      <c r="F242" s="378">
        <f>'E) Fact soc'!G247</f>
        <v>800934.23664683593</v>
      </c>
      <c r="G242" s="375">
        <f>'H) Péréquation directe'!I252</f>
        <v>183056.4432032418</v>
      </c>
      <c r="H242" s="378">
        <f>'I) Dépenses thématiques'!O241</f>
        <v>-990141.91367499216</v>
      </c>
      <c r="I242" s="375">
        <f>'K) Plafonnement aide'!J241</f>
        <v>0</v>
      </c>
      <c r="J242" s="378">
        <f>'J) Plafonnement effort'!I241</f>
        <v>0</v>
      </c>
      <c r="K242" s="375">
        <f>'L) Plafonnement taux'!Q242</f>
        <v>0</v>
      </c>
      <c r="L242" s="373">
        <f>F242+G242+H242+I242+J242+K242</f>
        <v>-6151.2338249144377</v>
      </c>
      <c r="M242" s="267">
        <f>'M) Police'!O242</f>
        <v>153552.30712021459</v>
      </c>
      <c r="N242" s="267">
        <f t="shared" si="9"/>
        <v>147401.07329530016</v>
      </c>
      <c r="P242" s="328"/>
      <c r="R242" s="381"/>
    </row>
    <row r="243" spans="1:18" s="182" customFormat="1" x14ac:dyDescent="0.25">
      <c r="A243" s="179">
        <f>'B) D RI'!A244</f>
        <v>5805</v>
      </c>
      <c r="B243" s="180" t="str">
        <f>'B) D RI'!B244</f>
        <v>Oron</v>
      </c>
      <c r="C243" s="376">
        <f>'B) D RI'!S244</f>
        <v>69</v>
      </c>
      <c r="D243" s="181">
        <f>'B) D RI'!AA244</f>
        <v>5397</v>
      </c>
      <c r="E243" s="374">
        <f>'D) Ecrêtage'!M242</f>
        <v>147104.2625559947</v>
      </c>
      <c r="F243" s="378">
        <f>'E) Fact soc'!G248</f>
        <v>2646803.4953070823</v>
      </c>
      <c r="G243" s="375">
        <f>'H) Péréquation directe'!I253</f>
        <v>-1092866.1953447629</v>
      </c>
      <c r="H243" s="378">
        <f>'I) Dépenses thématiques'!O242</f>
        <v>-903160.49358195439</v>
      </c>
      <c r="I243" s="375">
        <f>'K) Plafonnement aide'!J242</f>
        <v>0</v>
      </c>
      <c r="J243" s="378">
        <f>'J) Plafonnement effort'!I242</f>
        <v>0</v>
      </c>
      <c r="K243" s="375">
        <f>'L) Plafonnement taux'!Q243</f>
        <v>0</v>
      </c>
      <c r="L243" s="373">
        <f>F243+G243+H243+I243+J243+K243</f>
        <v>650776.80638036504</v>
      </c>
      <c r="M243" s="267">
        <f>'M) Police'!O243</f>
        <v>460655.4965214238</v>
      </c>
      <c r="N243" s="267">
        <f t="shared" si="9"/>
        <v>1111432.3029017888</v>
      </c>
      <c r="P243" s="328"/>
      <c r="R243" s="381"/>
    </row>
    <row r="244" spans="1:18" s="182" customFormat="1" x14ac:dyDescent="0.25">
      <c r="A244" s="179">
        <f>'B) D RI'!A245</f>
        <v>5806</v>
      </c>
      <c r="B244" s="180" t="str">
        <f>'B) D RI'!B245</f>
        <v>Jorat-Mézières</v>
      </c>
      <c r="C244" s="376">
        <f>'B) D RI'!S245</f>
        <v>76</v>
      </c>
      <c r="D244" s="181">
        <f>'B) D RI'!AA245</f>
        <v>2814</v>
      </c>
      <c r="E244" s="374">
        <f>'D) Ecrêtage'!M243</f>
        <v>90980.17</v>
      </c>
      <c r="F244" s="378">
        <f>'E) Fact soc'!G249</f>
        <v>1693820.2176094356</v>
      </c>
      <c r="G244" s="375">
        <f>'H) Péréquation directe'!I254</f>
        <v>145211.37584473146</v>
      </c>
      <c r="H244" s="378">
        <f>'I) Dépenses thématiques'!O243</f>
        <v>-265853.33396878245</v>
      </c>
      <c r="I244" s="375">
        <f>'K) Plafonnement aide'!J243</f>
        <v>0</v>
      </c>
      <c r="J244" s="378">
        <f>'J) Plafonnement effort'!I243</f>
        <v>0</v>
      </c>
      <c r="K244" s="375">
        <f>'L) Plafonnement taux'!Q244</f>
        <v>0</v>
      </c>
      <c r="L244" s="373">
        <f>F244+G244+H244+I244+J244+K244</f>
        <v>1573178.2594853844</v>
      </c>
      <c r="M244" s="267">
        <f>'M) Police'!O244</f>
        <v>285446.71895461262</v>
      </c>
      <c r="N244" s="267">
        <f t="shared" ref="N244" si="13">L244+M244</f>
        <v>1858624.978439997</v>
      </c>
      <c r="P244" s="328"/>
      <c r="R244" s="381"/>
    </row>
    <row r="245" spans="1:18" s="182" customFormat="1" x14ac:dyDescent="0.25">
      <c r="A245" s="179">
        <f>'B) D RI'!A246</f>
        <v>5812</v>
      </c>
      <c r="B245" s="180" t="str">
        <f>'B) D RI'!B246</f>
        <v>Champtauroz</v>
      </c>
      <c r="C245" s="376">
        <f>'B) D RI'!S246</f>
        <v>77</v>
      </c>
      <c r="D245" s="181">
        <f>'B) D RI'!AA246</f>
        <v>130</v>
      </c>
      <c r="E245" s="374">
        <f>'D) Ecrêtage'!M244</f>
        <v>2326.5760389610391</v>
      </c>
      <c r="F245" s="378">
        <f>'E) Fact soc'!G250</f>
        <v>44880.211722728236</v>
      </c>
      <c r="G245" s="375">
        <f>'H) Péréquation directe'!I255</f>
        <v>-53321.57804209317</v>
      </c>
      <c r="H245" s="378">
        <f>'I) Dépenses thématiques'!O244</f>
        <v>-43080.51507888428</v>
      </c>
      <c r="I245" s="375">
        <f>'K) Plafonnement aide'!J244</f>
        <v>0</v>
      </c>
      <c r="J245" s="378">
        <f>'J) Plafonnement effort'!I244</f>
        <v>0</v>
      </c>
      <c r="K245" s="375">
        <f>'L) Plafonnement taux'!Q245</f>
        <v>0</v>
      </c>
      <c r="L245" s="373">
        <f t="shared" si="12"/>
        <v>-51521.881398249214</v>
      </c>
      <c r="M245" s="267">
        <f>'M) Police'!O245</f>
        <v>7266.0992953695941</v>
      </c>
      <c r="N245" s="267">
        <f t="shared" si="9"/>
        <v>-44255.782102879617</v>
      </c>
      <c r="P245" s="328"/>
      <c r="R245" s="381"/>
    </row>
    <row r="246" spans="1:18" s="182" customFormat="1" x14ac:dyDescent="0.25">
      <c r="A246" s="179">
        <f>'B) D RI'!A247</f>
        <v>5813</v>
      </c>
      <c r="B246" s="180" t="str">
        <f>'B) D RI'!B247</f>
        <v>Chevroux</v>
      </c>
      <c r="C246" s="376">
        <f>'B) D RI'!S247</f>
        <v>70</v>
      </c>
      <c r="D246" s="181">
        <f>'B) D RI'!AA247</f>
        <v>446</v>
      </c>
      <c r="E246" s="374">
        <f>'D) Ecrêtage'!M245</f>
        <v>11503.329976190478</v>
      </c>
      <c r="F246" s="378">
        <f>'E) Fact soc'!G251</f>
        <v>206144.33054294501</v>
      </c>
      <c r="G246" s="375">
        <f>'H) Péréquation directe'!I256</f>
        <v>2267.9187265696528</v>
      </c>
      <c r="H246" s="378">
        <f>'I) Dépenses thématiques'!O245</f>
        <v>-37276.600312740324</v>
      </c>
      <c r="I246" s="375">
        <f>'K) Plafonnement aide'!J245</f>
        <v>0</v>
      </c>
      <c r="J246" s="378">
        <f>'J) Plafonnement effort'!I245</f>
        <v>0</v>
      </c>
      <c r="K246" s="375">
        <f>'L) Plafonnement taux'!Q246</f>
        <v>0</v>
      </c>
      <c r="L246" s="373">
        <f t="shared" si="12"/>
        <v>171135.64895677433</v>
      </c>
      <c r="M246" s="267">
        <f>'M) Police'!O246</f>
        <v>35885.16692848906</v>
      </c>
      <c r="N246" s="267">
        <f t="shared" si="9"/>
        <v>207020.81588526338</v>
      </c>
      <c r="P246" s="328"/>
      <c r="R246" s="381"/>
    </row>
    <row r="247" spans="1:18" s="182" customFormat="1" x14ac:dyDescent="0.25">
      <c r="A247" s="179">
        <f>'B) D RI'!A248</f>
        <v>5816</v>
      </c>
      <c r="B247" s="180" t="str">
        <f>'B) D RI'!B248</f>
        <v>Corcelles-près-Payerne</v>
      </c>
      <c r="C247" s="376">
        <f>'B) D RI'!S248</f>
        <v>72</v>
      </c>
      <c r="D247" s="181">
        <f>'B) D RI'!AA248</f>
        <v>2393</v>
      </c>
      <c r="E247" s="374">
        <f>'D) Ecrêtage'!M246</f>
        <v>56641.066845238092</v>
      </c>
      <c r="F247" s="378">
        <f>'E) Fact soc'!G252</f>
        <v>982528.98729013372</v>
      </c>
      <c r="G247" s="375">
        <f>'H) Péréquation directe'!I257</f>
        <v>-584614.39691015449</v>
      </c>
      <c r="H247" s="378">
        <f>'I) Dépenses thématiques'!O246</f>
        <v>-324311.72988602513</v>
      </c>
      <c r="I247" s="375">
        <f>'K) Plafonnement aide'!J246</f>
        <v>0</v>
      </c>
      <c r="J247" s="378">
        <f>'J) Plafonnement effort'!I246</f>
        <v>0</v>
      </c>
      <c r="K247" s="375">
        <f>'L) Plafonnement taux'!Q247</f>
        <v>0</v>
      </c>
      <c r="L247" s="373">
        <f t="shared" si="12"/>
        <v>73602.860493954096</v>
      </c>
      <c r="M247" s="267">
        <f>'M) Police'!O247</f>
        <v>178135.14146395351</v>
      </c>
      <c r="N247" s="267">
        <f t="shared" si="9"/>
        <v>251738.0019579076</v>
      </c>
      <c r="P247" s="328"/>
      <c r="R247" s="381"/>
    </row>
    <row r="248" spans="1:18" s="182" customFormat="1" x14ac:dyDescent="0.25">
      <c r="A248" s="179">
        <f>'B) D RI'!A249</f>
        <v>5817</v>
      </c>
      <c r="B248" s="180" t="str">
        <f>'B) D RI'!B249</f>
        <v>Grandcour</v>
      </c>
      <c r="C248" s="376">
        <f>'B) D RI'!S249</f>
        <v>79.5</v>
      </c>
      <c r="D248" s="181">
        <f>'B) D RI'!AA249</f>
        <v>885</v>
      </c>
      <c r="E248" s="374">
        <f>'D) Ecrêtage'!M247</f>
        <v>20990.550314465407</v>
      </c>
      <c r="F248" s="378">
        <f>'E) Fact soc'!G253</f>
        <v>355579.57659723633</v>
      </c>
      <c r="G248" s="375">
        <f>'H) Péréquation directe'!I258</f>
        <v>-174114.03391356068</v>
      </c>
      <c r="H248" s="378">
        <f>'I) Dépenses thématiques'!O247</f>
        <v>-105141.12787002829</v>
      </c>
      <c r="I248" s="375">
        <f>'K) Plafonnement aide'!J247</f>
        <v>0</v>
      </c>
      <c r="J248" s="378">
        <f>'J) Plafonnement effort'!I247</f>
        <v>0</v>
      </c>
      <c r="K248" s="375">
        <f>'L) Plafonnement taux'!Q248</f>
        <v>0</v>
      </c>
      <c r="L248" s="373">
        <f t="shared" si="12"/>
        <v>76324.414813647367</v>
      </c>
      <c r="M248" s="267">
        <f>'M) Police'!O248</f>
        <v>66509.321323274839</v>
      </c>
      <c r="N248" s="267">
        <f t="shared" si="9"/>
        <v>142833.73613692221</v>
      </c>
      <c r="P248" s="328"/>
      <c r="R248" s="381"/>
    </row>
    <row r="249" spans="1:18" s="182" customFormat="1" x14ac:dyDescent="0.25">
      <c r="A249" s="179">
        <f>'B) D RI'!A250</f>
        <v>5819</v>
      </c>
      <c r="B249" s="180" t="str">
        <f>'B) D RI'!B250</f>
        <v>Henniez</v>
      </c>
      <c r="C249" s="376">
        <f>'B) D RI'!S250</f>
        <v>67</v>
      </c>
      <c r="D249" s="181">
        <f>'B) D RI'!AA250</f>
        <v>338</v>
      </c>
      <c r="E249" s="374">
        <f>'D) Ecrêtage'!M248</f>
        <v>14949.743880597016</v>
      </c>
      <c r="F249" s="378">
        <f>'E) Fact soc'!G254</f>
        <v>249974.31792252182</v>
      </c>
      <c r="G249" s="375">
        <f>'H) Péréquation directe'!I259</f>
        <v>241290.16859407135</v>
      </c>
      <c r="H249" s="378">
        <f>'I) Dépenses thématiques'!O248</f>
        <v>-30625.885483885661</v>
      </c>
      <c r="I249" s="375">
        <f>'K) Plafonnement aide'!J248</f>
        <v>0</v>
      </c>
      <c r="J249" s="378">
        <f>'J) Plafonnement effort'!I248</f>
        <v>0</v>
      </c>
      <c r="K249" s="375">
        <f>'L) Plafonnement taux'!Q249</f>
        <v>0</v>
      </c>
      <c r="L249" s="373">
        <f t="shared" si="12"/>
        <v>460638.60103270749</v>
      </c>
      <c r="M249" s="267">
        <f>'M) Police'!O249</f>
        <v>47113.23272650021</v>
      </c>
      <c r="N249" s="267">
        <f t="shared" si="9"/>
        <v>507751.83375920769</v>
      </c>
      <c r="P249" s="328"/>
      <c r="R249" s="381"/>
    </row>
    <row r="250" spans="1:18" s="182" customFormat="1" x14ac:dyDescent="0.25">
      <c r="A250" s="179">
        <f>'B) D RI'!A251</f>
        <v>5821</v>
      </c>
      <c r="B250" s="180" t="str">
        <f>'B) D RI'!B251</f>
        <v>Missy</v>
      </c>
      <c r="C250" s="376">
        <f>'B) D RI'!S251</f>
        <v>72</v>
      </c>
      <c r="D250" s="181">
        <f>'B) D RI'!AA251</f>
        <v>361</v>
      </c>
      <c r="E250" s="374">
        <f>'D) Ecrêtage'!M249</f>
        <v>7776.2584722222218</v>
      </c>
      <c r="F250" s="378">
        <f>'E) Fact soc'!G255</f>
        <v>136854.2953409914</v>
      </c>
      <c r="G250" s="375">
        <f>'H) Péréquation directe'!I260</f>
        <v>-66733.479521441535</v>
      </c>
      <c r="H250" s="378">
        <f>'I) Dépenses thématiques'!O249</f>
        <v>-55412.842271781446</v>
      </c>
      <c r="I250" s="375">
        <f>'K) Plafonnement aide'!J249</f>
        <v>0</v>
      </c>
      <c r="J250" s="378">
        <f>'J) Plafonnement effort'!I249</f>
        <v>0</v>
      </c>
      <c r="K250" s="375">
        <f>'L) Plafonnement taux'!Q250</f>
        <v>0</v>
      </c>
      <c r="L250" s="373">
        <f t="shared" si="12"/>
        <v>14707.973547768423</v>
      </c>
      <c r="M250" s="267">
        <f>'M) Police'!O250</f>
        <v>24374.269630766845</v>
      </c>
      <c r="N250" s="267">
        <f t="shared" si="9"/>
        <v>39082.243178535267</v>
      </c>
      <c r="P250" s="328"/>
      <c r="R250" s="381"/>
    </row>
    <row r="251" spans="1:18" s="182" customFormat="1" x14ac:dyDescent="0.25">
      <c r="A251" s="179">
        <f>'B) D RI'!A252</f>
        <v>5822</v>
      </c>
      <c r="B251" s="180" t="str">
        <f>'B) D RI'!B252</f>
        <v>Payerne</v>
      </c>
      <c r="C251" s="376">
        <f>'B) D RI'!S252</f>
        <v>75</v>
      </c>
      <c r="D251" s="181">
        <f>'B) D RI'!AA252</f>
        <v>9301</v>
      </c>
      <c r="E251" s="374">
        <f>'D) Ecrêtage'!M250</f>
        <v>231493.6713333333</v>
      </c>
      <c r="F251" s="378">
        <f>'E) Fact soc'!G256</f>
        <v>4245168.3976395139</v>
      </c>
      <c r="G251" s="375">
        <f>'H) Péréquation directe'!I261</f>
        <v>-4300033.6679074457</v>
      </c>
      <c r="H251" s="378">
        <f>'I) Dépenses thématiques'!O250</f>
        <v>-1300613.0904574387</v>
      </c>
      <c r="I251" s="375">
        <f>'K) Plafonnement aide'!J250</f>
        <v>0</v>
      </c>
      <c r="J251" s="378">
        <f>'J) Plafonnement effort'!I250</f>
        <v>0</v>
      </c>
      <c r="K251" s="375">
        <f>'L) Plafonnement taux'!Q251</f>
        <v>0</v>
      </c>
      <c r="L251" s="373">
        <f t="shared" si="12"/>
        <v>-1355478.3607253705</v>
      </c>
      <c r="M251" s="267">
        <f>'M) Police'!O251</f>
        <v>727730.23195412988</v>
      </c>
      <c r="N251" s="267">
        <f t="shared" si="9"/>
        <v>-627748.12877124059</v>
      </c>
      <c r="P251" s="328"/>
      <c r="R251" s="381"/>
    </row>
    <row r="252" spans="1:18" s="182" customFormat="1" x14ac:dyDescent="0.25">
      <c r="A252" s="179">
        <f>'B) D RI'!A253</f>
        <v>5827</v>
      </c>
      <c r="B252" s="180" t="str">
        <f>'B) D RI'!B253</f>
        <v>Trey</v>
      </c>
      <c r="C252" s="376">
        <f>'B) D RI'!S253</f>
        <v>80</v>
      </c>
      <c r="D252" s="181">
        <f>'B) D RI'!AA253</f>
        <v>260</v>
      </c>
      <c r="E252" s="374">
        <f>'D) Ecrêtage'!M251</f>
        <v>6204.9173749999991</v>
      </c>
      <c r="F252" s="378">
        <f>'E) Fact soc'!G257</f>
        <v>130409.19250318741</v>
      </c>
      <c r="G252" s="375">
        <f>'H) Péréquation directe'!I262</f>
        <v>-51244.125869910436</v>
      </c>
      <c r="H252" s="378">
        <f>'I) Dépenses thématiques'!O251</f>
        <v>-48612.504442863996</v>
      </c>
      <c r="I252" s="375">
        <f>'K) Plafonnement aide'!J251</f>
        <v>0</v>
      </c>
      <c r="J252" s="378">
        <f>'J) Plafonnement effort'!I251</f>
        <v>0</v>
      </c>
      <c r="K252" s="375">
        <f>'L) Plafonnement taux'!Q252</f>
        <v>0</v>
      </c>
      <c r="L252" s="373">
        <f t="shared" si="12"/>
        <v>30552.56219041298</v>
      </c>
      <c r="M252" s="267">
        <f>'M) Police'!O252</f>
        <v>19606.122891727726</v>
      </c>
      <c r="N252" s="267">
        <f t="shared" si="9"/>
        <v>50158.685082140706</v>
      </c>
      <c r="P252" s="328"/>
      <c r="R252" s="381"/>
    </row>
    <row r="253" spans="1:18" s="182" customFormat="1" x14ac:dyDescent="0.25">
      <c r="A253" s="179">
        <f>'B) D RI'!A254</f>
        <v>5828</v>
      </c>
      <c r="B253" s="180" t="str">
        <f>'B) D RI'!B254</f>
        <v>Treytorrens (Payerne)</v>
      </c>
      <c r="C253" s="376">
        <f>'B) D RI'!S254</f>
        <v>84</v>
      </c>
      <c r="D253" s="181">
        <f>'B) D RI'!AA254</f>
        <v>131</v>
      </c>
      <c r="E253" s="374">
        <f>'D) Ecrêtage'!M252</f>
        <v>2352.5354761904764</v>
      </c>
      <c r="F253" s="378">
        <f>'E) Fact soc'!G258</f>
        <v>40713.84903467702</v>
      </c>
      <c r="G253" s="375">
        <f>'H) Péréquation directe'!I263</f>
        <v>-69492.768427914285</v>
      </c>
      <c r="H253" s="378">
        <f>'I) Dépenses thématiques'!O252</f>
        <v>-46728.936601685047</v>
      </c>
      <c r="I253" s="375">
        <f>'K) Plafonnement aide'!J252</f>
        <v>13487.438797999177</v>
      </c>
      <c r="J253" s="378">
        <f>'J) Plafonnement effort'!I252</f>
        <v>0</v>
      </c>
      <c r="K253" s="375">
        <f>'L) Plafonnement taux'!Q253</f>
        <v>0</v>
      </c>
      <c r="L253" s="373">
        <f t="shared" si="12"/>
        <v>-62020.417196923139</v>
      </c>
      <c r="M253" s="267">
        <f>'M) Police'!O253</f>
        <v>7442.9156363762568</v>
      </c>
      <c r="N253" s="267">
        <f t="shared" si="9"/>
        <v>-54577.50156054688</v>
      </c>
      <c r="P253" s="328"/>
      <c r="R253" s="381"/>
    </row>
    <row r="254" spans="1:18" s="182" customFormat="1" x14ac:dyDescent="0.25">
      <c r="A254" s="179">
        <f>'B) D RI'!A255</f>
        <v>5830</v>
      </c>
      <c r="B254" s="180" t="str">
        <f>'B) D RI'!B255</f>
        <v>Villarzel</v>
      </c>
      <c r="C254" s="376">
        <f>'B) D RI'!S255</f>
        <v>79</v>
      </c>
      <c r="D254" s="181">
        <f>'B) D RI'!AA255</f>
        <v>424</v>
      </c>
      <c r="E254" s="374">
        <f>'D) Ecrêtage'!M253</f>
        <v>9737.3892405063307</v>
      </c>
      <c r="F254" s="378">
        <f>'E) Fact soc'!G259</f>
        <v>175810.57625685414</v>
      </c>
      <c r="G254" s="375">
        <f>'H) Péréquation directe'!I264</f>
        <v>-94466.713821185986</v>
      </c>
      <c r="H254" s="378">
        <f>'I) Dépenses thématiques'!O253</f>
        <v>-100463.21220282531</v>
      </c>
      <c r="I254" s="375">
        <f>'K) Plafonnement aide'!J253</f>
        <v>0</v>
      </c>
      <c r="J254" s="378">
        <f>'J) Plafonnement effort'!I253</f>
        <v>0</v>
      </c>
      <c r="K254" s="375">
        <f>'L) Plafonnement taux'!Q254</f>
        <v>0</v>
      </c>
      <c r="L254" s="373">
        <f t="shared" si="12"/>
        <v>-19119.349767157153</v>
      </c>
      <c r="M254" s="267">
        <f>'M) Police'!O254</f>
        <v>30701.03516907325</v>
      </c>
      <c r="N254" s="267">
        <f t="shared" si="9"/>
        <v>11581.685401916096</v>
      </c>
      <c r="P254" s="328"/>
      <c r="R254" s="381"/>
    </row>
    <row r="255" spans="1:18" s="182" customFormat="1" x14ac:dyDescent="0.25">
      <c r="A255" s="179">
        <f>'B) D RI'!A256</f>
        <v>5831</v>
      </c>
      <c r="B255" s="180" t="str">
        <f>'B) D RI'!B256</f>
        <v>Valbroye</v>
      </c>
      <c r="C255" s="376">
        <f>'B) D RI'!S256</f>
        <v>73</v>
      </c>
      <c r="D255" s="181">
        <f>'B) D RI'!AA256</f>
        <v>2974</v>
      </c>
      <c r="E255" s="374">
        <f>'D) Ecrêtage'!M254</f>
        <v>75142.69210045661</v>
      </c>
      <c r="F255" s="378">
        <f>'E) Fact soc'!G260</f>
        <v>1306372.6638704627</v>
      </c>
      <c r="G255" s="375">
        <f>'H) Péréquation directe'!I265</f>
        <v>-633354.85023482423</v>
      </c>
      <c r="H255" s="378">
        <f>'I) Dépenses thématiques'!O254</f>
        <v>-782645.10169195198</v>
      </c>
      <c r="I255" s="375">
        <f>'K) Plafonnement aide'!J254</f>
        <v>0</v>
      </c>
      <c r="J255" s="378">
        <f>'J) Plafonnement effort'!I254</f>
        <v>0</v>
      </c>
      <c r="K255" s="375">
        <f>'L) Plafonnement taux'!Q255</f>
        <v>0</v>
      </c>
      <c r="L255" s="373">
        <f>F255+G255+H255+I255+J255+K255</f>
        <v>-109627.28805631353</v>
      </c>
      <c r="M255" s="267">
        <f>'M) Police'!O255</f>
        <v>237081.22403126853</v>
      </c>
      <c r="N255" s="267">
        <f t="shared" ref="N255:N314" si="14">L255+M255</f>
        <v>127453.93597495501</v>
      </c>
      <c r="P255" s="328"/>
      <c r="R255" s="381"/>
    </row>
    <row r="256" spans="1:18" s="182" customFormat="1" x14ac:dyDescent="0.25">
      <c r="A256" s="179">
        <f>'B) D RI'!A257</f>
        <v>5841</v>
      </c>
      <c r="B256" s="180" t="str">
        <f>'B) D RI'!B257</f>
        <v>Château-d'Oex</v>
      </c>
      <c r="C256" s="376">
        <f>'B) D RI'!S257</f>
        <v>83</v>
      </c>
      <c r="D256" s="181">
        <f>'B) D RI'!AA257</f>
        <v>3477</v>
      </c>
      <c r="E256" s="374">
        <f>'D) Ecrêtage'!M255</f>
        <v>106457.35927710844</v>
      </c>
      <c r="F256" s="378">
        <f>'E) Fact soc'!G261</f>
        <v>2193257.4052813496</v>
      </c>
      <c r="G256" s="375">
        <f>'H) Péréquation directe'!I266</f>
        <v>-425234.43519792007</v>
      </c>
      <c r="H256" s="378">
        <f>'I) Dépenses thématiques'!O255</f>
        <v>-1943827.4825422375</v>
      </c>
      <c r="I256" s="375">
        <f>'K) Plafonnement aide'!J255</f>
        <v>0</v>
      </c>
      <c r="J256" s="378">
        <f>'J) Plafonnement effort'!I255</f>
        <v>0</v>
      </c>
      <c r="K256" s="375">
        <f>'L) Plafonnement taux'!Q256</f>
        <v>0</v>
      </c>
      <c r="L256" s="373">
        <f t="shared" si="12"/>
        <v>-175804.51245880802</v>
      </c>
      <c r="M256" s="267">
        <f>'M) Police'!O256</f>
        <v>329328.64361867652</v>
      </c>
      <c r="N256" s="267">
        <f t="shared" si="14"/>
        <v>153524.1311598685</v>
      </c>
      <c r="P256" s="328"/>
      <c r="R256" s="381"/>
    </row>
    <row r="257" spans="1:18" s="182" customFormat="1" x14ac:dyDescent="0.25">
      <c r="A257" s="179">
        <f>'B) D RI'!A258</f>
        <v>5842</v>
      </c>
      <c r="B257" s="180" t="str">
        <f>'B) D RI'!B258</f>
        <v>Rossinière</v>
      </c>
      <c r="C257" s="376">
        <f>'B) D RI'!S258</f>
        <v>81</v>
      </c>
      <c r="D257" s="181">
        <f>'B) D RI'!AA258</f>
        <v>546</v>
      </c>
      <c r="E257" s="374">
        <f>'D) Ecrêtage'!M256</f>
        <v>13519.399629629628</v>
      </c>
      <c r="F257" s="378">
        <f>'E) Fact soc'!G262</f>
        <v>310802.56557317771</v>
      </c>
      <c r="G257" s="375">
        <f>'H) Péréquation directe'!I267</f>
        <v>-93136.822522982431</v>
      </c>
      <c r="H257" s="378">
        <f>'I) Dépenses thématiques'!O256</f>
        <v>-201678.68146659323</v>
      </c>
      <c r="I257" s="375">
        <f>'K) Plafonnement aide'!J256</f>
        <v>0</v>
      </c>
      <c r="J257" s="378">
        <f>'J) Plafonnement effort'!I256</f>
        <v>0</v>
      </c>
      <c r="K257" s="375">
        <f>'L) Plafonnement taux'!Q257</f>
        <v>0</v>
      </c>
      <c r="L257" s="373">
        <f t="shared" si="12"/>
        <v>15987.061583602044</v>
      </c>
      <c r="M257" s="267">
        <f>'M) Police'!O257</f>
        <v>42553.828963672058</v>
      </c>
      <c r="N257" s="267">
        <f t="shared" si="14"/>
        <v>58540.890547274103</v>
      </c>
      <c r="P257" s="328"/>
      <c r="R257" s="381"/>
    </row>
    <row r="258" spans="1:18" s="182" customFormat="1" x14ac:dyDescent="0.25">
      <c r="A258" s="179">
        <f>'B) D RI'!A259</f>
        <v>5843</v>
      </c>
      <c r="B258" s="180" t="str">
        <f>'B) D RI'!B259</f>
        <v>Rougemont</v>
      </c>
      <c r="C258" s="376">
        <f>'B) D RI'!S259</f>
        <v>69</v>
      </c>
      <c r="D258" s="181">
        <f>'B) D RI'!AA259</f>
        <v>892</v>
      </c>
      <c r="E258" s="374">
        <f>'D) Ecrêtage'!M257</f>
        <v>79766.061543453106</v>
      </c>
      <c r="F258" s="378">
        <f>'E) Fact soc'!G263</f>
        <v>3211933.7771427855</v>
      </c>
      <c r="G258" s="375">
        <f>'H) Péréquation directe'!I268</f>
        <v>1412187.4675768428</v>
      </c>
      <c r="H258" s="378">
        <f>'I) Dépenses thématiques'!O257</f>
        <v>-984122.64931240596</v>
      </c>
      <c r="I258" s="375">
        <f>'K) Plafonnement aide'!J257</f>
        <v>0</v>
      </c>
      <c r="J258" s="378">
        <f>'J) Plafonnement effort'!I257</f>
        <v>0</v>
      </c>
      <c r="K258" s="375">
        <f>'L) Plafonnement taux'!Q258</f>
        <v>0</v>
      </c>
      <c r="L258" s="373">
        <f t="shared" si="12"/>
        <v>3639998.5954072224</v>
      </c>
      <c r="M258" s="267">
        <f>'M) Police'!O258</f>
        <v>181213.7870501334</v>
      </c>
      <c r="N258" s="267">
        <f t="shared" si="14"/>
        <v>3821212.382457356</v>
      </c>
      <c r="P258" s="328"/>
      <c r="R258" s="381"/>
    </row>
    <row r="259" spans="1:18" s="182" customFormat="1" x14ac:dyDescent="0.25">
      <c r="A259" s="179">
        <f>'B) D RI'!A260</f>
        <v>5851</v>
      </c>
      <c r="B259" s="180" t="str">
        <f>'B) D RI'!B260</f>
        <v>Allaman</v>
      </c>
      <c r="C259" s="376">
        <f>'B) D RI'!S260</f>
        <v>62</v>
      </c>
      <c r="D259" s="181">
        <f>'B) D RI'!AA260</f>
        <v>432</v>
      </c>
      <c r="E259" s="374">
        <f>'D) Ecrêtage'!M258</f>
        <v>26406.752515655604</v>
      </c>
      <c r="F259" s="378">
        <f>'E) Fact soc'!G264</f>
        <v>909012.39209880668</v>
      </c>
      <c r="G259" s="375">
        <f>'H) Péréquation directe'!I269</f>
        <v>454030.58187768125</v>
      </c>
      <c r="H259" s="378">
        <f>'I) Dépenses thématiques'!O258</f>
        <v>0</v>
      </c>
      <c r="I259" s="375">
        <f>'K) Plafonnement aide'!J258</f>
        <v>0</v>
      </c>
      <c r="J259" s="378">
        <f>'J) Plafonnement effort'!I258</f>
        <v>-152514.65828733833</v>
      </c>
      <c r="K259" s="375">
        <f>'L) Plafonnement taux'!Q259</f>
        <v>0</v>
      </c>
      <c r="L259" s="373">
        <f t="shared" si="12"/>
        <v>1210528.3156891498</v>
      </c>
      <c r="M259" s="267">
        <f>'M) Police'!O259</f>
        <v>71847.546556986665</v>
      </c>
      <c r="N259" s="267">
        <f t="shared" si="14"/>
        <v>1282375.8622461364</v>
      </c>
      <c r="P259" s="328"/>
      <c r="R259" s="381"/>
    </row>
    <row r="260" spans="1:18" s="182" customFormat="1" x14ac:dyDescent="0.25">
      <c r="A260" s="179">
        <f>'B) D RI'!A261</f>
        <v>5852</v>
      </c>
      <c r="B260" s="180" t="str">
        <f>'B) D RI'!B261</f>
        <v>Bursinel</v>
      </c>
      <c r="C260" s="376">
        <f>'B) D RI'!S261</f>
        <v>65.5</v>
      </c>
      <c r="D260" s="181">
        <f>'B) D RI'!AA261</f>
        <v>485</v>
      </c>
      <c r="E260" s="374">
        <f>'D) Ecrêtage'!M259</f>
        <v>29417.979610243983</v>
      </c>
      <c r="F260" s="378">
        <f>'E) Fact soc'!G265</f>
        <v>526886.07053510495</v>
      </c>
      <c r="G260" s="375">
        <f>'H) Péréquation directe'!I270</f>
        <v>505436.27579291572</v>
      </c>
      <c r="H260" s="378">
        <f>'I) Dépenses thématiques'!O259</f>
        <v>-34456.126915139524</v>
      </c>
      <c r="I260" s="375">
        <f>'K) Plafonnement aide'!J259</f>
        <v>0</v>
      </c>
      <c r="J260" s="378">
        <f>'J) Plafonnement effort'!I259</f>
        <v>0</v>
      </c>
      <c r="K260" s="375">
        <f>'L) Plafonnement taux'!Q260</f>
        <v>0</v>
      </c>
      <c r="L260" s="373">
        <f t="shared" si="12"/>
        <v>997866.21941288118</v>
      </c>
      <c r="M260" s="267">
        <f>'M) Police'!O260</f>
        <v>80364.698885323582</v>
      </c>
      <c r="N260" s="267">
        <f t="shared" si="14"/>
        <v>1078230.9182982047</v>
      </c>
      <c r="P260" s="328"/>
      <c r="R260" s="381"/>
    </row>
    <row r="261" spans="1:18" s="182" customFormat="1" x14ac:dyDescent="0.25">
      <c r="A261" s="179">
        <f>'B) D RI'!A262</f>
        <v>5853</v>
      </c>
      <c r="B261" s="180" t="str">
        <f>'B) D RI'!B262</f>
        <v>Bursins</v>
      </c>
      <c r="C261" s="376">
        <f>'B) D RI'!S262</f>
        <v>71</v>
      </c>
      <c r="D261" s="181">
        <f>'B) D RI'!AA262</f>
        <v>766</v>
      </c>
      <c r="E261" s="374">
        <f>'D) Ecrêtage'!M260</f>
        <v>40543.223380281692</v>
      </c>
      <c r="F261" s="378">
        <f>'E) Fact soc'!G266</f>
        <v>803376.13705280307</v>
      </c>
      <c r="G261" s="375">
        <f>'H) Péréquation directe'!I271</f>
        <v>686960.43880945013</v>
      </c>
      <c r="H261" s="378">
        <f>'I) Dépenses thématiques'!O260</f>
        <v>-33439.409403574085</v>
      </c>
      <c r="I261" s="375">
        <f>'K) Plafonnement aide'!J260</f>
        <v>0</v>
      </c>
      <c r="J261" s="378">
        <f>'J) Plafonnement effort'!I260</f>
        <v>0</v>
      </c>
      <c r="K261" s="375">
        <f>'L) Plafonnement taux'!Q261</f>
        <v>0</v>
      </c>
      <c r="L261" s="373">
        <f t="shared" si="12"/>
        <v>1456897.1664586789</v>
      </c>
      <c r="M261" s="267">
        <f>'M) Police'!O261</f>
        <v>119220.43380377626</v>
      </c>
      <c r="N261" s="267">
        <f t="shared" si="14"/>
        <v>1576117.6002624552</v>
      </c>
      <c r="P261" s="328"/>
      <c r="R261" s="381"/>
    </row>
    <row r="262" spans="1:18" s="182" customFormat="1" x14ac:dyDescent="0.25">
      <c r="A262" s="179">
        <f>'B) D RI'!A263</f>
        <v>5854</v>
      </c>
      <c r="B262" s="180" t="str">
        <f>'B) D RI'!B263</f>
        <v>Burtigny</v>
      </c>
      <c r="C262" s="376">
        <f>'B) D RI'!S263</f>
        <v>80</v>
      </c>
      <c r="D262" s="181">
        <f>'B) D RI'!AA263</f>
        <v>359</v>
      </c>
      <c r="E262" s="374">
        <f>'D) Ecrêtage'!M261</f>
        <v>10577.787833333332</v>
      </c>
      <c r="F262" s="378">
        <f>'E) Fact soc'!G267</f>
        <v>187034.95193861774</v>
      </c>
      <c r="G262" s="375">
        <f>'H) Péréquation directe'!I272</f>
        <v>18352.558151655394</v>
      </c>
      <c r="H262" s="378">
        <f>'I) Dépenses thématiques'!O261</f>
        <v>-28978.940111405343</v>
      </c>
      <c r="I262" s="375">
        <f>'K) Plafonnement aide'!J261</f>
        <v>0</v>
      </c>
      <c r="J262" s="378">
        <f>'J) Plafonnement effort'!I261</f>
        <v>0</v>
      </c>
      <c r="K262" s="375">
        <f>'L) Plafonnement taux'!Q262</f>
        <v>0</v>
      </c>
      <c r="L262" s="373">
        <f t="shared" si="12"/>
        <v>176408.5699788678</v>
      </c>
      <c r="M262" s="267">
        <f>'M) Police'!O262</f>
        <v>33356.076911079792</v>
      </c>
      <c r="N262" s="267">
        <f t="shared" si="14"/>
        <v>209764.64688994759</v>
      </c>
      <c r="P262" s="328"/>
      <c r="R262" s="381"/>
    </row>
    <row r="263" spans="1:18" s="182" customFormat="1" x14ac:dyDescent="0.25">
      <c r="A263" s="179">
        <f>'B) D RI'!A264</f>
        <v>5855</v>
      </c>
      <c r="B263" s="180" t="str">
        <f>'B) D RI'!B264</f>
        <v>Dully</v>
      </c>
      <c r="C263" s="376">
        <f>'B) D RI'!S264</f>
        <v>49</v>
      </c>
      <c r="D263" s="181">
        <f>'B) D RI'!AA264</f>
        <v>633</v>
      </c>
      <c r="E263" s="374">
        <f>'D) Ecrêtage'!M262</f>
        <v>68692.563814665671</v>
      </c>
      <c r="F263" s="378">
        <f>'E) Fact soc'!G268</f>
        <v>2547050.7839073734</v>
      </c>
      <c r="G263" s="375">
        <f>'H) Péréquation directe'!I273</f>
        <v>1229467.4593374501</v>
      </c>
      <c r="H263" s="378">
        <f>'I) Dépenses thématiques'!O262</f>
        <v>0</v>
      </c>
      <c r="I263" s="375">
        <f>'K) Plafonnement aide'!J262</f>
        <v>0</v>
      </c>
      <c r="J263" s="378">
        <f>'J) Plafonnement effort'!I262</f>
        <v>-204068.47385706854</v>
      </c>
      <c r="K263" s="375">
        <f>'L) Plafonnement taux'!Q263</f>
        <v>0</v>
      </c>
      <c r="L263" s="373">
        <f t="shared" si="12"/>
        <v>3572449.7693877551</v>
      </c>
      <c r="M263" s="267">
        <f>'M) Police'!O263</f>
        <v>144333.51040623747</v>
      </c>
      <c r="N263" s="267">
        <f t="shared" si="14"/>
        <v>3716783.2797939926</v>
      </c>
      <c r="P263" s="328"/>
      <c r="R263" s="381"/>
    </row>
    <row r="264" spans="1:18" s="182" customFormat="1" x14ac:dyDescent="0.25">
      <c r="A264" s="179">
        <f>'B) D RI'!A265</f>
        <v>5856</v>
      </c>
      <c r="B264" s="180" t="str">
        <f>'B) D RI'!B265</f>
        <v>Essertines-sur-Rolle</v>
      </c>
      <c r="C264" s="376">
        <f>'B) D RI'!S265</f>
        <v>68</v>
      </c>
      <c r="D264" s="181">
        <f>'B) D RI'!AA265</f>
        <v>695</v>
      </c>
      <c r="E264" s="374">
        <f>'D) Ecrêtage'!M263</f>
        <v>31862.802285067875</v>
      </c>
      <c r="F264" s="378">
        <f>'E) Fact soc'!G269</f>
        <v>539097.94430913753</v>
      </c>
      <c r="G264" s="375">
        <f>'H) Péréquation directe'!I274</f>
        <v>530710.93581841257</v>
      </c>
      <c r="H264" s="378">
        <f>'I) Dépenses thématiques'!O263</f>
        <v>0</v>
      </c>
      <c r="I264" s="375">
        <f>'K) Plafonnement aide'!J263</f>
        <v>0</v>
      </c>
      <c r="J264" s="378">
        <f>'J) Plafonnement effort'!I263</f>
        <v>0</v>
      </c>
      <c r="K264" s="375">
        <f>'L) Plafonnement taux'!Q264</f>
        <v>0</v>
      </c>
      <c r="L264" s="373">
        <f t="shared" si="12"/>
        <v>1069808.8801275501</v>
      </c>
      <c r="M264" s="267">
        <f>'M) Police'!O264</f>
        <v>100167.01851932584</v>
      </c>
      <c r="N264" s="267">
        <f t="shared" si="14"/>
        <v>1169975.898646876</v>
      </c>
      <c r="P264" s="328"/>
      <c r="R264" s="381"/>
    </row>
    <row r="265" spans="1:18" s="182" customFormat="1" x14ac:dyDescent="0.25">
      <c r="A265" s="179">
        <f>'B) D RI'!A266</f>
        <v>5857</v>
      </c>
      <c r="B265" s="180" t="str">
        <f>'B) D RI'!B266</f>
        <v>Gilly</v>
      </c>
      <c r="C265" s="376">
        <f>'B) D RI'!S266</f>
        <v>66</v>
      </c>
      <c r="D265" s="181">
        <f>'B) D RI'!AA266</f>
        <v>1230</v>
      </c>
      <c r="E265" s="374">
        <f>'D) Ecrêtage'!M264</f>
        <v>62540.44560606061</v>
      </c>
      <c r="F265" s="378">
        <f>'E) Fact soc'!G270</f>
        <v>1460104.4475267315</v>
      </c>
      <c r="G265" s="375">
        <f>'H) Péréquation directe'!I275</f>
        <v>998217.52774334233</v>
      </c>
      <c r="H265" s="378">
        <f>'I) Dépenses thématiques'!O264</f>
        <v>0</v>
      </c>
      <c r="I265" s="375">
        <f>'K) Plafonnement aide'!J264</f>
        <v>0</v>
      </c>
      <c r="J265" s="378">
        <f>'J) Plafonnement effort'!I264</f>
        <v>0</v>
      </c>
      <c r="K265" s="375">
        <f>'L) Plafonnement taux'!Q265</f>
        <v>0</v>
      </c>
      <c r="L265" s="373">
        <f t="shared" si="12"/>
        <v>2458321.9752700739</v>
      </c>
      <c r="M265" s="267">
        <f>'M) Police'!O265</f>
        <v>188102.50285321652</v>
      </c>
      <c r="N265" s="267">
        <f t="shared" si="14"/>
        <v>2646424.4781232905</v>
      </c>
      <c r="P265" s="328"/>
      <c r="R265" s="381"/>
    </row>
    <row r="266" spans="1:18" s="182" customFormat="1" x14ac:dyDescent="0.25">
      <c r="A266" s="179">
        <f>'B) D RI'!A267</f>
        <v>5858</v>
      </c>
      <c r="B266" s="180" t="str">
        <f>'B) D RI'!B267</f>
        <v>Luins</v>
      </c>
      <c r="C266" s="376">
        <f>'B) D RI'!S267</f>
        <v>60</v>
      </c>
      <c r="D266" s="181">
        <f>'B) D RI'!AA267</f>
        <v>625</v>
      </c>
      <c r="E266" s="374">
        <f>'D) Ecrêtage'!M265</f>
        <v>35027.999071405589</v>
      </c>
      <c r="F266" s="378">
        <f>'E) Fact soc'!G271</f>
        <v>532494.14520653698</v>
      </c>
      <c r="G266" s="375">
        <f>'H) Péréquation directe'!I276</f>
        <v>597139.04194549646</v>
      </c>
      <c r="H266" s="378">
        <f>'I) Dépenses thématiques'!O265</f>
        <v>0</v>
      </c>
      <c r="I266" s="375">
        <f>'K) Plafonnement aide'!J265</f>
        <v>0</v>
      </c>
      <c r="J266" s="378">
        <f>'J) Plafonnement effort'!I265</f>
        <v>0</v>
      </c>
      <c r="K266" s="375">
        <f>'L) Plafonnement taux'!Q266</f>
        <v>0</v>
      </c>
      <c r="L266" s="373">
        <f t="shared" ref="L266:L315" si="15">F266+G266+H266+I266+J266+K266</f>
        <v>1129633.1871520334</v>
      </c>
      <c r="M266" s="267">
        <f>'M) Police'!O266</f>
        <v>99810.90879740598</v>
      </c>
      <c r="N266" s="267">
        <f t="shared" si="14"/>
        <v>1229444.0959494393</v>
      </c>
      <c r="P266" s="328"/>
      <c r="R266" s="381"/>
    </row>
    <row r="267" spans="1:18" s="182" customFormat="1" x14ac:dyDescent="0.25">
      <c r="A267" s="179">
        <f>'B) D RI'!A268</f>
        <v>5859</v>
      </c>
      <c r="B267" s="180" t="str">
        <f>'B) D RI'!B268</f>
        <v>Mont-sur-Rolle</v>
      </c>
      <c r="C267" s="376">
        <f>'B) D RI'!S268</f>
        <v>64</v>
      </c>
      <c r="D267" s="181">
        <f>'B) D RI'!AA268</f>
        <v>2660</v>
      </c>
      <c r="E267" s="374">
        <f>'D) Ecrêtage'!M266</f>
        <v>130430.38093750003</v>
      </c>
      <c r="F267" s="378">
        <f>'E) Fact soc'!G272</f>
        <v>2322611.1477026818</v>
      </c>
      <c r="G267" s="375">
        <f>'H) Péréquation directe'!I277</f>
        <v>1781547.9933925807</v>
      </c>
      <c r="H267" s="378">
        <f>'I) Dépenses thématiques'!O266</f>
        <v>0</v>
      </c>
      <c r="I267" s="375">
        <f>'K) Plafonnement aide'!J266</f>
        <v>0</v>
      </c>
      <c r="J267" s="378">
        <f>'J) Plafonnement effort'!I266</f>
        <v>0</v>
      </c>
      <c r="K267" s="375">
        <f>'L) Plafonnement taux'!Q267</f>
        <v>0</v>
      </c>
      <c r="L267" s="373">
        <f t="shared" si="15"/>
        <v>4104159.1410952625</v>
      </c>
      <c r="M267" s="267">
        <f>'M) Police'!O267</f>
        <v>400515.90386308264</v>
      </c>
      <c r="N267" s="267">
        <f t="shared" si="14"/>
        <v>4504675.0449583456</v>
      </c>
      <c r="P267" s="328"/>
      <c r="R267" s="381"/>
    </row>
    <row r="268" spans="1:18" s="182" customFormat="1" x14ac:dyDescent="0.25">
      <c r="A268" s="179">
        <f>'B) D RI'!A269</f>
        <v>5860</v>
      </c>
      <c r="B268" s="180" t="str">
        <f>'B) D RI'!B269</f>
        <v>Perroy</v>
      </c>
      <c r="C268" s="376">
        <f>'B) D RI'!S269</f>
        <v>60</v>
      </c>
      <c r="D268" s="181">
        <f>'B) D RI'!AA269</f>
        <v>1453</v>
      </c>
      <c r="E268" s="374">
        <f>'D) Ecrêtage'!M267</f>
        <v>90679.789505177716</v>
      </c>
      <c r="F268" s="378">
        <f>'E) Fact soc'!G273</f>
        <v>1869054.8463160102</v>
      </c>
      <c r="G268" s="375">
        <f>'H) Péréquation directe'!I278</f>
        <v>1450473.1668090587</v>
      </c>
      <c r="H268" s="378">
        <f>'I) Dépenses thématiques'!O267</f>
        <v>0</v>
      </c>
      <c r="I268" s="375">
        <f>'K) Plafonnement aide'!J267</f>
        <v>0</v>
      </c>
      <c r="J268" s="378">
        <f>'J) Plafonnement effort'!I267</f>
        <v>0</v>
      </c>
      <c r="K268" s="375">
        <f>'L) Plafonnement taux'!Q268</f>
        <v>0</v>
      </c>
      <c r="L268" s="373">
        <f t="shared" si="15"/>
        <v>3319528.013125069</v>
      </c>
      <c r="M268" s="267">
        <f>'M) Police'!O268</f>
        <v>244078.91059216368</v>
      </c>
      <c r="N268" s="267">
        <f t="shared" si="14"/>
        <v>3563606.9237172324</v>
      </c>
      <c r="P268" s="328"/>
      <c r="R268" s="381"/>
    </row>
    <row r="269" spans="1:18" s="182" customFormat="1" x14ac:dyDescent="0.25">
      <c r="A269" s="179">
        <f>'B) D RI'!A270</f>
        <v>5861</v>
      </c>
      <c r="B269" s="180" t="str">
        <f>'B) D RI'!B270</f>
        <v>Rolle</v>
      </c>
      <c r="C269" s="376">
        <f>'B) D RI'!S270</f>
        <v>59.5</v>
      </c>
      <c r="D269" s="181">
        <f>'B) D RI'!AA270</f>
        <v>6142</v>
      </c>
      <c r="E269" s="374">
        <f>'D) Ecrêtage'!M268</f>
        <v>712955.93825545628</v>
      </c>
      <c r="F269" s="378">
        <f>'E) Fact soc'!G274</f>
        <v>26259772.659344018</v>
      </c>
      <c r="G269" s="375">
        <f>'H) Péréquation directe'!I279</f>
        <v>10958104.245836318</v>
      </c>
      <c r="H269" s="378">
        <f>'I) Dépenses thématiques'!O268</f>
        <v>0</v>
      </c>
      <c r="I269" s="375">
        <f>'K) Plafonnement aide'!J268</f>
        <v>0</v>
      </c>
      <c r="J269" s="378">
        <f>'J) Plafonnement effort'!I268</f>
        <v>0</v>
      </c>
      <c r="K269" s="375">
        <f>'L) Plafonnement taux'!Q269</f>
        <v>0</v>
      </c>
      <c r="L269" s="373">
        <f t="shared" si="15"/>
        <v>37217876.905180335</v>
      </c>
      <c r="M269" s="267">
        <f>'M) Police'!O269</f>
        <v>1460919.1263146489</v>
      </c>
      <c r="N269" s="267">
        <f t="shared" si="14"/>
        <v>38678796.031494983</v>
      </c>
      <c r="P269" s="328"/>
      <c r="R269" s="381"/>
    </row>
    <row r="270" spans="1:18" s="182" customFormat="1" x14ac:dyDescent="0.25">
      <c r="A270" s="179">
        <f>'B) D RI'!A271</f>
        <v>5862</v>
      </c>
      <c r="B270" s="180" t="str">
        <f>'B) D RI'!B271</f>
        <v>Tartegnin</v>
      </c>
      <c r="C270" s="376">
        <f>'B) D RI'!S271</f>
        <v>84</v>
      </c>
      <c r="D270" s="181">
        <f>'B) D RI'!AA271</f>
        <v>236</v>
      </c>
      <c r="E270" s="374">
        <f>'D) Ecrêtage'!M269</f>
        <v>8301.4215873015874</v>
      </c>
      <c r="F270" s="378">
        <f>'E) Fact soc'!G275</f>
        <v>152979.72809473585</v>
      </c>
      <c r="G270" s="375">
        <f>'H) Péréquation directe'!I280</f>
        <v>65551.405820576809</v>
      </c>
      <c r="H270" s="378">
        <f>'I) Dépenses thématiques'!O269</f>
        <v>0</v>
      </c>
      <c r="I270" s="375">
        <f>'K) Plafonnement aide'!J269</f>
        <v>0</v>
      </c>
      <c r="J270" s="378">
        <f>'J) Plafonnement effort'!I269</f>
        <v>0</v>
      </c>
      <c r="K270" s="375">
        <f>'L) Plafonnement taux'!Q270</f>
        <v>0</v>
      </c>
      <c r="L270" s="373">
        <f t="shared" si="15"/>
        <v>218531.13391531265</v>
      </c>
      <c r="M270" s="267">
        <f>'M) Police'!O270</f>
        <v>26333.273809334183</v>
      </c>
      <c r="N270" s="267">
        <f t="shared" si="14"/>
        <v>244864.40772464682</v>
      </c>
      <c r="P270" s="328"/>
      <c r="R270" s="381"/>
    </row>
    <row r="271" spans="1:18" s="182" customFormat="1" x14ac:dyDescent="0.25">
      <c r="A271" s="179">
        <f>'B) D RI'!A272</f>
        <v>5863</v>
      </c>
      <c r="B271" s="180" t="str">
        <f>'B) D RI'!B272</f>
        <v>Vinzel</v>
      </c>
      <c r="C271" s="376">
        <f>'B) D RI'!S272</f>
        <v>70</v>
      </c>
      <c r="D271" s="181">
        <f>'B) D RI'!AA272</f>
        <v>352</v>
      </c>
      <c r="E271" s="374">
        <f>'D) Ecrêtage'!M270</f>
        <v>23656.271771824515</v>
      </c>
      <c r="F271" s="378">
        <f>'E) Fact soc'!G276</f>
        <v>493247.55759369198</v>
      </c>
      <c r="G271" s="375">
        <f>'H) Péréquation directe'!I281</f>
        <v>410190.6209936036</v>
      </c>
      <c r="H271" s="378">
        <f>'I) Dépenses thématiques'!O270</f>
        <v>0</v>
      </c>
      <c r="I271" s="375">
        <f>'K) Plafonnement aide'!J270</f>
        <v>0</v>
      </c>
      <c r="J271" s="378">
        <f>'J) Plafonnement effort'!I270</f>
        <v>0</v>
      </c>
      <c r="K271" s="375">
        <f>'L) Plafonnement taux'!Q271</f>
        <v>0</v>
      </c>
      <c r="L271" s="373">
        <f t="shared" si="15"/>
        <v>903438.17858729558</v>
      </c>
      <c r="M271" s="267">
        <f>'M) Police'!O271</f>
        <v>61328.121186067598</v>
      </c>
      <c r="N271" s="267">
        <f t="shared" si="14"/>
        <v>964766.29977336316</v>
      </c>
      <c r="P271" s="328"/>
      <c r="R271" s="381"/>
    </row>
    <row r="272" spans="1:18" s="182" customFormat="1" x14ac:dyDescent="0.25">
      <c r="A272" s="179">
        <f>'B) D RI'!A273</f>
        <v>5871</v>
      </c>
      <c r="B272" s="180" t="str">
        <f>'B) D RI'!B273</f>
        <v>L'Abbaye</v>
      </c>
      <c r="C272" s="376">
        <f>'B) D RI'!S273</f>
        <v>77.23</v>
      </c>
      <c r="D272" s="181">
        <f>'B) D RI'!AA273</f>
        <v>1439</v>
      </c>
      <c r="E272" s="374">
        <f>'D) Ecrêtage'!M271</f>
        <v>48996.378091415252</v>
      </c>
      <c r="F272" s="378">
        <f>'E) Fact soc'!G277</f>
        <v>1034165.7644592854</v>
      </c>
      <c r="G272" s="375">
        <f>'H) Péréquation directe'!I282</f>
        <v>285927.73699025065</v>
      </c>
      <c r="H272" s="378">
        <f>'I) Dépenses thématiques'!O271</f>
        <v>-240976.72583833747</v>
      </c>
      <c r="I272" s="375">
        <f>'K) Plafonnement aide'!J271</f>
        <v>0</v>
      </c>
      <c r="J272" s="378">
        <f>'J) Plafonnement effort'!I271</f>
        <v>0</v>
      </c>
      <c r="K272" s="375">
        <f>'L) Plafonnement taux'!Q272</f>
        <v>0</v>
      </c>
      <c r="L272" s="373">
        <f t="shared" si="15"/>
        <v>1079116.7756111985</v>
      </c>
      <c r="M272" s="267">
        <f>'M) Police'!O272</f>
        <v>155538.73276265652</v>
      </c>
      <c r="N272" s="267">
        <f t="shared" si="14"/>
        <v>1234655.5083738551</v>
      </c>
      <c r="P272" s="328"/>
      <c r="R272" s="381"/>
    </row>
    <row r="273" spans="1:18" s="182" customFormat="1" x14ac:dyDescent="0.25">
      <c r="A273" s="179">
        <f>'B) D RI'!A274</f>
        <v>5872</v>
      </c>
      <c r="B273" s="180" t="str">
        <f>'B) D RI'!B274</f>
        <v>Le Chenit</v>
      </c>
      <c r="C273" s="376">
        <f>'B) D RI'!S274</f>
        <v>69.7</v>
      </c>
      <c r="D273" s="181">
        <f>'B) D RI'!AA274</f>
        <v>4608</v>
      </c>
      <c r="E273" s="374">
        <f>'D) Ecrêtage'!M272</f>
        <v>305110.86205505329</v>
      </c>
      <c r="F273" s="378">
        <f>'E) Fact soc'!G278</f>
        <v>7799331.0608018357</v>
      </c>
      <c r="G273" s="375">
        <f>'H) Péréquation directe'!I283</f>
        <v>4156699.8785239644</v>
      </c>
      <c r="H273" s="378">
        <f>'I) Dépenses thématiques'!O272</f>
        <v>-1298771.48268088</v>
      </c>
      <c r="I273" s="375">
        <f>'K) Plafonnement aide'!J272</f>
        <v>0</v>
      </c>
      <c r="J273" s="378">
        <f>'J) Plafonnement effort'!I272</f>
        <v>0</v>
      </c>
      <c r="K273" s="375">
        <f>'L) Plafonnement taux'!Q273</f>
        <v>0</v>
      </c>
      <c r="L273" s="373">
        <f t="shared" si="15"/>
        <v>10657259.456644921</v>
      </c>
      <c r="M273" s="267">
        <f>'M) Police'!O273</f>
        <v>796889.44431956916</v>
      </c>
      <c r="N273" s="267">
        <f t="shared" si="14"/>
        <v>11454148.900964489</v>
      </c>
      <c r="P273" s="328"/>
      <c r="R273" s="381"/>
    </row>
    <row r="274" spans="1:18" s="182" customFormat="1" x14ac:dyDescent="0.25">
      <c r="A274" s="179">
        <f>'B) D RI'!A275</f>
        <v>5873</v>
      </c>
      <c r="B274" s="180" t="str">
        <f>'B) D RI'!B275</f>
        <v>Le Lieu</v>
      </c>
      <c r="C274" s="376">
        <f>'B) D RI'!S275</f>
        <v>65</v>
      </c>
      <c r="D274" s="181">
        <f>'B) D RI'!AA275</f>
        <v>873</v>
      </c>
      <c r="E274" s="374">
        <f>'D) Ecrêtage'!M273</f>
        <v>30587.067025641027</v>
      </c>
      <c r="F274" s="378">
        <f>'E) Fact soc'!G279</f>
        <v>762813.13670527504</v>
      </c>
      <c r="G274" s="375">
        <f>'H) Péréquation directe'!I284</f>
        <v>338053.57680374285</v>
      </c>
      <c r="H274" s="378">
        <f>'I) Dépenses thématiques'!O273</f>
        <v>-941006.69097636384</v>
      </c>
      <c r="I274" s="375">
        <f>'K) Plafonnement aide'!J273</f>
        <v>0</v>
      </c>
      <c r="J274" s="378">
        <f>'J) Plafonnement effort'!I273</f>
        <v>0</v>
      </c>
      <c r="K274" s="375">
        <f>'L) Plafonnement taux'!Q274</f>
        <v>0</v>
      </c>
      <c r="L274" s="373">
        <f t="shared" si="15"/>
        <v>159860.02253265399</v>
      </c>
      <c r="M274" s="267">
        <f>'M) Police'!O274</f>
        <v>96834.00768696249</v>
      </c>
      <c r="N274" s="267">
        <f t="shared" si="14"/>
        <v>256694.03021961648</v>
      </c>
      <c r="P274" s="328"/>
      <c r="R274" s="381"/>
    </row>
    <row r="275" spans="1:18" s="182" customFormat="1" x14ac:dyDescent="0.25">
      <c r="A275" s="179">
        <f>'B) D RI'!A276</f>
        <v>5881</v>
      </c>
      <c r="B275" s="180" t="str">
        <f>'B) D RI'!B276</f>
        <v>Blonay</v>
      </c>
      <c r="C275" s="376">
        <f>'B) D RI'!S276</f>
        <v>70</v>
      </c>
      <c r="D275" s="181">
        <f>'B) D RI'!AA276</f>
        <v>6116</v>
      </c>
      <c r="E275" s="374">
        <f>'D) Ecrêtage'!M274</f>
        <v>332407.86157142854</v>
      </c>
      <c r="F275" s="378">
        <f>'E) Fact soc'!G280</f>
        <v>6450144.7916750982</v>
      </c>
      <c r="G275" s="375">
        <f>'H) Péréquation directe'!I285</f>
        <v>3816656.1085553216</v>
      </c>
      <c r="H275" s="378">
        <f>'I) Dépenses thématiques'!O274</f>
        <v>-906862.47510767251</v>
      </c>
      <c r="I275" s="375">
        <f>'K) Plafonnement aide'!J274</f>
        <v>0</v>
      </c>
      <c r="J275" s="378">
        <f>'J) Plafonnement effort'!I274</f>
        <v>0</v>
      </c>
      <c r="K275" s="375">
        <f>'L) Plafonnement taux'!Q275</f>
        <v>0</v>
      </c>
      <c r="L275" s="373">
        <f t="shared" si="15"/>
        <v>9359938.4251227472</v>
      </c>
      <c r="M275" s="267">
        <f>'M) Police'!O275</f>
        <v>432770.23044202069</v>
      </c>
      <c r="N275" s="267">
        <f t="shared" si="14"/>
        <v>9792708.6555647682</v>
      </c>
      <c r="P275" s="328"/>
      <c r="R275" s="381"/>
    </row>
    <row r="276" spans="1:18" s="182" customFormat="1" x14ac:dyDescent="0.25">
      <c r="A276" s="179">
        <f>'B) D RI'!A277</f>
        <v>5882</v>
      </c>
      <c r="B276" s="180" t="str">
        <f>'B) D RI'!B277</f>
        <v>Chardonne</v>
      </c>
      <c r="C276" s="376">
        <f>'B) D RI'!S277</f>
        <v>68</v>
      </c>
      <c r="D276" s="181">
        <f>'B) D RI'!AA277</f>
        <v>2916</v>
      </c>
      <c r="E276" s="374">
        <f>'D) Ecrêtage'!M275</f>
        <v>151089.46617647054</v>
      </c>
      <c r="F276" s="378">
        <f>'E) Fact soc'!G281</f>
        <v>2886903.4482290386</v>
      </c>
      <c r="G276" s="375">
        <f>'H) Péréquation directe'!I286</f>
        <v>2081737.8212478538</v>
      </c>
      <c r="H276" s="378">
        <f>'I) Dépenses thématiques'!O275</f>
        <v>-328980.57783023152</v>
      </c>
      <c r="I276" s="375">
        <f>'K) Plafonnement aide'!J275</f>
        <v>0</v>
      </c>
      <c r="J276" s="378">
        <f>'J) Plafonnement effort'!I275</f>
        <v>0</v>
      </c>
      <c r="K276" s="375">
        <f>'L) Plafonnement taux'!Q276</f>
        <v>0</v>
      </c>
      <c r="L276" s="373">
        <f t="shared" si="15"/>
        <v>4639660.6916466607</v>
      </c>
      <c r="M276" s="267">
        <f>'M) Police'!O276</f>
        <v>196707.21018883763</v>
      </c>
      <c r="N276" s="267">
        <f t="shared" si="14"/>
        <v>4836367.9018354984</v>
      </c>
      <c r="P276" s="328"/>
      <c r="R276" s="381"/>
    </row>
    <row r="277" spans="1:18" s="182" customFormat="1" x14ac:dyDescent="0.25">
      <c r="A277" s="179">
        <f>'B) D RI'!A278</f>
        <v>5883</v>
      </c>
      <c r="B277" s="180" t="str">
        <f>'B) D RI'!B278</f>
        <v>Corseaux</v>
      </c>
      <c r="C277" s="376">
        <f>'B) D RI'!S278</f>
        <v>64</v>
      </c>
      <c r="D277" s="181">
        <f>'B) D RI'!AA278</f>
        <v>2212</v>
      </c>
      <c r="E277" s="374">
        <f>'D) Ecrêtage'!M276</f>
        <v>146181.03827538589</v>
      </c>
      <c r="F277" s="378">
        <f>'E) Fact soc'!G282</f>
        <v>3315775.4023358594</v>
      </c>
      <c r="G277" s="375">
        <f>'H) Péréquation directe'!I287</f>
        <v>2232356.3913859092</v>
      </c>
      <c r="H277" s="378">
        <f>'I) Dépenses thématiques'!O276</f>
        <v>0</v>
      </c>
      <c r="I277" s="375">
        <f>'K) Plafonnement aide'!J276</f>
        <v>0</v>
      </c>
      <c r="J277" s="378">
        <f>'J) Plafonnement effort'!I276</f>
        <v>0</v>
      </c>
      <c r="K277" s="375">
        <f>'L) Plafonnement taux'!Q277</f>
        <v>0</v>
      </c>
      <c r="L277" s="373">
        <f t="shared" si="15"/>
        <v>5548131.793721769</v>
      </c>
      <c r="M277" s="267">
        <f>'M) Police'!O277</f>
        <v>190316.80334401038</v>
      </c>
      <c r="N277" s="267">
        <f t="shared" si="14"/>
        <v>5738448.5970657794</v>
      </c>
      <c r="P277" s="328"/>
      <c r="R277" s="381"/>
    </row>
    <row r="278" spans="1:18" s="182" customFormat="1" x14ac:dyDescent="0.25">
      <c r="A278" s="179">
        <f>'B) D RI'!A279</f>
        <v>5884</v>
      </c>
      <c r="B278" s="180" t="str">
        <f>'B) D RI'!B279</f>
        <v>Corsier-sur-Vevey</v>
      </c>
      <c r="C278" s="376">
        <f>'B) D RI'!S279</f>
        <v>66</v>
      </c>
      <c r="D278" s="181">
        <f>'B) D RI'!AA279</f>
        <v>3403</v>
      </c>
      <c r="E278" s="374">
        <f>'D) Ecrêtage'!M277</f>
        <v>116440.6211111111</v>
      </c>
      <c r="F278" s="378">
        <f>'E) Fact soc'!G283</f>
        <v>2097472.978034969</v>
      </c>
      <c r="G278" s="375">
        <f>'H) Péréquation directe'!I288</f>
        <v>546687.95382803469</v>
      </c>
      <c r="H278" s="378">
        <f>'I) Dépenses thématiques'!O277</f>
        <v>-937659.16279787046</v>
      </c>
      <c r="I278" s="375">
        <f>'K) Plafonnement aide'!J277</f>
        <v>0</v>
      </c>
      <c r="J278" s="378">
        <f>'J) Plafonnement effort'!I277</f>
        <v>0</v>
      </c>
      <c r="K278" s="375">
        <f>'L) Plafonnement taux'!Q278</f>
        <v>0</v>
      </c>
      <c r="L278" s="373">
        <f t="shared" si="15"/>
        <v>1706501.7690651328</v>
      </c>
      <c r="M278" s="267">
        <f>'M) Police'!O278</f>
        <v>151596.99951993831</v>
      </c>
      <c r="N278" s="267">
        <f t="shared" si="14"/>
        <v>1858098.7685850712</v>
      </c>
      <c r="P278" s="328"/>
      <c r="R278" s="381"/>
    </row>
    <row r="279" spans="1:18" s="182" customFormat="1" x14ac:dyDescent="0.25">
      <c r="A279" s="179">
        <f>'B) D RI'!A280</f>
        <v>5885</v>
      </c>
      <c r="B279" s="180" t="str">
        <f>'B) D RI'!B280</f>
        <v>Jongny</v>
      </c>
      <c r="C279" s="376">
        <f>'B) D RI'!S280</f>
        <v>71</v>
      </c>
      <c r="D279" s="181">
        <f>'B) D RI'!AA280</f>
        <v>1488</v>
      </c>
      <c r="E279" s="374">
        <f>'D) Ecrêtage'!M278</f>
        <v>81843.123028169022</v>
      </c>
      <c r="F279" s="378">
        <f>'E) Fact soc'!G284</f>
        <v>1453550.2369855621</v>
      </c>
      <c r="G279" s="375">
        <f>'H) Péréquation directe'!I289</f>
        <v>1272207.7493109079</v>
      </c>
      <c r="H279" s="378">
        <f>'I) Dépenses thématiques'!O278</f>
        <v>-69092.562254357777</v>
      </c>
      <c r="I279" s="375">
        <f>'K) Plafonnement aide'!J278</f>
        <v>0</v>
      </c>
      <c r="J279" s="378">
        <f>'J) Plafonnement effort'!I278</f>
        <v>0</v>
      </c>
      <c r="K279" s="375">
        <f>'L) Plafonnement taux'!Q279</f>
        <v>0</v>
      </c>
      <c r="L279" s="373">
        <f t="shared" si="15"/>
        <v>2656665.4240421127</v>
      </c>
      <c r="M279" s="267">
        <f>'M) Police'!O279</f>
        <v>106553.63879047243</v>
      </c>
      <c r="N279" s="267">
        <f t="shared" si="14"/>
        <v>2763219.0628325851</v>
      </c>
      <c r="P279" s="328"/>
      <c r="R279" s="381"/>
    </row>
    <row r="280" spans="1:18" s="182" customFormat="1" x14ac:dyDescent="0.25">
      <c r="A280" s="179">
        <f>'B) D RI'!A281</f>
        <v>5886</v>
      </c>
      <c r="B280" s="180" t="str">
        <f>'B) D RI'!B281</f>
        <v>Montreux</v>
      </c>
      <c r="C280" s="376">
        <f>'B) D RI'!S281</f>
        <v>65</v>
      </c>
      <c r="D280" s="181">
        <f>'B) D RI'!AA281</f>
        <v>26402</v>
      </c>
      <c r="E280" s="374">
        <f>'D) Ecrêtage'!M279</f>
        <v>1175239.0178974359</v>
      </c>
      <c r="F280" s="378">
        <f>'E) Fact soc'!G285</f>
        <v>24848167.552296158</v>
      </c>
      <c r="G280" s="375">
        <f>'H) Péréquation directe'!I290</f>
        <v>331298.11184677854</v>
      </c>
      <c r="H280" s="378">
        <f>'I) Dépenses thématiques'!O279</f>
        <v>-5267987.263045514</v>
      </c>
      <c r="I280" s="375">
        <f>'K) Plafonnement aide'!J279</f>
        <v>0</v>
      </c>
      <c r="J280" s="378">
        <f>'J) Plafonnement effort'!I279</f>
        <v>0</v>
      </c>
      <c r="K280" s="375">
        <f>'L) Plafonnement taux'!Q280</f>
        <v>0</v>
      </c>
      <c r="L280" s="373">
        <f t="shared" si="15"/>
        <v>19911478.401097424</v>
      </c>
      <c r="M280" s="267">
        <f>'M) Police'!O280</f>
        <v>1530073.5012569386</v>
      </c>
      <c r="N280" s="267">
        <f t="shared" si="14"/>
        <v>21441551.902354363</v>
      </c>
      <c r="P280" s="328"/>
      <c r="R280" s="381"/>
    </row>
    <row r="281" spans="1:18" s="182" customFormat="1" x14ac:dyDescent="0.25">
      <c r="A281" s="179">
        <f>'B) D RI'!A282</f>
        <v>5888</v>
      </c>
      <c r="B281" s="180" t="str">
        <f>'B) D RI'!B282</f>
        <v>Saint-Légier-La Chiésaz</v>
      </c>
      <c r="C281" s="376">
        <f>'B) D RI'!S282</f>
        <v>67</v>
      </c>
      <c r="D281" s="181">
        <f>'B) D RI'!AA282</f>
        <v>5130</v>
      </c>
      <c r="E281" s="374">
        <f>'D) Ecrêtage'!M280</f>
        <v>303486.51738409116</v>
      </c>
      <c r="F281" s="378">
        <f>'E) Fact soc'!G286</f>
        <v>5801847.0880207745</v>
      </c>
      <c r="G281" s="375">
        <f>'H) Péréquation directe'!I291</f>
        <v>3856010.5776456874</v>
      </c>
      <c r="H281" s="378">
        <f>'I) Dépenses thématiques'!O280</f>
        <v>-267815.63301965513</v>
      </c>
      <c r="I281" s="375">
        <f>'K) Plafonnement aide'!J280</f>
        <v>0</v>
      </c>
      <c r="J281" s="378">
        <f>'J) Plafonnement effort'!I280</f>
        <v>0</v>
      </c>
      <c r="K281" s="375">
        <f>'L) Plafonnement taux'!Q281</f>
        <v>0</v>
      </c>
      <c r="L281" s="373">
        <f t="shared" si="15"/>
        <v>9390042.032646805</v>
      </c>
      <c r="M281" s="267">
        <f>'M) Police'!O281</f>
        <v>395116.79851210985</v>
      </c>
      <c r="N281" s="267">
        <f t="shared" si="14"/>
        <v>9785158.8311589155</v>
      </c>
      <c r="P281" s="328"/>
      <c r="R281" s="381"/>
    </row>
    <row r="282" spans="1:18" s="182" customFormat="1" x14ac:dyDescent="0.25">
      <c r="A282" s="179">
        <f>'B) D RI'!A283</f>
        <v>5889</v>
      </c>
      <c r="B282" s="180" t="str">
        <f>'B) D RI'!B283</f>
        <v>La Tour-de-Peilz</v>
      </c>
      <c r="C282" s="376">
        <f>'B) D RI'!S283</f>
        <v>64</v>
      </c>
      <c r="D282" s="181">
        <f>'B) D RI'!AA283</f>
        <v>11637</v>
      </c>
      <c r="E282" s="374">
        <f>'D) Ecrêtage'!M281</f>
        <v>618611.02559895837</v>
      </c>
      <c r="F282" s="378">
        <f>'E) Fact soc'!G287</f>
        <v>11513196.862748839</v>
      </c>
      <c r="G282" s="375">
        <f>'H) Péréquation directe'!I292</f>
        <v>5283265.8294313196</v>
      </c>
      <c r="H282" s="378">
        <f>'I) Dépenses thématiques'!O281</f>
        <v>0</v>
      </c>
      <c r="I282" s="375">
        <f>'K) Plafonnement aide'!J281</f>
        <v>0</v>
      </c>
      <c r="J282" s="378">
        <f>'J) Plafonnement effort'!I281</f>
        <v>0</v>
      </c>
      <c r="K282" s="375">
        <f>'L) Plafonnement taux'!Q282</f>
        <v>0</v>
      </c>
      <c r="L282" s="373">
        <f t="shared" si="15"/>
        <v>16796462.692180157</v>
      </c>
      <c r="M282" s="267">
        <f>'M) Police'!O282</f>
        <v>805385.39262227539</v>
      </c>
      <c r="N282" s="267">
        <f t="shared" si="14"/>
        <v>17601848.084802434</v>
      </c>
      <c r="P282" s="328"/>
      <c r="R282" s="381"/>
    </row>
    <row r="283" spans="1:18" s="182" customFormat="1" x14ac:dyDescent="0.25">
      <c r="A283" s="179">
        <f>'B) D RI'!A284</f>
        <v>5890</v>
      </c>
      <c r="B283" s="180" t="str">
        <f>'B) D RI'!B284</f>
        <v>Vevey</v>
      </c>
      <c r="C283" s="376">
        <f>'B) D RI'!S284</f>
        <v>73</v>
      </c>
      <c r="D283" s="181">
        <f>'B) D RI'!AA284</f>
        <v>19605</v>
      </c>
      <c r="E283" s="374">
        <f>'D) Ecrêtage'!M282</f>
        <v>909212.90865296812</v>
      </c>
      <c r="F283" s="378">
        <f>'E) Fact soc'!G288</f>
        <v>16078937.269525735</v>
      </c>
      <c r="G283" s="375">
        <f>'H) Péréquation directe'!I293</f>
        <v>2719410.5085091125</v>
      </c>
      <c r="H283" s="378">
        <f>'I) Dépenses thématiques'!O282</f>
        <v>-1856598.0859346816</v>
      </c>
      <c r="I283" s="375">
        <f>'K) Plafonnement aide'!J282</f>
        <v>0</v>
      </c>
      <c r="J283" s="378">
        <f>'J) Plafonnement effort'!I282</f>
        <v>0</v>
      </c>
      <c r="K283" s="375">
        <f>'L) Plafonnement taux'!Q283</f>
        <v>0</v>
      </c>
      <c r="L283" s="373">
        <f t="shared" si="15"/>
        <v>16941749.692100167</v>
      </c>
      <c r="M283" s="267">
        <f>'M) Police'!O283</f>
        <v>1183727.3587287073</v>
      </c>
      <c r="N283" s="267">
        <f t="shared" si="14"/>
        <v>18125477.050828874</v>
      </c>
      <c r="P283" s="328"/>
      <c r="R283" s="381"/>
    </row>
    <row r="284" spans="1:18" s="182" customFormat="1" x14ac:dyDescent="0.25">
      <c r="A284" s="179">
        <f>'B) D RI'!A285</f>
        <v>5891</v>
      </c>
      <c r="B284" s="180" t="str">
        <f>'B) D RI'!B285</f>
        <v>Veytaux</v>
      </c>
      <c r="C284" s="376">
        <f>'B) D RI'!S285</f>
        <v>69</v>
      </c>
      <c r="D284" s="181">
        <f>'B) D RI'!AA285</f>
        <v>850</v>
      </c>
      <c r="E284" s="374">
        <f>'D) Ecrêtage'!M283</f>
        <v>39510.481835748789</v>
      </c>
      <c r="F284" s="378">
        <f>'E) Fact soc'!G289</f>
        <v>758273.68999530282</v>
      </c>
      <c r="G284" s="375">
        <f>'H) Péréquation directe'!I294</f>
        <v>659256.35636598372</v>
      </c>
      <c r="H284" s="378">
        <f>'I) Dépenses thématiques'!O283</f>
        <v>-296112.99100901204</v>
      </c>
      <c r="I284" s="375">
        <f>'K) Plafonnement aide'!J283</f>
        <v>0</v>
      </c>
      <c r="J284" s="378">
        <f>'J) Plafonnement effort'!I283</f>
        <v>0</v>
      </c>
      <c r="K284" s="375">
        <f>'L) Plafonnement taux'!Q284</f>
        <v>0</v>
      </c>
      <c r="L284" s="373">
        <f t="shared" si="15"/>
        <v>1121417.0553522746</v>
      </c>
      <c r="M284" s="267">
        <f>'M) Police'!O284</f>
        <v>51439.698953263214</v>
      </c>
      <c r="N284" s="267">
        <f t="shared" si="14"/>
        <v>1172856.7543055378</v>
      </c>
      <c r="P284" s="328"/>
      <c r="R284" s="381"/>
    </row>
    <row r="285" spans="1:18" s="182" customFormat="1" x14ac:dyDescent="0.25">
      <c r="A285" s="179">
        <f>'B) D RI'!A286</f>
        <v>5902</v>
      </c>
      <c r="B285" s="180" t="str">
        <f>'B) D RI'!B286</f>
        <v>Belmont-sur-Yverdon</v>
      </c>
      <c r="C285" s="376">
        <f>'B) D RI'!S286</f>
        <v>76</v>
      </c>
      <c r="D285" s="181">
        <f>'B) D RI'!AA286</f>
        <v>368</v>
      </c>
      <c r="E285" s="374">
        <f>'D) Ecrêtage'!M284</f>
        <v>9227.1448684210518</v>
      </c>
      <c r="F285" s="378">
        <f>'E) Fact soc'!G290</f>
        <v>147717.07002548085</v>
      </c>
      <c r="G285" s="375">
        <f>'H) Péréquation directe'!I295</f>
        <v>-34282.019786237244</v>
      </c>
      <c r="H285" s="378">
        <f>'I) Dépenses thématiques'!O284</f>
        <v>-7783.3853916067328</v>
      </c>
      <c r="I285" s="375">
        <f>'K) Plafonnement aide'!J284</f>
        <v>0</v>
      </c>
      <c r="J285" s="378">
        <f>'J) Plafonnement effort'!I284</f>
        <v>0</v>
      </c>
      <c r="K285" s="375">
        <f>'L) Plafonnement taux'!Q285</f>
        <v>0</v>
      </c>
      <c r="L285" s="373">
        <f t="shared" si="15"/>
        <v>105651.66484763687</v>
      </c>
      <c r="M285" s="267">
        <f>'M) Police'!O285</f>
        <v>29143.235902111031</v>
      </c>
      <c r="N285" s="267">
        <f t="shared" si="14"/>
        <v>134794.9007497479</v>
      </c>
      <c r="P285" s="328"/>
      <c r="R285" s="381"/>
    </row>
    <row r="286" spans="1:18" s="182" customFormat="1" x14ac:dyDescent="0.25">
      <c r="A286" s="179">
        <f>'B) D RI'!A287</f>
        <v>5903</v>
      </c>
      <c r="B286" s="180" t="str">
        <f>'B) D RI'!B287</f>
        <v>Bioley-Magnoux</v>
      </c>
      <c r="C286" s="376">
        <f>'B) D RI'!S287</f>
        <v>74</v>
      </c>
      <c r="D286" s="181">
        <f>'B) D RI'!AA287</f>
        <v>230</v>
      </c>
      <c r="E286" s="374">
        <f>'D) Ecrêtage'!M285</f>
        <v>5953.911158301159</v>
      </c>
      <c r="F286" s="378">
        <f>'E) Fact soc'!G291</f>
        <v>102956.83434367608</v>
      </c>
      <c r="G286" s="375">
        <f>'H) Péréquation directe'!I296</f>
        <v>-8259.9575734460959</v>
      </c>
      <c r="H286" s="378">
        <f>'I) Dépenses thématiques'!O285</f>
        <v>-227581.23008364477</v>
      </c>
      <c r="I286" s="375">
        <f>'K) Plafonnement aide'!J285</f>
        <v>0</v>
      </c>
      <c r="J286" s="378">
        <f>'J) Plafonnement effort'!I285</f>
        <v>0</v>
      </c>
      <c r="K286" s="375">
        <f>'L) Plafonnement taux'!Q286</f>
        <v>0</v>
      </c>
      <c r="L286" s="373">
        <f t="shared" si="15"/>
        <v>-132884.35331341479</v>
      </c>
      <c r="M286" s="267">
        <f>'M) Police'!O286</f>
        <v>18765.511271705349</v>
      </c>
      <c r="N286" s="267">
        <f t="shared" si="14"/>
        <v>-114118.84204170943</v>
      </c>
      <c r="P286" s="328"/>
      <c r="R286" s="381"/>
    </row>
    <row r="287" spans="1:18" s="182" customFormat="1" x14ac:dyDescent="0.25">
      <c r="A287" s="179">
        <f>'B) D RI'!A288</f>
        <v>5904</v>
      </c>
      <c r="B287" s="180" t="str">
        <f>'B) D RI'!B288</f>
        <v>Chamblon</v>
      </c>
      <c r="C287" s="376">
        <f>'B) D RI'!S288</f>
        <v>66</v>
      </c>
      <c r="D287" s="181">
        <f>'B) D RI'!AA288</f>
        <v>548</v>
      </c>
      <c r="E287" s="374">
        <f>'D) Ecrêtage'!M286</f>
        <v>22914.009848484849</v>
      </c>
      <c r="F287" s="378">
        <f>'E) Fact soc'!G292</f>
        <v>380278.40913082188</v>
      </c>
      <c r="G287" s="375">
        <f>'H) Péréquation directe'!I297</f>
        <v>343618.7766549791</v>
      </c>
      <c r="H287" s="378">
        <f>'I) Dépenses thématiques'!O286</f>
        <v>0</v>
      </c>
      <c r="I287" s="375">
        <f>'K) Plafonnement aide'!J286</f>
        <v>0</v>
      </c>
      <c r="J287" s="378">
        <f>'J) Plafonnement effort'!I286</f>
        <v>0</v>
      </c>
      <c r="K287" s="375">
        <f>'L) Plafonnement taux'!Q287</f>
        <v>0</v>
      </c>
      <c r="L287" s="373">
        <f t="shared" si="15"/>
        <v>723897.18578580092</v>
      </c>
      <c r="M287" s="267">
        <f>'M) Police'!O287</f>
        <v>29832.330906977179</v>
      </c>
      <c r="N287" s="267">
        <f t="shared" si="14"/>
        <v>753729.5166927781</v>
      </c>
      <c r="P287" s="328"/>
      <c r="R287" s="381"/>
    </row>
    <row r="288" spans="1:18" s="182" customFormat="1" x14ac:dyDescent="0.25">
      <c r="A288" s="179">
        <f>'B) D RI'!A289</f>
        <v>5905</v>
      </c>
      <c r="B288" s="180" t="str">
        <f>'B) D RI'!B289</f>
        <v>Champvent</v>
      </c>
      <c r="C288" s="376">
        <f>'B) D RI'!S289</f>
        <v>71</v>
      </c>
      <c r="D288" s="181">
        <f>'B) D RI'!AA289</f>
        <v>652</v>
      </c>
      <c r="E288" s="374">
        <f>'D) Ecrêtage'!M287</f>
        <v>21038.740140845071</v>
      </c>
      <c r="F288" s="378">
        <f>'E) Fact soc'!G293</f>
        <v>450986.14798039681</v>
      </c>
      <c r="G288" s="375">
        <f>'H) Péréquation directe'!I298</f>
        <v>160439.85484848008</v>
      </c>
      <c r="H288" s="378">
        <f>'I) Dépenses thématiques'!O287</f>
        <v>-46300.462404995793</v>
      </c>
      <c r="I288" s="375">
        <f>'K) Plafonnement aide'!J287</f>
        <v>0</v>
      </c>
      <c r="J288" s="378">
        <f>'J) Plafonnement effort'!I287</f>
        <v>0</v>
      </c>
      <c r="K288" s="375">
        <f>'L) Plafonnement taux'!Q288</f>
        <v>0</v>
      </c>
      <c r="L288" s="373">
        <f t="shared" si="15"/>
        <v>565125.54042388115</v>
      </c>
      <c r="M288" s="267">
        <f>'M) Police'!O288</f>
        <v>66920.962643922117</v>
      </c>
      <c r="N288" s="267">
        <f t="shared" si="14"/>
        <v>632046.50306780322</v>
      </c>
      <c r="P288" s="328"/>
      <c r="R288" s="381"/>
    </row>
    <row r="289" spans="1:18" s="182" customFormat="1" x14ac:dyDescent="0.25">
      <c r="A289" s="179">
        <f>'B) D RI'!A290</f>
        <v>5907</v>
      </c>
      <c r="B289" s="180" t="str">
        <f>'B) D RI'!B290</f>
        <v>Chavannes-le-Chêne</v>
      </c>
      <c r="C289" s="376">
        <f>'B) D RI'!S290</f>
        <v>78</v>
      </c>
      <c r="D289" s="181">
        <f>'B) D RI'!AA290</f>
        <v>300</v>
      </c>
      <c r="E289" s="374">
        <f>'D) Ecrêtage'!M288</f>
        <v>8819.3566666666684</v>
      </c>
      <c r="F289" s="378">
        <f>'E) Fact soc'!G294</f>
        <v>160554.08726606407</v>
      </c>
      <c r="G289" s="375">
        <f>'H) Péréquation directe'!I299</f>
        <v>20464.595668709022</v>
      </c>
      <c r="H289" s="378">
        <f>'I) Dépenses thématiques'!O288</f>
        <v>-74748.727484269621</v>
      </c>
      <c r="I289" s="375">
        <f>'K) Plafonnement aide'!J288</f>
        <v>0</v>
      </c>
      <c r="J289" s="378">
        <f>'J) Plafonnement effort'!I288</f>
        <v>0</v>
      </c>
      <c r="K289" s="375">
        <f>'L) Plafonnement taux'!Q289</f>
        <v>0</v>
      </c>
      <c r="L289" s="373">
        <f t="shared" si="15"/>
        <v>106269.95545050348</v>
      </c>
      <c r="M289" s="267">
        <f>'M) Police'!O289</f>
        <v>28133.283226123465</v>
      </c>
      <c r="N289" s="267">
        <f t="shared" si="14"/>
        <v>134403.23867662693</v>
      </c>
      <c r="P289" s="328"/>
      <c r="R289" s="381"/>
    </row>
    <row r="290" spans="1:18" s="182" customFormat="1" x14ac:dyDescent="0.25">
      <c r="A290" s="179">
        <f>'B) D RI'!A291</f>
        <v>5908</v>
      </c>
      <c r="B290" s="180" t="str">
        <f>'B) D RI'!B291</f>
        <v>Chêne-Pâquier</v>
      </c>
      <c r="C290" s="376">
        <f>'B) D RI'!S291</f>
        <v>79</v>
      </c>
      <c r="D290" s="181">
        <f>'B) D RI'!AA291</f>
        <v>140</v>
      </c>
      <c r="E290" s="374">
        <f>'D) Ecrêtage'!M289</f>
        <v>2915.1287341772154</v>
      </c>
      <c r="F290" s="378">
        <f>'E) Fact soc'!G295</f>
        <v>50051.955513714995</v>
      </c>
      <c r="G290" s="375">
        <f>'H) Péréquation directe'!I300</f>
        <v>-44301.996743948679</v>
      </c>
      <c r="H290" s="378">
        <f>'I) Dépenses thématiques'!O289</f>
        <v>-12912.630069977544</v>
      </c>
      <c r="I290" s="375">
        <f>'K) Plafonnement aide'!J289</f>
        <v>0</v>
      </c>
      <c r="J290" s="378">
        <f>'J) Plafonnement effort'!I289</f>
        <v>0</v>
      </c>
      <c r="K290" s="375">
        <f>'L) Plafonnement taux'!Q290</f>
        <v>0</v>
      </c>
      <c r="L290" s="373">
        <f t="shared" si="15"/>
        <v>-7162.6713002112283</v>
      </c>
      <c r="M290" s="267">
        <f>'M) Police'!O290</f>
        <v>9218.3324808533707</v>
      </c>
      <c r="N290" s="267">
        <f t="shared" si="14"/>
        <v>2055.6611806421424</v>
      </c>
      <c r="P290" s="328"/>
      <c r="R290" s="381"/>
    </row>
    <row r="291" spans="1:18" s="182" customFormat="1" x14ac:dyDescent="0.25">
      <c r="A291" s="179">
        <f>'B) D RI'!A292</f>
        <v>5909</v>
      </c>
      <c r="B291" s="180" t="str">
        <f>'B) D RI'!B292</f>
        <v>Cheseaux-Noréaz</v>
      </c>
      <c r="C291" s="376">
        <f>'B) D RI'!S292</f>
        <v>70</v>
      </c>
      <c r="D291" s="181">
        <f>'B) D RI'!AA292</f>
        <v>670</v>
      </c>
      <c r="E291" s="374">
        <f>'D) Ecrêtage'!M290</f>
        <v>24771.110857142852</v>
      </c>
      <c r="F291" s="378">
        <f>'E) Fact soc'!G296</f>
        <v>426123.12311014527</v>
      </c>
      <c r="G291" s="375">
        <f>'H) Péréquation directe'!I301</f>
        <v>290632.55480113323</v>
      </c>
      <c r="H291" s="378">
        <f>'I) Dépenses thématiques'!O290</f>
        <v>-124473.96857217782</v>
      </c>
      <c r="I291" s="375">
        <f>'K) Plafonnement aide'!J290</f>
        <v>0</v>
      </c>
      <c r="J291" s="378">
        <f>'J) Plafonnement effort'!I290</f>
        <v>0</v>
      </c>
      <c r="K291" s="375">
        <f>'L) Plafonnement taux'!Q291</f>
        <v>0</v>
      </c>
      <c r="L291" s="373">
        <f t="shared" si="15"/>
        <v>592281.70933910075</v>
      </c>
      <c r="M291" s="267">
        <f>'M) Police'!O291</f>
        <v>32250.137837510116</v>
      </c>
      <c r="N291" s="267">
        <f t="shared" si="14"/>
        <v>624531.84717661084</v>
      </c>
      <c r="P291" s="328"/>
      <c r="R291" s="381"/>
    </row>
    <row r="292" spans="1:18" s="182" customFormat="1" x14ac:dyDescent="0.25">
      <c r="A292" s="179">
        <f>'B) D RI'!A293</f>
        <v>5910</v>
      </c>
      <c r="B292" s="180" t="str">
        <f>'B) D RI'!B293</f>
        <v>Cronay</v>
      </c>
      <c r="C292" s="376">
        <f>'B) D RI'!S293</f>
        <v>79</v>
      </c>
      <c r="D292" s="181">
        <f>'B) D RI'!AA293</f>
        <v>380</v>
      </c>
      <c r="E292" s="374">
        <f>'D) Ecrêtage'!M291</f>
        <v>10097.267848101266</v>
      </c>
      <c r="F292" s="378">
        <f>'E) Fact soc'!G297</f>
        <v>171421.40399533397</v>
      </c>
      <c r="G292" s="375">
        <f>'H) Péréquation directe'!I302</f>
        <v>-24787.38143435918</v>
      </c>
      <c r="H292" s="378">
        <f>'I) Dépenses thématiques'!O291</f>
        <v>-120865.25705626838</v>
      </c>
      <c r="I292" s="375">
        <f>'K) Plafonnement aide'!J291</f>
        <v>0</v>
      </c>
      <c r="J292" s="378">
        <f>'J) Plafonnement effort'!I291</f>
        <v>0</v>
      </c>
      <c r="K292" s="375">
        <f>'L) Plafonnement taux'!Q292</f>
        <v>0</v>
      </c>
      <c r="L292" s="373">
        <f t="shared" si="15"/>
        <v>25768.765504706404</v>
      </c>
      <c r="M292" s="267">
        <f>'M) Police'!O292</f>
        <v>32063.614817846112</v>
      </c>
      <c r="N292" s="267">
        <f t="shared" si="14"/>
        <v>57832.380322552519</v>
      </c>
      <c r="P292" s="328"/>
      <c r="R292" s="381"/>
    </row>
    <row r="293" spans="1:18" s="182" customFormat="1" x14ac:dyDescent="0.25">
      <c r="A293" s="179">
        <f>'B) D RI'!A294</f>
        <v>5911</v>
      </c>
      <c r="B293" s="180" t="str">
        <f>'B) D RI'!B294</f>
        <v>Cuarny</v>
      </c>
      <c r="C293" s="376">
        <f>'B) D RI'!S294</f>
        <v>79</v>
      </c>
      <c r="D293" s="181">
        <f>'B) D RI'!AA294</f>
        <v>237</v>
      </c>
      <c r="E293" s="374">
        <f>'D) Ecrêtage'!M292</f>
        <v>7741.5774683544305</v>
      </c>
      <c r="F293" s="378">
        <f>'E) Fact soc'!G298</f>
        <v>118072.83625065189</v>
      </c>
      <c r="G293" s="375">
        <f>'H) Péréquation directe'!I303</f>
        <v>47637.282376974283</v>
      </c>
      <c r="H293" s="378">
        <f>'I) Dépenses thématiques'!O292</f>
        <v>-106696.05563862852</v>
      </c>
      <c r="I293" s="375">
        <f>'K) Plafonnement aide'!J292</f>
        <v>0</v>
      </c>
      <c r="J293" s="378">
        <f>'J) Plafonnement effort'!I292</f>
        <v>0</v>
      </c>
      <c r="K293" s="375">
        <f>'L) Plafonnement taux'!Q293</f>
        <v>0</v>
      </c>
      <c r="L293" s="373">
        <f t="shared" si="15"/>
        <v>59014.062988997641</v>
      </c>
      <c r="M293" s="267">
        <f>'M) Police'!O293</f>
        <v>24814.63641601264</v>
      </c>
      <c r="N293" s="267">
        <f t="shared" si="14"/>
        <v>83828.69940501028</v>
      </c>
      <c r="P293" s="328"/>
      <c r="R293" s="381"/>
    </row>
    <row r="294" spans="1:18" s="182" customFormat="1" x14ac:dyDescent="0.25">
      <c r="A294" s="179">
        <f>'B) D RI'!A295</f>
        <v>5912</v>
      </c>
      <c r="B294" s="180" t="str">
        <f>'B) D RI'!B295</f>
        <v>Démoret</v>
      </c>
      <c r="C294" s="376">
        <f>'B) D RI'!S295</f>
        <v>81</v>
      </c>
      <c r="D294" s="181">
        <f>'B) D RI'!AA295</f>
        <v>126</v>
      </c>
      <c r="E294" s="374">
        <f>'D) Ecrêtage'!M293</f>
        <v>2761.8208641975311</v>
      </c>
      <c r="F294" s="378">
        <f>'E) Fact soc'!G299</f>
        <v>46761.200248867572</v>
      </c>
      <c r="G294" s="375">
        <f>'H) Péréquation directe'!I304</f>
        <v>-37594.104892064242</v>
      </c>
      <c r="H294" s="378">
        <f>'I) Dépenses thématiques'!O293</f>
        <v>-17379.315845011402</v>
      </c>
      <c r="I294" s="375">
        <f>'K) Plafonnement aide'!J293</f>
        <v>0</v>
      </c>
      <c r="J294" s="378">
        <f>'J) Plafonnement effort'!I293</f>
        <v>0</v>
      </c>
      <c r="K294" s="375">
        <f>'L) Plafonnement taux'!Q294</f>
        <v>0</v>
      </c>
      <c r="L294" s="373">
        <f t="shared" si="15"/>
        <v>-8212.2204882080732</v>
      </c>
      <c r="M294" s="267">
        <f>'M) Police'!O294</f>
        <v>8708.5239286530123</v>
      </c>
      <c r="N294" s="267">
        <f t="shared" si="14"/>
        <v>496.30344044493904</v>
      </c>
      <c r="P294" s="328"/>
      <c r="R294" s="381"/>
    </row>
    <row r="295" spans="1:18" s="182" customFormat="1" x14ac:dyDescent="0.25">
      <c r="A295" s="179">
        <f>'B) D RI'!A296</f>
        <v>5913</v>
      </c>
      <c r="B295" s="180" t="str">
        <f>'B) D RI'!B296</f>
        <v>Donneloye</v>
      </c>
      <c r="C295" s="376">
        <f>'B) D RI'!S296</f>
        <v>73</v>
      </c>
      <c r="D295" s="181">
        <f>'B) D RI'!AA296</f>
        <v>779</v>
      </c>
      <c r="E295" s="374">
        <f>'D) Ecrêtage'!M294</f>
        <v>21023.999589041094</v>
      </c>
      <c r="F295" s="378">
        <f>'E) Fact soc'!G300</f>
        <v>383711.7302325879</v>
      </c>
      <c r="G295" s="375">
        <f>'H) Péréquation directe'!I305</f>
        <v>15277.162996407016</v>
      </c>
      <c r="H295" s="378">
        <f>'I) Dépenses thématiques'!O294</f>
        <v>-76629.575628218794</v>
      </c>
      <c r="I295" s="375">
        <f>'K) Plafonnement aide'!J294</f>
        <v>0</v>
      </c>
      <c r="J295" s="378">
        <f>'J) Plafonnement effort'!I294</f>
        <v>0</v>
      </c>
      <c r="K295" s="375">
        <f>'L) Plafonnement taux'!Q295</f>
        <v>0</v>
      </c>
      <c r="L295" s="373">
        <f t="shared" si="15"/>
        <v>322359.31760077609</v>
      </c>
      <c r="M295" s="267">
        <f>'M) Police'!O295</f>
        <v>66595.694204151732</v>
      </c>
      <c r="N295" s="267">
        <f t="shared" si="14"/>
        <v>388955.01180492784</v>
      </c>
      <c r="P295" s="328"/>
      <c r="R295" s="381"/>
    </row>
    <row r="296" spans="1:18" s="182" customFormat="1" x14ac:dyDescent="0.25">
      <c r="A296" s="179">
        <f>'B) D RI'!A297</f>
        <v>5914</v>
      </c>
      <c r="B296" s="180" t="str">
        <f>'B) D RI'!B297</f>
        <v>Ependes</v>
      </c>
      <c r="C296" s="376">
        <f>'B) D RI'!S297</f>
        <v>75</v>
      </c>
      <c r="D296" s="181">
        <f>'B) D RI'!AA297</f>
        <v>350</v>
      </c>
      <c r="E296" s="374">
        <f>'D) Ecrêtage'!M295</f>
        <v>8838.0616000000009</v>
      </c>
      <c r="F296" s="378">
        <f>'E) Fact soc'!G301</f>
        <v>140681.74586742613</v>
      </c>
      <c r="G296" s="375">
        <f>'H) Péréquation directe'!I306</f>
        <v>-25773.430811879603</v>
      </c>
      <c r="H296" s="378">
        <f>'I) Dépenses thématiques'!O295</f>
        <v>-37482.151428577061</v>
      </c>
      <c r="I296" s="375">
        <f>'K) Plafonnement aide'!J295</f>
        <v>0</v>
      </c>
      <c r="J296" s="378">
        <f>'J) Plafonnement effort'!I295</f>
        <v>0</v>
      </c>
      <c r="K296" s="375">
        <f>'L) Plafonnement taux'!Q296</f>
        <v>0</v>
      </c>
      <c r="L296" s="373">
        <f t="shared" si="15"/>
        <v>77426.163626969472</v>
      </c>
      <c r="M296" s="267">
        <f>'M) Police'!O296</f>
        <v>11506.496679143318</v>
      </c>
      <c r="N296" s="267">
        <f t="shared" si="14"/>
        <v>88932.660306112783</v>
      </c>
      <c r="P296" s="328"/>
      <c r="R296" s="381"/>
    </row>
    <row r="297" spans="1:18" s="182" customFormat="1" x14ac:dyDescent="0.25">
      <c r="A297" s="179">
        <f>'B) D RI'!A298</f>
        <v>5919</v>
      </c>
      <c r="B297" s="180" t="str">
        <f>'B) D RI'!B298</f>
        <v>Mathod</v>
      </c>
      <c r="C297" s="376">
        <f>'B) D RI'!S298</f>
        <v>74</v>
      </c>
      <c r="D297" s="181">
        <f>'B) D RI'!AA298</f>
        <v>614</v>
      </c>
      <c r="E297" s="374">
        <f>'D) Ecrêtage'!M296</f>
        <v>16883.878828828827</v>
      </c>
      <c r="F297" s="378">
        <f>'E) Fact soc'!G302</f>
        <v>340863.38918798167</v>
      </c>
      <c r="G297" s="375">
        <f>'H) Péréquation directe'!I307</f>
        <v>18166.872552938294</v>
      </c>
      <c r="H297" s="378">
        <f>'I) Dépenses thématiques'!O296</f>
        <v>-102379.4529860122</v>
      </c>
      <c r="I297" s="375">
        <f>'K) Plafonnement aide'!J296</f>
        <v>0</v>
      </c>
      <c r="J297" s="378">
        <f>'J) Plafonnement effort'!I296</f>
        <v>0</v>
      </c>
      <c r="K297" s="375">
        <f>'L) Plafonnement taux'!Q297</f>
        <v>0</v>
      </c>
      <c r="L297" s="373">
        <f t="shared" si="15"/>
        <v>256650.80875490775</v>
      </c>
      <c r="M297" s="267">
        <f>'M) Police'!O297</f>
        <v>21981.550306797708</v>
      </c>
      <c r="N297" s="267">
        <f t="shared" si="14"/>
        <v>278632.35906170547</v>
      </c>
      <c r="P297" s="328"/>
      <c r="R297" s="381"/>
    </row>
    <row r="298" spans="1:18" s="182" customFormat="1" x14ac:dyDescent="0.25">
      <c r="A298" s="179">
        <f>'B) D RI'!A299</f>
        <v>5921</v>
      </c>
      <c r="B298" s="180" t="str">
        <f>'B) D RI'!B299</f>
        <v>Molondin</v>
      </c>
      <c r="C298" s="376">
        <f>'B) D RI'!S299</f>
        <v>81</v>
      </c>
      <c r="D298" s="181">
        <f>'B) D RI'!AA299</f>
        <v>218</v>
      </c>
      <c r="E298" s="374">
        <f>'D) Ecrêtage'!M297</f>
        <v>5518.0840740740732</v>
      </c>
      <c r="F298" s="378">
        <f>'E) Fact soc'!G303</f>
        <v>101000.90861773916</v>
      </c>
      <c r="G298" s="375">
        <f>'H) Péréquation directe'!I308</f>
        <v>-31779.850589491005</v>
      </c>
      <c r="H298" s="378">
        <f>'I) Dépenses thématiques'!O297</f>
        <v>-65646.394649024151</v>
      </c>
      <c r="I298" s="375">
        <f>'K) Plafonnement aide'!J297</f>
        <v>0</v>
      </c>
      <c r="J298" s="378">
        <f>'J) Plafonnement effort'!I297</f>
        <v>0</v>
      </c>
      <c r="K298" s="375">
        <f>'L) Plafonnement taux'!Q298</f>
        <v>0</v>
      </c>
      <c r="L298" s="373">
        <f t="shared" si="15"/>
        <v>3574.6633792240027</v>
      </c>
      <c r="M298" s="267">
        <f>'M) Police'!O298</f>
        <v>17506.503070307335</v>
      </c>
      <c r="N298" s="267">
        <f t="shared" si="14"/>
        <v>21081.166449531338</v>
      </c>
      <c r="P298" s="328"/>
      <c r="R298" s="381"/>
    </row>
    <row r="299" spans="1:18" s="182" customFormat="1" x14ac:dyDescent="0.25">
      <c r="A299" s="179">
        <f>'B) D RI'!A300</f>
        <v>5922</v>
      </c>
      <c r="B299" s="180" t="str">
        <f>'B) D RI'!B300</f>
        <v>Montagny-près-Yverdon</v>
      </c>
      <c r="C299" s="376">
        <f>'B) D RI'!S300</f>
        <v>61</v>
      </c>
      <c r="D299" s="181">
        <f>'B) D RI'!AA300</f>
        <v>733</v>
      </c>
      <c r="E299" s="374">
        <f>'D) Ecrêtage'!M298</f>
        <v>44301.234100704613</v>
      </c>
      <c r="F299" s="378">
        <f>'E) Fact soc'!G304</f>
        <v>823179.23023371375</v>
      </c>
      <c r="G299" s="375">
        <f>'H) Péréquation directe'!I309</f>
        <v>760889.49233432207</v>
      </c>
      <c r="H299" s="378">
        <f>'I) Dépenses thématiques'!O298</f>
        <v>-112527.02805823815</v>
      </c>
      <c r="I299" s="375">
        <f>'K) Plafonnement aide'!J298</f>
        <v>0</v>
      </c>
      <c r="J299" s="378">
        <f>'J) Plafonnement effort'!I298</f>
        <v>0</v>
      </c>
      <c r="K299" s="375">
        <f>'L) Plafonnement taux'!Q299</f>
        <v>0</v>
      </c>
      <c r="L299" s="373">
        <f t="shared" si="15"/>
        <v>1471541.6945097977</v>
      </c>
      <c r="M299" s="267">
        <f>'M) Police'!O299</f>
        <v>121250.95014169082</v>
      </c>
      <c r="N299" s="267">
        <f t="shared" si="14"/>
        <v>1592792.6446514886</v>
      </c>
      <c r="P299" s="328"/>
      <c r="R299" s="381"/>
    </row>
    <row r="300" spans="1:18" s="182" customFormat="1" x14ac:dyDescent="0.25">
      <c r="A300" s="179">
        <f>'B) D RI'!A301</f>
        <v>5923</v>
      </c>
      <c r="B300" s="180" t="str">
        <f>'B) D RI'!B301</f>
        <v>Oppens</v>
      </c>
      <c r="C300" s="376">
        <f>'B) D RI'!S301</f>
        <v>81</v>
      </c>
      <c r="D300" s="181">
        <f>'B) D RI'!AA301</f>
        <v>182</v>
      </c>
      <c r="E300" s="374">
        <f>'D) Ecrêtage'!M299</f>
        <v>4881.0219753086412</v>
      </c>
      <c r="F300" s="378">
        <f>'E) Fact soc'!G305</f>
        <v>104815.09229088674</v>
      </c>
      <c r="G300" s="375">
        <f>'H) Péréquation directe'!I310</f>
        <v>-14201.947304506088</v>
      </c>
      <c r="H300" s="378">
        <f>'I) Dépenses thématiques'!O299</f>
        <v>-38078.329610221837</v>
      </c>
      <c r="I300" s="375">
        <f>'K) Plafonnement aide'!J299</f>
        <v>0</v>
      </c>
      <c r="J300" s="378">
        <f>'J) Plafonnement effort'!I299</f>
        <v>0</v>
      </c>
      <c r="K300" s="375">
        <f>'L) Plafonnement taux'!Q300</f>
        <v>0</v>
      </c>
      <c r="L300" s="373">
        <f t="shared" si="15"/>
        <v>52534.815376158811</v>
      </c>
      <c r="M300" s="267">
        <f>'M) Police'!O300</f>
        <v>15556.883905447787</v>
      </c>
      <c r="N300" s="267">
        <f t="shared" si="14"/>
        <v>68091.69928160659</v>
      </c>
      <c r="P300" s="328"/>
      <c r="R300" s="381"/>
    </row>
    <row r="301" spans="1:18" s="182" customFormat="1" x14ac:dyDescent="0.25">
      <c r="A301" s="179">
        <f>'B) D RI'!A302</f>
        <v>5924</v>
      </c>
      <c r="B301" s="180" t="str">
        <f>'B) D RI'!B302</f>
        <v>Orges</v>
      </c>
      <c r="C301" s="376">
        <f>'B) D RI'!S302</f>
        <v>74</v>
      </c>
      <c r="D301" s="181">
        <f>'B) D RI'!AA302</f>
        <v>292</v>
      </c>
      <c r="E301" s="374">
        <f>'D) Ecrêtage'!M300</f>
        <v>9476.448378378378</v>
      </c>
      <c r="F301" s="378">
        <f>'E) Fact soc'!G306</f>
        <v>162349.81780969937</v>
      </c>
      <c r="G301" s="375">
        <f>'H) Péréquation directe'!I311</f>
        <v>67449.461730645839</v>
      </c>
      <c r="H301" s="378">
        <f>'I) Dépenses thématiques'!O300</f>
        <v>0</v>
      </c>
      <c r="I301" s="375">
        <f>'K) Plafonnement aide'!J300</f>
        <v>0</v>
      </c>
      <c r="J301" s="378">
        <f>'J) Plafonnement effort'!I300</f>
        <v>0</v>
      </c>
      <c r="K301" s="375">
        <f>'L) Plafonnement taux'!Q301</f>
        <v>0</v>
      </c>
      <c r="L301" s="373">
        <f t="shared" si="15"/>
        <v>229799.27954034519</v>
      </c>
      <c r="M301" s="267">
        <f>'M) Police'!O301</f>
        <v>30151.219977506644</v>
      </c>
      <c r="N301" s="267">
        <f t="shared" si="14"/>
        <v>259950.49951785183</v>
      </c>
      <c r="P301" s="328"/>
      <c r="R301" s="381"/>
    </row>
    <row r="302" spans="1:18" s="182" customFormat="1" x14ac:dyDescent="0.25">
      <c r="A302" s="179">
        <f>'B) D RI'!A303</f>
        <v>5925</v>
      </c>
      <c r="B302" s="180" t="str">
        <f>'B) D RI'!B303</f>
        <v>Orzens</v>
      </c>
      <c r="C302" s="376">
        <f>'B) D RI'!S303</f>
        <v>79</v>
      </c>
      <c r="D302" s="181">
        <f>'B) D RI'!AA303</f>
        <v>200</v>
      </c>
      <c r="E302" s="374">
        <f>'D) Ecrêtage'!M301</f>
        <v>4875.4426582278484</v>
      </c>
      <c r="F302" s="378">
        <f>'E) Fact soc'!G307</f>
        <v>85772.767927858193</v>
      </c>
      <c r="G302" s="375">
        <f>'H) Péréquation directe'!I312</f>
        <v>-32223.534842447974</v>
      </c>
      <c r="H302" s="378">
        <f>'I) Dépenses thématiques'!O301</f>
        <v>-11727.530331140024</v>
      </c>
      <c r="I302" s="375">
        <f>'K) Plafonnement aide'!J301</f>
        <v>0</v>
      </c>
      <c r="J302" s="378">
        <f>'J) Plafonnement effort'!I301</f>
        <v>0</v>
      </c>
      <c r="K302" s="375">
        <f>'L) Plafonnement taux'!Q302</f>
        <v>0</v>
      </c>
      <c r="L302" s="373">
        <f t="shared" si="15"/>
        <v>41821.702754270198</v>
      </c>
      <c r="M302" s="267">
        <f>'M) Police'!O302</f>
        <v>15374.633912495714</v>
      </c>
      <c r="N302" s="267">
        <f t="shared" si="14"/>
        <v>57196.336666765914</v>
      </c>
      <c r="P302" s="328"/>
      <c r="R302" s="381"/>
    </row>
    <row r="303" spans="1:18" s="182" customFormat="1" x14ac:dyDescent="0.25">
      <c r="A303" s="179">
        <f>'B) D RI'!A304</f>
        <v>5926</v>
      </c>
      <c r="B303" s="180" t="str">
        <f>'B) D RI'!B304</f>
        <v>Pomy</v>
      </c>
      <c r="C303" s="376">
        <f>'B) D RI'!S304</f>
        <v>71</v>
      </c>
      <c r="D303" s="181">
        <f>'B) D RI'!AA304</f>
        <v>760</v>
      </c>
      <c r="E303" s="374">
        <f>'D) Ecrêtage'!M302</f>
        <v>22774.42661971831</v>
      </c>
      <c r="F303" s="378">
        <f>'E) Fact soc'!G308</f>
        <v>416128.72376076359</v>
      </c>
      <c r="G303" s="375">
        <f>'H) Péréquation directe'!I313</f>
        <v>118954.80290470936</v>
      </c>
      <c r="H303" s="378">
        <f>'I) Dépenses thématiques'!O302</f>
        <v>-21149.281004265969</v>
      </c>
      <c r="I303" s="375">
        <f>'K) Plafonnement aide'!J302</f>
        <v>0</v>
      </c>
      <c r="J303" s="378">
        <f>'J) Plafonnement effort'!I302</f>
        <v>0</v>
      </c>
      <c r="K303" s="375">
        <f>'L) Plafonnement taux'!Q303</f>
        <v>0</v>
      </c>
      <c r="L303" s="373">
        <f t="shared" si="15"/>
        <v>513934.24566120689</v>
      </c>
      <c r="M303" s="267">
        <f>'M) Police'!O303</f>
        <v>29650.603959264314</v>
      </c>
      <c r="N303" s="267">
        <f t="shared" si="14"/>
        <v>543584.84962047124</v>
      </c>
      <c r="P303" s="328"/>
      <c r="R303" s="381"/>
    </row>
    <row r="304" spans="1:18" s="182" customFormat="1" x14ac:dyDescent="0.25">
      <c r="A304" s="179">
        <f>'B) D RI'!A305</f>
        <v>5928</v>
      </c>
      <c r="B304" s="180" t="str">
        <f>'B) D RI'!B305</f>
        <v>Rovray</v>
      </c>
      <c r="C304" s="376">
        <f>'B) D RI'!S305</f>
        <v>73</v>
      </c>
      <c r="D304" s="181">
        <f>'B) D RI'!AA305</f>
        <v>172</v>
      </c>
      <c r="E304" s="374">
        <f>'D) Ecrêtage'!M303</f>
        <v>4451.7282191780823</v>
      </c>
      <c r="F304" s="378">
        <f>'E) Fact soc'!G309</f>
        <v>76650.183024854909</v>
      </c>
      <c r="G304" s="375">
        <f>'H) Péréquation directe'!I314</f>
        <v>-4249.0790634024452</v>
      </c>
      <c r="H304" s="378">
        <f>'I) Dépenses thématiques'!O303</f>
        <v>-10360.613887849144</v>
      </c>
      <c r="I304" s="375">
        <f>'K) Plafonnement aide'!J303</f>
        <v>0</v>
      </c>
      <c r="J304" s="378">
        <f>'J) Plafonnement effort'!I303</f>
        <v>0</v>
      </c>
      <c r="K304" s="375">
        <f>'L) Plafonnement taux'!Q304</f>
        <v>0</v>
      </c>
      <c r="L304" s="373">
        <f t="shared" si="15"/>
        <v>62040.490073603316</v>
      </c>
      <c r="M304" s="267">
        <f>'M) Police'!O304</f>
        <v>14163.471637987021</v>
      </c>
      <c r="N304" s="267">
        <f t="shared" si="14"/>
        <v>76203.961711590338</v>
      </c>
      <c r="P304" s="328"/>
      <c r="R304" s="381"/>
    </row>
    <row r="305" spans="1:18" s="182" customFormat="1" x14ac:dyDescent="0.25">
      <c r="A305" s="179">
        <f>'B) D RI'!A306</f>
        <v>5929</v>
      </c>
      <c r="B305" s="180" t="str">
        <f>'B) D RI'!B306</f>
        <v>Suchy</v>
      </c>
      <c r="C305" s="376">
        <f>'B) D RI'!S306</f>
        <v>70</v>
      </c>
      <c r="D305" s="181">
        <f>'B) D RI'!AA306</f>
        <v>606</v>
      </c>
      <c r="E305" s="374">
        <f>'D) Ecrêtage'!M304</f>
        <v>16583.788428571432</v>
      </c>
      <c r="F305" s="378">
        <f>'E) Fact soc'!G310</f>
        <v>279019.79435501597</v>
      </c>
      <c r="G305" s="375">
        <f>'H) Péréquation directe'!I315</f>
        <v>39652.437579083256</v>
      </c>
      <c r="H305" s="378">
        <f>'I) Dépenses thématiques'!O304</f>
        <v>-15570.307534939735</v>
      </c>
      <c r="I305" s="375">
        <f>'K) Plafonnement aide'!J304</f>
        <v>0</v>
      </c>
      <c r="J305" s="378">
        <f>'J) Plafonnement effort'!I304</f>
        <v>0</v>
      </c>
      <c r="K305" s="375">
        <f>'L) Plafonnement taux'!Q305</f>
        <v>0</v>
      </c>
      <c r="L305" s="373">
        <f t="shared" si="15"/>
        <v>303101.9243991595</v>
      </c>
      <c r="M305" s="267">
        <f>'M) Police'!O305</f>
        <v>21590.854999355575</v>
      </c>
      <c r="N305" s="267">
        <f t="shared" si="14"/>
        <v>324692.77939851506</v>
      </c>
      <c r="P305" s="328"/>
      <c r="R305" s="381"/>
    </row>
    <row r="306" spans="1:18" s="182" customFormat="1" x14ac:dyDescent="0.25">
      <c r="A306" s="179">
        <f>'B) D RI'!A307</f>
        <v>5930</v>
      </c>
      <c r="B306" s="180" t="str">
        <f>'B) D RI'!B307</f>
        <v>Suscévaz</v>
      </c>
      <c r="C306" s="376">
        <f>'B) D RI'!S307</f>
        <v>66</v>
      </c>
      <c r="D306" s="181">
        <f>'B) D RI'!AA307</f>
        <v>202</v>
      </c>
      <c r="E306" s="374">
        <f>'D) Ecrêtage'!M305</f>
        <v>4886.5228787878787</v>
      </c>
      <c r="F306" s="378">
        <f>'E) Fact soc'!G311</f>
        <v>86840.796249827254</v>
      </c>
      <c r="G306" s="375">
        <f>'H) Péréquation directe'!I316</f>
        <v>-2123.2005269950023</v>
      </c>
      <c r="H306" s="378">
        <f>'I) Dépenses thématiques'!O305</f>
        <v>-378.55150637441244</v>
      </c>
      <c r="I306" s="375">
        <f>'K) Plafonnement aide'!J305</f>
        <v>0</v>
      </c>
      <c r="J306" s="378">
        <f>'J) Plafonnement effort'!I305</f>
        <v>0</v>
      </c>
      <c r="K306" s="375">
        <f>'L) Plafonnement taux'!Q306</f>
        <v>0</v>
      </c>
      <c r="L306" s="373">
        <f t="shared" si="15"/>
        <v>84339.044216457842</v>
      </c>
      <c r="M306" s="267">
        <f>'M) Police'!O306</f>
        <v>6361.8881404187732</v>
      </c>
      <c r="N306" s="267">
        <f t="shared" si="14"/>
        <v>90700.932356876612</v>
      </c>
      <c r="P306" s="328"/>
      <c r="R306" s="381"/>
    </row>
    <row r="307" spans="1:18" s="182" customFormat="1" x14ac:dyDescent="0.25">
      <c r="A307" s="179">
        <f>'B) D RI'!A308</f>
        <v>5931</v>
      </c>
      <c r="B307" s="180" t="str">
        <f>'B) D RI'!B308</f>
        <v>Treycovagnes</v>
      </c>
      <c r="C307" s="376">
        <f>'B) D RI'!S308</f>
        <v>77</v>
      </c>
      <c r="D307" s="181">
        <f>'B) D RI'!AA308</f>
        <v>446</v>
      </c>
      <c r="E307" s="374">
        <f>'D) Ecrêtage'!M306</f>
        <v>16368.774155844154</v>
      </c>
      <c r="F307" s="378">
        <f>'E) Fact soc'!G312</f>
        <v>261414.57319660633</v>
      </c>
      <c r="G307" s="375">
        <f>'H) Péréquation directe'!I317</f>
        <v>173082.9209415628</v>
      </c>
      <c r="H307" s="378">
        <f>'I) Dépenses thématiques'!O306</f>
        <v>0</v>
      </c>
      <c r="I307" s="375">
        <f>'K) Plafonnement aide'!J306</f>
        <v>0</v>
      </c>
      <c r="J307" s="378">
        <f>'J) Plafonnement effort'!I306</f>
        <v>0</v>
      </c>
      <c r="K307" s="375">
        <f>'L) Plafonnement taux'!Q307</f>
        <v>0</v>
      </c>
      <c r="L307" s="373">
        <f t="shared" si="15"/>
        <v>434497.4941381691</v>
      </c>
      <c r="M307" s="267">
        <f>'M) Police'!O307</f>
        <v>21310.922461308452</v>
      </c>
      <c r="N307" s="267">
        <f t="shared" si="14"/>
        <v>455808.41659947752</v>
      </c>
      <c r="P307" s="328"/>
      <c r="R307" s="381"/>
    </row>
    <row r="308" spans="1:18" s="182" customFormat="1" x14ac:dyDescent="0.25">
      <c r="A308" s="179">
        <f>'B) D RI'!A309</f>
        <v>5932</v>
      </c>
      <c r="B308" s="180" t="str">
        <f>'B) D RI'!B309</f>
        <v>Ursins</v>
      </c>
      <c r="C308" s="376">
        <f>'B) D RI'!S309</f>
        <v>78</v>
      </c>
      <c r="D308" s="181">
        <f>'B) D RI'!AA309</f>
        <v>210</v>
      </c>
      <c r="E308" s="374">
        <f>'D) Ecrêtage'!M307</f>
        <v>6366.2738461538456</v>
      </c>
      <c r="F308" s="378">
        <f>'E) Fact soc'!G313</f>
        <v>104883.74610716848</v>
      </c>
      <c r="G308" s="375">
        <f>'H) Péréquation directe'!I318</f>
        <v>22625.388831210905</v>
      </c>
      <c r="H308" s="378">
        <f>'I) Dépenses thématiques'!O307</f>
        <v>-147106.6278896727</v>
      </c>
      <c r="I308" s="375">
        <f>'K) Plafonnement aide'!J307</f>
        <v>0</v>
      </c>
      <c r="J308" s="378">
        <f>'J) Plafonnement effort'!I307</f>
        <v>0</v>
      </c>
      <c r="K308" s="375">
        <f>'L) Plafonnement taux'!Q308</f>
        <v>0</v>
      </c>
      <c r="L308" s="373">
        <f t="shared" si="15"/>
        <v>-19597.492951293316</v>
      </c>
      <c r="M308" s="267">
        <f>'M) Police'!O308</f>
        <v>20247.738091625397</v>
      </c>
      <c r="N308" s="267">
        <f t="shared" si="14"/>
        <v>650.24514033208106</v>
      </c>
      <c r="P308" s="328"/>
      <c r="R308" s="381"/>
    </row>
    <row r="309" spans="1:18" s="182" customFormat="1" x14ac:dyDescent="0.25">
      <c r="A309" s="179">
        <f>'B) D RI'!A310</f>
        <v>5933</v>
      </c>
      <c r="B309" s="180" t="str">
        <f>'B) D RI'!B310</f>
        <v>Valeyres-sous-Montagny</v>
      </c>
      <c r="C309" s="376">
        <f>'B) D RI'!S310</f>
        <v>72</v>
      </c>
      <c r="D309" s="181">
        <f>'B) D RI'!AA310</f>
        <v>689</v>
      </c>
      <c r="E309" s="374">
        <f>'D) Ecrêtage'!M308</f>
        <v>19578.46263888889</v>
      </c>
      <c r="F309" s="378">
        <f>'E) Fact soc'!G314</f>
        <v>342956.3548754417</v>
      </c>
      <c r="G309" s="375">
        <f>'H) Péréquation directe'!I319</f>
        <v>59635.914681525552</v>
      </c>
      <c r="H309" s="378">
        <f>'I) Dépenses thématiques'!O308</f>
        <v>-281124.54377920768</v>
      </c>
      <c r="I309" s="375">
        <f>'K) Plafonnement aide'!J308</f>
        <v>0</v>
      </c>
      <c r="J309" s="378">
        <f>'J) Plafonnement effort'!I308</f>
        <v>0</v>
      </c>
      <c r="K309" s="375">
        <f>'L) Plafonnement taux'!Q309</f>
        <v>0</v>
      </c>
      <c r="L309" s="373">
        <f t="shared" si="15"/>
        <v>121467.72577775957</v>
      </c>
      <c r="M309" s="267">
        <f>'M) Police'!O309</f>
        <v>61816.090682479058</v>
      </c>
      <c r="N309" s="267">
        <f t="shared" si="14"/>
        <v>183283.81646023862</v>
      </c>
      <c r="P309" s="328"/>
      <c r="R309" s="381"/>
    </row>
    <row r="310" spans="1:18" s="182" customFormat="1" x14ac:dyDescent="0.25">
      <c r="A310" s="179">
        <f>'B) D RI'!A311</f>
        <v>5934</v>
      </c>
      <c r="B310" s="180" t="str">
        <f>'B) D RI'!B311</f>
        <v>Valeyres-sous-Ursins</v>
      </c>
      <c r="C310" s="376">
        <f>'B) D RI'!S311</f>
        <v>79</v>
      </c>
      <c r="D310" s="181">
        <f>'B) D RI'!AA311</f>
        <v>247</v>
      </c>
      <c r="E310" s="374">
        <f>'D) Ecrêtage'!M309</f>
        <v>6856.0722784810141</v>
      </c>
      <c r="F310" s="378">
        <f>'E) Fact soc'!G315</f>
        <v>121707.95937303529</v>
      </c>
      <c r="G310" s="375">
        <f>'H) Péréquation directe'!I320</f>
        <v>-3316.1819366821874</v>
      </c>
      <c r="H310" s="378">
        <f>'I) Dépenses thématiques'!O309</f>
        <v>-9551.4897410790745</v>
      </c>
      <c r="I310" s="375">
        <f>'K) Plafonnement aide'!J309</f>
        <v>0</v>
      </c>
      <c r="J310" s="378">
        <f>'J) Plafonnement effort'!I309</f>
        <v>0</v>
      </c>
      <c r="K310" s="375">
        <f>'L) Plafonnement taux'!Q310</f>
        <v>0</v>
      </c>
      <c r="L310" s="373">
        <f t="shared" si="15"/>
        <v>108840.28769527403</v>
      </c>
      <c r="M310" s="267">
        <f>'M) Police'!O310</f>
        <v>21970.444105078699</v>
      </c>
      <c r="N310" s="267">
        <f t="shared" si="14"/>
        <v>130810.73180035273</v>
      </c>
      <c r="P310" s="328"/>
      <c r="R310" s="381"/>
    </row>
    <row r="311" spans="1:18" s="182" customFormat="1" x14ac:dyDescent="0.25">
      <c r="A311" s="179">
        <f>'B) D RI'!A312</f>
        <v>5935</v>
      </c>
      <c r="B311" s="180" t="str">
        <f>'B) D RI'!B312</f>
        <v>Villars-Epeney</v>
      </c>
      <c r="C311" s="376">
        <f>'B) D RI'!S312</f>
        <v>60</v>
      </c>
      <c r="D311" s="181">
        <f>'B) D RI'!AA312</f>
        <v>105</v>
      </c>
      <c r="E311" s="374">
        <f>'D) Ecrêtage'!M310</f>
        <v>4252.6353333333336</v>
      </c>
      <c r="F311" s="378">
        <f>'E) Fact soc'!G316</f>
        <v>74350.505684752599</v>
      </c>
      <c r="G311" s="375">
        <f>'H) Péréquation directe'!I321</f>
        <v>62375.822795924876</v>
      </c>
      <c r="H311" s="378">
        <f>'I) Dépenses thématiques'!O310</f>
        <v>-12877.726837445731</v>
      </c>
      <c r="I311" s="375">
        <f>'K) Plafonnement aide'!J310</f>
        <v>0</v>
      </c>
      <c r="J311" s="378">
        <f>'J) Plafonnement effort'!I310</f>
        <v>0</v>
      </c>
      <c r="K311" s="375">
        <f>'L) Plafonnement taux'!Q311</f>
        <v>0</v>
      </c>
      <c r="L311" s="373">
        <f t="shared" si="15"/>
        <v>123848.60164323174</v>
      </c>
      <c r="M311" s="267">
        <f>'M) Police'!O311</f>
        <v>13458.25285892666</v>
      </c>
      <c r="N311" s="267">
        <f t="shared" si="14"/>
        <v>137306.85450215841</v>
      </c>
      <c r="P311" s="328"/>
      <c r="R311" s="381"/>
    </row>
    <row r="312" spans="1:18" s="182" customFormat="1" x14ac:dyDescent="0.25">
      <c r="A312" s="179">
        <f>'B) D RI'!A313</f>
        <v>5937</v>
      </c>
      <c r="B312" s="180" t="str">
        <f>'B) D RI'!B313</f>
        <v>Vugelles-La Mothe</v>
      </c>
      <c r="C312" s="376">
        <f>'B) D RI'!S313</f>
        <v>70</v>
      </c>
      <c r="D312" s="181">
        <f>'B) D RI'!AA313</f>
        <v>134</v>
      </c>
      <c r="E312" s="374">
        <f>'D) Ecrêtage'!M311</f>
        <v>2272.9823469387752</v>
      </c>
      <c r="F312" s="378">
        <f>'E) Fact soc'!G317</f>
        <v>41689.593333374716</v>
      </c>
      <c r="G312" s="375">
        <f>'H) Péréquation directe'!I322</f>
        <v>-44688.898447782951</v>
      </c>
      <c r="H312" s="378">
        <f>'I) Dépenses thématiques'!O311</f>
        <v>-30071.868312230843</v>
      </c>
      <c r="I312" s="375">
        <f>'K) Plafonnement aide'!J311</f>
        <v>0</v>
      </c>
      <c r="J312" s="378">
        <f>'J) Plafonnement effort'!I311</f>
        <v>0</v>
      </c>
      <c r="K312" s="375">
        <f>'L) Plafonnement taux'!Q312</f>
        <v>0</v>
      </c>
      <c r="L312" s="373">
        <f t="shared" si="15"/>
        <v>-33071.173426639078</v>
      </c>
      <c r="M312" s="267">
        <f>'M) Police'!O312</f>
        <v>7101.3405414533236</v>
      </c>
      <c r="N312" s="267">
        <f t="shared" si="14"/>
        <v>-25969.832885185755</v>
      </c>
      <c r="P312" s="328"/>
      <c r="R312" s="381"/>
    </row>
    <row r="313" spans="1:18" s="182" customFormat="1" x14ac:dyDescent="0.25">
      <c r="A313" s="179">
        <f>'B) D RI'!A314</f>
        <v>5938</v>
      </c>
      <c r="B313" s="180" t="str">
        <f>'B) D RI'!B314</f>
        <v>Yverdon-les-Bains</v>
      </c>
      <c r="C313" s="376">
        <f>'B) D RI'!S314</f>
        <v>76.5</v>
      </c>
      <c r="D313" s="181">
        <f>'B) D RI'!AA314</f>
        <v>29570</v>
      </c>
      <c r="E313" s="374">
        <f>'D) Ecrêtage'!M312</f>
        <v>809245.0162091502</v>
      </c>
      <c r="F313" s="378">
        <f>'E) Fact soc'!G318</f>
        <v>15267584.204072582</v>
      </c>
      <c r="G313" s="375">
        <f>'H) Péréquation directe'!I323</f>
        <v>-21859066.954250418</v>
      </c>
      <c r="H313" s="378">
        <f>'I) Dépenses thématiques'!O312</f>
        <v>-7687687.7293557795</v>
      </c>
      <c r="I313" s="375">
        <f>'K) Plafonnement aide'!J312</f>
        <v>1331390.1448183579</v>
      </c>
      <c r="J313" s="378">
        <f>'J) Plafonnement effort'!I312</f>
        <v>0</v>
      </c>
      <c r="K313" s="375">
        <f>'L) Plafonnement taux'!Q313</f>
        <v>0</v>
      </c>
      <c r="L313" s="373">
        <f t="shared" si="15"/>
        <v>-12947780.334715258</v>
      </c>
      <c r="M313" s="267">
        <f>'M) Police'!O313</f>
        <v>1053576.6226865703</v>
      </c>
      <c r="N313" s="267">
        <f t="shared" si="14"/>
        <v>-11894203.712028688</v>
      </c>
      <c r="P313" s="328"/>
      <c r="R313" s="381"/>
    </row>
    <row r="314" spans="1:18" s="182" customFormat="1" x14ac:dyDescent="0.25">
      <c r="A314" s="179">
        <f>'B) D RI'!A315</f>
        <v>5939</v>
      </c>
      <c r="B314" s="180" t="str">
        <f>'B) D RI'!B315</f>
        <v>Yvonand</v>
      </c>
      <c r="C314" s="376">
        <f>'B) D RI'!S315</f>
        <v>73</v>
      </c>
      <c r="D314" s="181">
        <f>'B) D RI'!AA315</f>
        <v>3236</v>
      </c>
      <c r="E314" s="374">
        <f>'D) Ecrêtage'!M313</f>
        <v>88261.067808219188</v>
      </c>
      <c r="F314" s="378">
        <f>'E) Fact soc'!G319</f>
        <v>1781183.1945179659</v>
      </c>
      <c r="G314" s="375">
        <f>'H) Péréquation directe'!I324</f>
        <v>-485455.18808833021</v>
      </c>
      <c r="H314" s="378">
        <f>'I) Dépenses thématiques'!O313</f>
        <v>-273693.31773722603</v>
      </c>
      <c r="I314" s="375">
        <f>'K) Plafonnement aide'!J313</f>
        <v>0</v>
      </c>
      <c r="J314" s="378">
        <f>'J) Plafonnement effort'!I313</f>
        <v>0</v>
      </c>
      <c r="K314" s="375">
        <f>'L) Plafonnement taux'!Q314</f>
        <v>0</v>
      </c>
      <c r="L314" s="373">
        <f t="shared" si="15"/>
        <v>1022034.6886924097</v>
      </c>
      <c r="M314" s="267">
        <f>'M) Police'!O314</f>
        <v>278031.32396679802</v>
      </c>
      <c r="N314" s="269">
        <f t="shared" si="14"/>
        <v>1300066.0126592077</v>
      </c>
      <c r="P314" s="328"/>
      <c r="R314" s="381"/>
    </row>
    <row r="315" spans="1:18" x14ac:dyDescent="0.25">
      <c r="A315" s="38"/>
      <c r="B315" s="32">
        <f>COUNTA(B6:B314)</f>
        <v>309</v>
      </c>
      <c r="C315" s="292"/>
      <c r="D315" s="184">
        <f>SUM(D6:D314)</f>
        <v>778251</v>
      </c>
      <c r="E315" s="184">
        <f>SUM(E6:E314)</f>
        <v>35263307.270035163</v>
      </c>
      <c r="F315" s="166">
        <f>'E) Fact soc'!G320</f>
        <v>770525999.99999952</v>
      </c>
      <c r="G315" s="166">
        <f>'H) Péréquation directe'!I325</f>
        <v>148360970.08013999</v>
      </c>
      <c r="H315" s="166">
        <f>'I) Dépenses thématiques'!O314</f>
        <v>-141053229.08014044</v>
      </c>
      <c r="I315" s="166">
        <f>'K) Plafonnement aide'!J314</f>
        <v>3685638.2806084994</v>
      </c>
      <c r="J315" s="166">
        <f>'J) Plafonnement effort'!I314</f>
        <v>-10543379.305703679</v>
      </c>
      <c r="K315" s="166">
        <f>+'L) Plafonnement taux'!Q315</f>
        <v>0</v>
      </c>
      <c r="L315" s="268">
        <f t="shared" si="15"/>
        <v>770975999.97490394</v>
      </c>
      <c r="M315" s="268">
        <f>SUM(M6:M314)</f>
        <v>66919050.99999997</v>
      </c>
      <c r="N315" s="268">
        <f>SUM(N6:N314)</f>
        <v>837895050.97490454</v>
      </c>
    </row>
    <row r="316" spans="1:18" x14ac:dyDescent="0.25">
      <c r="D316" s="18"/>
      <c r="E316" s="18"/>
      <c r="L316" s="8"/>
      <c r="M316" s="8"/>
      <c r="N316" s="8"/>
    </row>
    <row r="317" spans="1:18" x14ac:dyDescent="0.25">
      <c r="H317" s="183"/>
      <c r="I317" s="183"/>
      <c r="J317" s="183"/>
      <c r="K317" s="183"/>
      <c r="L317" s="8"/>
      <c r="M317" s="8"/>
      <c r="N317" s="8"/>
    </row>
  </sheetData>
  <sheetProtection password="E95E" sheet="1" objects="1" scenarios="1"/>
  <mergeCells count="16">
    <mergeCell ref="O4:O5"/>
    <mergeCell ref="M4:M5"/>
    <mergeCell ref="N4:N5"/>
    <mergeCell ref="A1:E1"/>
    <mergeCell ref="L4:L5"/>
    <mergeCell ref="K4:K5"/>
    <mergeCell ref="J4:J5"/>
    <mergeCell ref="I4:I5"/>
    <mergeCell ref="H4:H5"/>
    <mergeCell ref="G4:G5"/>
    <mergeCell ref="F4:F5"/>
    <mergeCell ref="E4:E5"/>
    <mergeCell ref="D4:D5"/>
    <mergeCell ref="C4:C5"/>
    <mergeCell ref="B4:B5"/>
    <mergeCell ref="A4:A5"/>
  </mergeCells>
  <phoneticPr fontId="0" type="noConversion"/>
  <printOptions horizontalCentered="1" verticalCentered="1"/>
  <pageMargins left="0.19685039370078741" right="0.19685039370078741" top="0" bottom="0" header="0.51181102362204722" footer="0.51181102362204722"/>
  <pageSetup paperSize="9" fitToHeight="7" orientation="landscape" horizontalDpi="1200" verticalDpi="1200" r:id="rId1"/>
  <headerFooter alignWithMargins="0">
    <oddFooter>&amp;LSCL - Division finances communales&amp;C-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50"/>
  </sheetPr>
  <dimension ref="A1:Y316"/>
  <sheetViews>
    <sheetView zoomScaleNormal="100" workbookViewId="0">
      <pane ySplit="6" topLeftCell="A7" activePane="bottomLeft" state="frozen"/>
      <selection activeCell="A27" sqref="A27"/>
      <selection pane="bottomLeft" activeCell="A27" sqref="A27"/>
    </sheetView>
  </sheetViews>
  <sheetFormatPr baseColWidth="10" defaultColWidth="8.625" defaultRowHeight="15" x14ac:dyDescent="0.25"/>
  <cols>
    <col min="1" max="1" width="7.75" style="6" customWidth="1"/>
    <col min="2" max="2" width="20.25" style="18" bestFit="1" customWidth="1"/>
    <col min="3" max="3" width="12.125" style="19" bestFit="1" customWidth="1"/>
    <col min="4" max="4" width="11.625" style="8" bestFit="1" customWidth="1"/>
    <col min="5" max="5" width="8.75" style="8" bestFit="1" customWidth="1"/>
    <col min="6" max="6" width="7.75" style="8" bestFit="1" customWidth="1"/>
    <col min="7" max="7" width="11.75" style="8" bestFit="1" customWidth="1"/>
    <col min="8" max="8" width="11.125" style="8" bestFit="1" customWidth="1"/>
    <col min="9" max="9" width="13.875" style="8" customWidth="1"/>
    <col min="10" max="10" width="11.125" style="8" bestFit="1" customWidth="1"/>
    <col min="11" max="11" width="11.75" style="8" bestFit="1" customWidth="1"/>
    <col min="12" max="12" width="11.125" style="8" bestFit="1" customWidth="1"/>
    <col min="13" max="13" width="12" style="8" bestFit="1" customWidth="1"/>
    <col min="14" max="14" width="11.125" style="8" bestFit="1" customWidth="1"/>
    <col min="15" max="15" width="13.875" style="8" bestFit="1" customWidth="1"/>
    <col min="16" max="16" width="10.125" style="8" bestFit="1" customWidth="1"/>
    <col min="17" max="17" width="13.875" style="8" customWidth="1"/>
    <col min="18" max="18" width="10.125" style="8" bestFit="1" customWidth="1"/>
    <col min="19" max="19" width="12" style="8" bestFit="1" customWidth="1"/>
    <col min="20" max="20" width="9.125" style="20" bestFit="1" customWidth="1"/>
    <col min="21" max="21" width="10.75" style="18" bestFit="1" customWidth="1"/>
    <col min="22" max="22" width="10.125" style="8" bestFit="1" customWidth="1"/>
    <col min="23" max="23" width="7.75" style="8" bestFit="1" customWidth="1"/>
    <col min="24" max="24" width="11.75" style="8" bestFit="1" customWidth="1"/>
    <col min="25" max="25" width="5.75" style="18" bestFit="1" customWidth="1"/>
    <col min="26" max="16384" width="8.625" style="18"/>
  </cols>
  <sheetData>
    <row r="1" spans="1:25" ht="21" x14ac:dyDescent="0.35">
      <c r="A1" s="33" t="s">
        <v>463</v>
      </c>
      <c r="B1" s="6"/>
      <c r="C1" s="332"/>
      <c r="D1" s="7"/>
      <c r="E1" s="7"/>
      <c r="F1" s="7"/>
      <c r="G1" s="7"/>
      <c r="H1" s="7"/>
      <c r="I1" s="7"/>
      <c r="J1" s="7"/>
    </row>
    <row r="2" spans="1:25" ht="21" x14ac:dyDescent="0.35">
      <c r="A2" s="33" t="str">
        <f>Paramètres!B5</f>
        <v>Acomptes 2018</v>
      </c>
      <c r="C2" s="333"/>
      <c r="D2" s="9"/>
      <c r="E2" s="7"/>
      <c r="F2" s="7"/>
      <c r="G2" s="7"/>
      <c r="H2" s="7"/>
      <c r="I2" s="7"/>
      <c r="J2" s="7"/>
    </row>
    <row r="3" spans="1:25" x14ac:dyDescent="0.25">
      <c r="A3" s="5"/>
      <c r="B3" s="6"/>
      <c r="C3" s="332"/>
      <c r="D3" s="7"/>
      <c r="E3" s="7"/>
      <c r="F3" s="7"/>
      <c r="G3" s="7"/>
      <c r="H3" s="7"/>
      <c r="I3" s="7"/>
      <c r="J3" s="7"/>
      <c r="L3" s="10"/>
    </row>
    <row r="4" spans="1:25" s="28" customFormat="1" ht="38.1" customHeight="1" x14ac:dyDescent="0.2">
      <c r="A4" s="407" t="s">
        <v>50</v>
      </c>
      <c r="B4" s="410" t="s">
        <v>540</v>
      </c>
      <c r="C4" s="416" t="s">
        <v>419</v>
      </c>
      <c r="D4" s="418" t="s">
        <v>420</v>
      </c>
      <c r="E4" s="413" t="s">
        <v>263</v>
      </c>
      <c r="F4" s="413" t="s">
        <v>264</v>
      </c>
      <c r="G4" s="413" t="s">
        <v>421</v>
      </c>
      <c r="H4" s="413" t="s">
        <v>422</v>
      </c>
      <c r="I4" s="413" t="s">
        <v>423</v>
      </c>
      <c r="J4" s="413" t="s">
        <v>389</v>
      </c>
      <c r="K4" s="413" t="s">
        <v>390</v>
      </c>
      <c r="L4" s="413" t="s">
        <v>391</v>
      </c>
      <c r="M4" s="413" t="s">
        <v>198</v>
      </c>
      <c r="N4" s="413" t="s">
        <v>199</v>
      </c>
      <c r="O4" s="413" t="s">
        <v>200</v>
      </c>
      <c r="P4" s="413" t="s">
        <v>201</v>
      </c>
      <c r="Q4" s="413" t="s">
        <v>424</v>
      </c>
      <c r="R4" s="413" t="s">
        <v>202</v>
      </c>
      <c r="S4" s="413" t="s">
        <v>143</v>
      </c>
      <c r="T4" s="425" t="s">
        <v>83</v>
      </c>
      <c r="U4" s="423" t="s">
        <v>462</v>
      </c>
      <c r="V4" s="413" t="s">
        <v>251</v>
      </c>
      <c r="W4" s="413" t="s">
        <v>252</v>
      </c>
      <c r="X4" s="413" t="s">
        <v>253</v>
      </c>
      <c r="Y4" s="420" t="s">
        <v>521</v>
      </c>
    </row>
    <row r="5" spans="1:25" s="28" customFormat="1" ht="38.1" customHeight="1" x14ac:dyDescent="0.2">
      <c r="A5" s="408"/>
      <c r="B5" s="411"/>
      <c r="C5" s="417"/>
      <c r="D5" s="419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4"/>
      <c r="R5" s="415"/>
      <c r="S5" s="415"/>
      <c r="T5" s="426"/>
      <c r="U5" s="424"/>
      <c r="V5" s="414"/>
      <c r="W5" s="414"/>
      <c r="X5" s="414"/>
      <c r="Y5" s="421"/>
    </row>
    <row r="6" spans="1:25" s="29" customFormat="1" x14ac:dyDescent="0.25">
      <c r="A6" s="409"/>
      <c r="B6" s="412"/>
      <c r="C6" s="334" t="s">
        <v>425</v>
      </c>
      <c r="D6" s="331" t="s">
        <v>426</v>
      </c>
      <c r="E6" s="26" t="s">
        <v>84</v>
      </c>
      <c r="F6" s="26" t="s">
        <v>85</v>
      </c>
      <c r="G6" s="26" t="s">
        <v>427</v>
      </c>
      <c r="H6" s="26" t="s">
        <v>428</v>
      </c>
      <c r="I6" s="26" t="s">
        <v>87</v>
      </c>
      <c r="J6" s="26" t="s">
        <v>88</v>
      </c>
      <c r="K6" s="26" t="s">
        <v>89</v>
      </c>
      <c r="L6" s="26" t="s">
        <v>90</v>
      </c>
      <c r="M6" s="26" t="s">
        <v>91</v>
      </c>
      <c r="N6" s="26" t="s">
        <v>92</v>
      </c>
      <c r="O6" s="26" t="s">
        <v>93</v>
      </c>
      <c r="P6" s="26" t="s">
        <v>94</v>
      </c>
      <c r="Q6" s="415"/>
      <c r="R6" s="26" t="s">
        <v>95</v>
      </c>
      <c r="S6" s="26" t="s">
        <v>96</v>
      </c>
      <c r="T6" s="30">
        <f>Paramètres!B8</f>
        <v>2016</v>
      </c>
      <c r="U6" s="31">
        <f>+Paramètres!B7</f>
        <v>41273</v>
      </c>
      <c r="V6" s="415"/>
      <c r="W6" s="415"/>
      <c r="X6" s="415"/>
      <c r="Y6" s="422"/>
    </row>
    <row r="7" spans="1:25" x14ac:dyDescent="0.25">
      <c r="A7" s="12">
        <v>5401</v>
      </c>
      <c r="B7" s="13" t="s">
        <v>266</v>
      </c>
      <c r="C7" s="338">
        <v>11485928.130000001</v>
      </c>
      <c r="D7" s="339">
        <v>1514093.43</v>
      </c>
      <c r="E7" s="338">
        <v>0</v>
      </c>
      <c r="F7" s="340">
        <v>94.6</v>
      </c>
      <c r="G7" s="338">
        <v>3327599.7</v>
      </c>
      <c r="H7" s="339">
        <v>192805.6</v>
      </c>
      <c r="I7" s="338">
        <v>7768.35</v>
      </c>
      <c r="J7" s="339">
        <v>756597.42</v>
      </c>
      <c r="K7" s="338">
        <v>139360.5</v>
      </c>
      <c r="L7" s="339">
        <v>1825359.25</v>
      </c>
      <c r="M7" s="3">
        <f>SUM(C7:L7)</f>
        <v>19249606.98</v>
      </c>
      <c r="N7" s="62">
        <v>1036709.25</v>
      </c>
      <c r="O7" s="62">
        <v>1305319.2</v>
      </c>
      <c r="P7" s="62">
        <v>692179.65</v>
      </c>
      <c r="Q7" s="62">
        <v>71257.850000000006</v>
      </c>
      <c r="R7" s="62">
        <v>260467.65</v>
      </c>
      <c r="S7" s="2">
        <f t="shared" ref="S7:S70" si="0">SUM(M7:R7)</f>
        <v>22615540.579999998</v>
      </c>
      <c r="T7" s="22">
        <v>67.5</v>
      </c>
      <c r="U7" s="62">
        <v>9740</v>
      </c>
      <c r="V7" s="62">
        <v>-506782.14</v>
      </c>
      <c r="W7" s="62"/>
      <c r="X7" s="62">
        <v>-1074.8599999999999</v>
      </c>
      <c r="Y7" s="42">
        <v>1.2</v>
      </c>
    </row>
    <row r="8" spans="1:25" x14ac:dyDescent="0.25">
      <c r="A8" s="12">
        <v>5402</v>
      </c>
      <c r="B8" s="13" t="s">
        <v>267</v>
      </c>
      <c r="C8" s="338">
        <v>8104227.7199999997</v>
      </c>
      <c r="D8" s="339">
        <v>1082959.74</v>
      </c>
      <c r="E8" s="338">
        <v>0</v>
      </c>
      <c r="F8" s="338"/>
      <c r="G8" s="338">
        <v>1206207.6000000001</v>
      </c>
      <c r="H8" s="339">
        <v>78794.2</v>
      </c>
      <c r="I8" s="338">
        <v>17800.599999999999</v>
      </c>
      <c r="J8" s="339">
        <v>514724.49</v>
      </c>
      <c r="K8" s="338">
        <v>70857</v>
      </c>
      <c r="L8" s="339">
        <v>1428011.4</v>
      </c>
      <c r="M8" s="3">
        <f t="shared" ref="M8:M71" si="1">SUM(C8:L8)</f>
        <v>12503582.749999998</v>
      </c>
      <c r="N8" s="14">
        <v>172600.1</v>
      </c>
      <c r="O8" s="14">
        <v>289455.40000000002</v>
      </c>
      <c r="P8" s="14">
        <v>510571.55</v>
      </c>
      <c r="Q8" s="14">
        <v>126012.32</v>
      </c>
      <c r="R8" s="14">
        <v>303922.55</v>
      </c>
      <c r="S8" s="2">
        <f t="shared" si="0"/>
        <v>13906144.67</v>
      </c>
      <c r="T8" s="22">
        <v>71</v>
      </c>
      <c r="U8" s="14">
        <v>7424</v>
      </c>
      <c r="V8" s="14">
        <v>-371426.74</v>
      </c>
      <c r="W8" s="14"/>
      <c r="X8" s="14">
        <v>-641.79</v>
      </c>
      <c r="Y8" s="42">
        <v>1.25</v>
      </c>
    </row>
    <row r="9" spans="1:25" x14ac:dyDescent="0.25">
      <c r="A9" s="12">
        <v>5403</v>
      </c>
      <c r="B9" s="13" t="s">
        <v>117</v>
      </c>
      <c r="C9" s="338">
        <v>503631.91</v>
      </c>
      <c r="D9" s="339">
        <v>63629.32</v>
      </c>
      <c r="E9" s="338">
        <v>0</v>
      </c>
      <c r="F9" s="338"/>
      <c r="G9" s="338">
        <v>11729.55</v>
      </c>
      <c r="H9" s="339">
        <v>72</v>
      </c>
      <c r="I9" s="338"/>
      <c r="J9" s="339">
        <v>21995.56</v>
      </c>
      <c r="K9" s="338">
        <v>1245.5</v>
      </c>
      <c r="L9" s="339">
        <v>48881.15</v>
      </c>
      <c r="M9" s="3">
        <f t="shared" si="1"/>
        <v>651184.99000000011</v>
      </c>
      <c r="N9" s="14">
        <v>6233.65</v>
      </c>
      <c r="O9" s="14"/>
      <c r="P9" s="14">
        <v>30019</v>
      </c>
      <c r="Q9" s="14">
        <v>-10004.9</v>
      </c>
      <c r="R9" s="14">
        <v>19563.849999999999</v>
      </c>
      <c r="S9" s="2">
        <f t="shared" si="0"/>
        <v>696996.59000000008</v>
      </c>
      <c r="T9" s="22">
        <v>76</v>
      </c>
      <c r="U9" s="14">
        <v>395</v>
      </c>
      <c r="V9" s="14">
        <v>-7566.72</v>
      </c>
      <c r="W9" s="14"/>
      <c r="X9" s="14">
        <v>-12.22</v>
      </c>
      <c r="Y9" s="42">
        <v>1</v>
      </c>
    </row>
    <row r="10" spans="1:25" x14ac:dyDescent="0.25">
      <c r="A10" s="12">
        <v>5404</v>
      </c>
      <c r="B10" s="13" t="s">
        <v>118</v>
      </c>
      <c r="C10" s="338">
        <f>2625582.56-2000000</f>
        <v>625582.56000000006</v>
      </c>
      <c r="D10" s="339">
        <v>99558.31</v>
      </c>
      <c r="E10" s="338">
        <v>0</v>
      </c>
      <c r="F10" s="338"/>
      <c r="G10" s="338">
        <v>5933.75</v>
      </c>
      <c r="H10" s="339">
        <v>-2145.15</v>
      </c>
      <c r="I10" s="338"/>
      <c r="J10" s="339">
        <v>3320.81</v>
      </c>
      <c r="K10" s="338">
        <v>567.5</v>
      </c>
      <c r="L10" s="341">
        <v>107759.4</v>
      </c>
      <c r="M10" s="3">
        <f t="shared" si="1"/>
        <v>840577.18000000017</v>
      </c>
      <c r="N10" s="14">
        <v>17833.2</v>
      </c>
      <c r="O10" s="14">
        <v>44258.9</v>
      </c>
      <c r="P10" s="14">
        <v>18891.650000000001</v>
      </c>
      <c r="Q10" s="14">
        <v>5414.44</v>
      </c>
      <c r="R10" s="14">
        <v>15792.1</v>
      </c>
      <c r="S10" s="2">
        <f t="shared" si="0"/>
        <v>942767.47000000009</v>
      </c>
      <c r="T10" s="22">
        <v>70</v>
      </c>
      <c r="U10" s="14">
        <v>440</v>
      </c>
      <c r="V10" s="14">
        <v>-15582.99</v>
      </c>
      <c r="W10" s="14"/>
      <c r="X10" s="14">
        <v>-1.1299999999999999</v>
      </c>
      <c r="Y10" s="42">
        <v>1.5</v>
      </c>
    </row>
    <row r="11" spans="1:25" x14ac:dyDescent="0.25">
      <c r="A11" s="12">
        <v>5405</v>
      </c>
      <c r="B11" s="13" t="s">
        <v>119</v>
      </c>
      <c r="C11" s="338">
        <v>3095052.46</v>
      </c>
      <c r="D11" s="339">
        <v>939392.65</v>
      </c>
      <c r="E11" s="338">
        <v>0</v>
      </c>
      <c r="F11" s="338"/>
      <c r="G11" s="338">
        <v>47891.75</v>
      </c>
      <c r="H11" s="339">
        <v>7244.25</v>
      </c>
      <c r="I11" s="338">
        <v>189670.69</v>
      </c>
      <c r="J11" s="339">
        <v>111950.61</v>
      </c>
      <c r="K11" s="338">
        <v>10027.5</v>
      </c>
      <c r="L11" s="339">
        <v>751397</v>
      </c>
      <c r="M11" s="3">
        <f t="shared" si="1"/>
        <v>5152626.91</v>
      </c>
      <c r="N11" s="14"/>
      <c r="O11" s="14">
        <v>130090.5</v>
      </c>
      <c r="P11" s="14">
        <v>300408.45</v>
      </c>
      <c r="Q11" s="14">
        <v>3336.64</v>
      </c>
      <c r="R11" s="14">
        <v>176792.45</v>
      </c>
      <c r="S11" s="2">
        <f t="shared" si="0"/>
        <v>5763254.9500000002</v>
      </c>
      <c r="T11" s="22">
        <v>75</v>
      </c>
      <c r="U11" s="14">
        <v>1342</v>
      </c>
      <c r="V11" s="14">
        <v>-40065.300000000003</v>
      </c>
      <c r="W11" s="14"/>
      <c r="X11" s="14">
        <v>-561.19000000000005</v>
      </c>
      <c r="Y11" s="42">
        <v>1.5</v>
      </c>
    </row>
    <row r="12" spans="1:25" x14ac:dyDescent="0.25">
      <c r="A12" s="12">
        <v>5406</v>
      </c>
      <c r="B12" s="13" t="s">
        <v>120</v>
      </c>
      <c r="C12" s="338">
        <v>1022788.39</v>
      </c>
      <c r="D12" s="339">
        <v>111069.53</v>
      </c>
      <c r="E12" s="338">
        <v>0</v>
      </c>
      <c r="F12" s="338"/>
      <c r="G12" s="338">
        <v>147652.4</v>
      </c>
      <c r="H12" s="339">
        <v>4018.3</v>
      </c>
      <c r="I12" s="338"/>
      <c r="J12" s="339">
        <v>37235.29</v>
      </c>
      <c r="K12" s="338">
        <v>7564.5</v>
      </c>
      <c r="L12" s="339">
        <v>173541.55</v>
      </c>
      <c r="M12" s="3">
        <f t="shared" si="1"/>
        <v>1503869.96</v>
      </c>
      <c r="N12" s="14"/>
      <c r="O12" s="14">
        <v>2135.6</v>
      </c>
      <c r="P12" s="14">
        <v>5547</v>
      </c>
      <c r="Q12" s="14">
        <v>3245.99</v>
      </c>
      <c r="R12" s="14">
        <v>19037.25</v>
      </c>
      <c r="S12" s="2">
        <f t="shared" si="0"/>
        <v>1533835.8</v>
      </c>
      <c r="T12" s="22">
        <v>71</v>
      </c>
      <c r="U12" s="14">
        <v>922</v>
      </c>
      <c r="V12" s="14">
        <v>-29396.93</v>
      </c>
      <c r="W12" s="14"/>
      <c r="X12" s="14">
        <v>0</v>
      </c>
      <c r="Y12" s="42">
        <v>1.3</v>
      </c>
    </row>
    <row r="13" spans="1:25" x14ac:dyDescent="0.25">
      <c r="A13" s="12">
        <v>5407</v>
      </c>
      <c r="B13" s="13" t="s">
        <v>121</v>
      </c>
      <c r="C13" s="338">
        <v>4102055.57</v>
      </c>
      <c r="D13" s="339">
        <v>900775.18</v>
      </c>
      <c r="E13" s="338">
        <v>0</v>
      </c>
      <c r="F13" s="338"/>
      <c r="G13" s="338">
        <v>115517.5</v>
      </c>
      <c r="H13" s="339">
        <v>8100.45</v>
      </c>
      <c r="I13" s="338">
        <v>126338.06</v>
      </c>
      <c r="J13" s="339">
        <v>475791.81</v>
      </c>
      <c r="K13" s="338">
        <v>57270.5</v>
      </c>
      <c r="L13" s="339">
        <v>1173574.6499999999</v>
      </c>
      <c r="M13" s="3">
        <f t="shared" si="1"/>
        <v>6959423.7199999988</v>
      </c>
      <c r="N13" s="14">
        <v>28241.95</v>
      </c>
      <c r="O13" s="14">
        <v>1970.5</v>
      </c>
      <c r="P13" s="14">
        <v>246675.65</v>
      </c>
      <c r="Q13" s="14">
        <v>34816.31</v>
      </c>
      <c r="R13" s="14">
        <v>266735.34999999998</v>
      </c>
      <c r="S13" s="2">
        <f t="shared" si="0"/>
        <v>7537863.4799999986</v>
      </c>
      <c r="T13" s="22">
        <v>78</v>
      </c>
      <c r="U13" s="14">
        <v>4088</v>
      </c>
      <c r="V13" s="14">
        <v>-156900.63</v>
      </c>
      <c r="W13" s="14"/>
      <c r="X13" s="14">
        <v>-2491.8200000000002</v>
      </c>
      <c r="Y13" s="42">
        <v>1.5</v>
      </c>
    </row>
    <row r="14" spans="1:25" x14ac:dyDescent="0.25">
      <c r="A14" s="12">
        <v>5408</v>
      </c>
      <c r="B14" s="13" t="s">
        <v>122</v>
      </c>
      <c r="C14" s="338">
        <v>1919833.52</v>
      </c>
      <c r="D14" s="339">
        <v>130775.74</v>
      </c>
      <c r="E14" s="338">
        <v>0</v>
      </c>
      <c r="F14" s="338"/>
      <c r="G14" s="338">
        <v>309192.3</v>
      </c>
      <c r="H14" s="339">
        <v>2702.2</v>
      </c>
      <c r="I14" s="338"/>
      <c r="J14" s="339">
        <v>70518.820000000007</v>
      </c>
      <c r="K14" s="338">
        <v>14171</v>
      </c>
      <c r="L14" s="339">
        <v>297823.45</v>
      </c>
      <c r="M14" s="3">
        <f t="shared" si="1"/>
        <v>2745017.0300000003</v>
      </c>
      <c r="N14" s="14">
        <v>71489.75</v>
      </c>
      <c r="O14" s="14">
        <v>33.9</v>
      </c>
      <c r="P14" s="14">
        <v>176109.45</v>
      </c>
      <c r="Q14" s="14">
        <v>23805.34</v>
      </c>
      <c r="R14" s="14">
        <v>66602.350000000006</v>
      </c>
      <c r="S14" s="2">
        <f t="shared" si="0"/>
        <v>3083057.8200000003</v>
      </c>
      <c r="T14" s="22">
        <v>78.5</v>
      </c>
      <c r="U14" s="14">
        <v>1056</v>
      </c>
      <c r="V14" s="14">
        <v>-45856.32</v>
      </c>
      <c r="W14" s="14"/>
      <c r="X14" s="14">
        <v>-256.08</v>
      </c>
      <c r="Y14" s="42">
        <v>1.5</v>
      </c>
    </row>
    <row r="15" spans="1:25" x14ac:dyDescent="0.25">
      <c r="A15" s="12">
        <v>5409</v>
      </c>
      <c r="B15" s="13" t="s">
        <v>123</v>
      </c>
      <c r="C15" s="338">
        <v>12908813.18</v>
      </c>
      <c r="D15" s="339">
        <v>4511542.32</v>
      </c>
      <c r="E15" s="338">
        <v>0</v>
      </c>
      <c r="F15" s="338"/>
      <c r="G15" s="338">
        <v>1238354.3</v>
      </c>
      <c r="H15" s="339">
        <v>106999.1</v>
      </c>
      <c r="I15" s="338">
        <v>2595680.86</v>
      </c>
      <c r="J15" s="339">
        <v>859110.54</v>
      </c>
      <c r="K15" s="338">
        <v>124585.5</v>
      </c>
      <c r="L15" s="339">
        <v>3619375.25</v>
      </c>
      <c r="M15" s="3">
        <f t="shared" si="1"/>
        <v>25964461.050000001</v>
      </c>
      <c r="N15" s="14">
        <v>34479.550000000003</v>
      </c>
      <c r="O15" s="14">
        <v>1562250.5</v>
      </c>
      <c r="P15" s="14">
        <v>1388024.65</v>
      </c>
      <c r="Q15" s="14">
        <v>97140.47</v>
      </c>
      <c r="R15" s="14">
        <v>931892.05</v>
      </c>
      <c r="S15" s="2">
        <f t="shared" si="0"/>
        <v>29978248.27</v>
      </c>
      <c r="T15" s="22">
        <v>68</v>
      </c>
      <c r="U15" s="14">
        <v>7473</v>
      </c>
      <c r="V15" s="14">
        <v>-326022.56</v>
      </c>
      <c r="W15" s="14"/>
      <c r="X15" s="14">
        <v>-9976.24</v>
      </c>
      <c r="Y15" s="42">
        <v>1.3</v>
      </c>
    </row>
    <row r="16" spans="1:25" x14ac:dyDescent="0.25">
      <c r="A16" s="12">
        <v>5410</v>
      </c>
      <c r="B16" s="13" t="s">
        <v>135</v>
      </c>
      <c r="C16" s="338">
        <v>1759459.76</v>
      </c>
      <c r="D16" s="339">
        <v>588946.04</v>
      </c>
      <c r="E16" s="338">
        <v>0</v>
      </c>
      <c r="F16" s="338"/>
      <c r="G16" s="338">
        <v>129691.15</v>
      </c>
      <c r="H16" s="339">
        <v>5654.1</v>
      </c>
      <c r="I16" s="338"/>
      <c r="J16" s="339">
        <v>81208.710000000006</v>
      </c>
      <c r="K16" s="338">
        <v>9253</v>
      </c>
      <c r="L16" s="339">
        <v>528469.6</v>
      </c>
      <c r="M16" s="3">
        <f t="shared" si="1"/>
        <v>3102682.36</v>
      </c>
      <c r="N16" s="14"/>
      <c r="O16" s="14">
        <v>17062.7</v>
      </c>
      <c r="P16" s="14">
        <v>90373.4</v>
      </c>
      <c r="Q16" s="14">
        <v>13945.7</v>
      </c>
      <c r="R16" s="14">
        <v>128800</v>
      </c>
      <c r="S16" s="2">
        <f t="shared" si="0"/>
        <v>3352864.16</v>
      </c>
      <c r="T16" s="22">
        <v>78.5</v>
      </c>
      <c r="U16" s="14">
        <v>1105</v>
      </c>
      <c r="V16" s="14">
        <v>-78867.820000000007</v>
      </c>
      <c r="W16" s="14"/>
      <c r="X16" s="14">
        <v>-105.2</v>
      </c>
      <c r="Y16" s="42">
        <v>1.5</v>
      </c>
    </row>
    <row r="17" spans="1:25" x14ac:dyDescent="0.25">
      <c r="A17" s="12">
        <v>5411</v>
      </c>
      <c r="B17" s="13" t="s">
        <v>136</v>
      </c>
      <c r="C17" s="338">
        <v>3305554.04</v>
      </c>
      <c r="D17" s="339">
        <v>1179017.42</v>
      </c>
      <c r="E17" s="338">
        <v>0</v>
      </c>
      <c r="F17" s="338"/>
      <c r="G17" s="338">
        <v>131776.9</v>
      </c>
      <c r="H17" s="339">
        <v>3173.1</v>
      </c>
      <c r="I17" s="338">
        <v>64149.7</v>
      </c>
      <c r="J17" s="339">
        <v>179211.59</v>
      </c>
      <c r="K17" s="338">
        <v>23783.5</v>
      </c>
      <c r="L17" s="339">
        <v>1146744.8999999999</v>
      </c>
      <c r="M17" s="3">
        <f t="shared" si="1"/>
        <v>6033411.1500000004</v>
      </c>
      <c r="N17" s="14">
        <v>10854.5</v>
      </c>
      <c r="O17" s="14">
        <v>23631.599999999999</v>
      </c>
      <c r="P17" s="14">
        <v>336512.55</v>
      </c>
      <c r="Q17" s="14">
        <v>14429.55</v>
      </c>
      <c r="R17" s="14">
        <v>104044.1</v>
      </c>
      <c r="S17" s="2">
        <f t="shared" si="0"/>
        <v>6522883.4499999993</v>
      </c>
      <c r="T17" s="22">
        <v>76</v>
      </c>
      <c r="U17" s="14">
        <v>1479</v>
      </c>
      <c r="V17" s="14">
        <v>-36450.97</v>
      </c>
      <c r="W17" s="14"/>
      <c r="X17" s="14">
        <v>-1499.14</v>
      </c>
      <c r="Y17" s="42">
        <v>1.5</v>
      </c>
    </row>
    <row r="18" spans="1:25" x14ac:dyDescent="0.25">
      <c r="A18" s="12">
        <v>5412</v>
      </c>
      <c r="B18" s="13" t="s">
        <v>137</v>
      </c>
      <c r="C18" s="338">
        <v>1074234.1499999999</v>
      </c>
      <c r="D18" s="339">
        <v>123920.04</v>
      </c>
      <c r="E18" s="338">
        <v>0</v>
      </c>
      <c r="F18" s="338"/>
      <c r="G18" s="338">
        <v>313356</v>
      </c>
      <c r="H18" s="339">
        <v>-929.75</v>
      </c>
      <c r="I18" s="338">
        <v>23170.799999999999</v>
      </c>
      <c r="J18" s="339">
        <v>36783.83</v>
      </c>
      <c r="K18" s="338">
        <v>23145.5</v>
      </c>
      <c r="L18" s="339">
        <v>196817.1</v>
      </c>
      <c r="M18" s="3">
        <f t="shared" si="1"/>
        <v>1790497.6700000002</v>
      </c>
      <c r="N18" s="14">
        <v>86684.75</v>
      </c>
      <c r="O18" s="14"/>
      <c r="P18" s="14">
        <v>73676</v>
      </c>
      <c r="Q18" s="14">
        <v>-1517.97</v>
      </c>
      <c r="R18" s="14">
        <v>82352.55</v>
      </c>
      <c r="S18" s="2">
        <f t="shared" si="0"/>
        <v>2031693.0000000002</v>
      </c>
      <c r="T18" s="22">
        <v>67.5</v>
      </c>
      <c r="U18" s="14">
        <v>843</v>
      </c>
      <c r="V18" s="14">
        <v>-18791.439999999999</v>
      </c>
      <c r="W18" s="14"/>
      <c r="X18" s="14">
        <v>-52.86</v>
      </c>
      <c r="Y18" s="42">
        <v>1</v>
      </c>
    </row>
    <row r="19" spans="1:25" x14ac:dyDescent="0.25">
      <c r="A19" s="12">
        <v>5413</v>
      </c>
      <c r="B19" s="13" t="s">
        <v>138</v>
      </c>
      <c r="C19" s="338">
        <v>1755458.07</v>
      </c>
      <c r="D19" s="339">
        <v>189833.03</v>
      </c>
      <c r="E19" s="338">
        <v>0</v>
      </c>
      <c r="F19" s="338"/>
      <c r="G19" s="338">
        <v>479716.25</v>
      </c>
      <c r="H19" s="339">
        <v>3995.45</v>
      </c>
      <c r="I19" s="338">
        <v>3794.75</v>
      </c>
      <c r="J19" s="339">
        <v>81110.37</v>
      </c>
      <c r="K19" s="338">
        <v>-15394.5</v>
      </c>
      <c r="L19" s="339">
        <v>212751.25</v>
      </c>
      <c r="M19" s="3">
        <f t="shared" si="1"/>
        <v>2711264.6700000004</v>
      </c>
      <c r="N19" s="14">
        <v>194227.4</v>
      </c>
      <c r="O19" s="14"/>
      <c r="P19" s="14">
        <v>188309.6</v>
      </c>
      <c r="Q19" s="14">
        <v>34315.96</v>
      </c>
      <c r="R19" s="14">
        <v>50387.1</v>
      </c>
      <c r="S19" s="2">
        <f t="shared" si="0"/>
        <v>3178504.7300000004</v>
      </c>
      <c r="T19" s="22">
        <v>68</v>
      </c>
      <c r="U19" s="14">
        <v>1597</v>
      </c>
      <c r="V19" s="14">
        <v>-98624.99</v>
      </c>
      <c r="W19" s="14"/>
      <c r="X19" s="14">
        <v>-108.11</v>
      </c>
      <c r="Y19" s="42">
        <v>1</v>
      </c>
    </row>
    <row r="20" spans="1:25" x14ac:dyDescent="0.25">
      <c r="A20" s="12">
        <v>5414</v>
      </c>
      <c r="B20" s="13" t="s">
        <v>139</v>
      </c>
      <c r="C20" s="338">
        <v>7120378.4699999997</v>
      </c>
      <c r="D20" s="339">
        <v>1109243.24</v>
      </c>
      <c r="E20" s="338">
        <v>0</v>
      </c>
      <c r="F20" s="338"/>
      <c r="G20" s="338">
        <v>1283608.8</v>
      </c>
      <c r="H20" s="339">
        <v>92774.399999999994</v>
      </c>
      <c r="I20" s="338">
        <v>12346.9</v>
      </c>
      <c r="J20" s="339">
        <v>459007.83</v>
      </c>
      <c r="K20" s="338">
        <v>145740</v>
      </c>
      <c r="L20" s="339">
        <v>1009022.65</v>
      </c>
      <c r="M20" s="3">
        <f t="shared" si="1"/>
        <v>11232122.290000001</v>
      </c>
      <c r="N20" s="14">
        <v>878222.3</v>
      </c>
      <c r="O20" s="14">
        <v>76875.399999999994</v>
      </c>
      <c r="P20" s="14">
        <v>572736</v>
      </c>
      <c r="Q20" s="14">
        <v>32626.799999999999</v>
      </c>
      <c r="R20" s="14">
        <v>267302.90000000002</v>
      </c>
      <c r="S20" s="2">
        <f t="shared" si="0"/>
        <v>13059885.690000003</v>
      </c>
      <c r="T20" s="22">
        <v>69</v>
      </c>
      <c r="U20" s="14">
        <v>5457</v>
      </c>
      <c r="V20" s="14">
        <v>-232841.62</v>
      </c>
      <c r="W20" s="14"/>
      <c r="X20" s="14">
        <v>-1327.95</v>
      </c>
      <c r="Y20" s="42">
        <v>1</v>
      </c>
    </row>
    <row r="21" spans="1:25" x14ac:dyDescent="0.25">
      <c r="A21" s="12">
        <v>5415</v>
      </c>
      <c r="B21" s="13" t="s">
        <v>77</v>
      </c>
      <c r="C21" s="338">
        <v>1738599.04</v>
      </c>
      <c r="D21" s="339">
        <v>296854.46999999997</v>
      </c>
      <c r="E21" s="338">
        <v>0</v>
      </c>
      <c r="F21" s="338"/>
      <c r="G21" s="338">
        <v>137200.95000000001</v>
      </c>
      <c r="H21" s="339">
        <v>862.3</v>
      </c>
      <c r="I21" s="338"/>
      <c r="J21" s="339">
        <v>52824.83</v>
      </c>
      <c r="K21" s="338">
        <v>9650</v>
      </c>
      <c r="L21" s="339">
        <v>314007.55</v>
      </c>
      <c r="M21" s="3">
        <f t="shared" si="1"/>
        <v>2549999.1399999997</v>
      </c>
      <c r="N21" s="14">
        <v>37558.5</v>
      </c>
      <c r="O21" s="14">
        <v>43074.6</v>
      </c>
      <c r="P21" s="14">
        <v>105100.6</v>
      </c>
      <c r="Q21" s="14">
        <v>25897.13</v>
      </c>
      <c r="R21" s="14">
        <v>73410.05</v>
      </c>
      <c r="S21" s="2">
        <f t="shared" si="0"/>
        <v>2835040.0199999996</v>
      </c>
      <c r="T21" s="22">
        <v>68.5</v>
      </c>
      <c r="U21" s="14">
        <v>1061</v>
      </c>
      <c r="V21" s="14">
        <v>-23559.81</v>
      </c>
      <c r="W21" s="14"/>
      <c r="X21" s="14">
        <v>-385.28</v>
      </c>
      <c r="Y21" s="42">
        <v>1.5</v>
      </c>
    </row>
    <row r="22" spans="1:25" x14ac:dyDescent="0.25">
      <c r="A22" s="12">
        <v>5421</v>
      </c>
      <c r="B22" s="13" t="s">
        <v>78</v>
      </c>
      <c r="C22" s="338">
        <v>3282235.64</v>
      </c>
      <c r="D22" s="339">
        <v>461646.32</v>
      </c>
      <c r="E22" s="338">
        <v>0</v>
      </c>
      <c r="F22" s="338"/>
      <c r="G22" s="338">
        <v>116961.65</v>
      </c>
      <c r="H22" s="339">
        <v>97887.1</v>
      </c>
      <c r="I22" s="338">
        <v>103474.4</v>
      </c>
      <c r="J22" s="339">
        <v>177561.4</v>
      </c>
      <c r="K22" s="338">
        <v>10157.5</v>
      </c>
      <c r="L22" s="339">
        <v>270977.65000000002</v>
      </c>
      <c r="M22" s="3">
        <f t="shared" si="1"/>
        <v>4520901.66</v>
      </c>
      <c r="N22" s="14">
        <v>18941.900000000001</v>
      </c>
      <c r="O22" s="14">
        <v>-16642.5</v>
      </c>
      <c r="P22" s="14">
        <v>49923.5</v>
      </c>
      <c r="Q22" s="14"/>
      <c r="R22" s="14">
        <v>16966.5</v>
      </c>
      <c r="S22" s="2">
        <f t="shared" si="0"/>
        <v>4590091.0600000005</v>
      </c>
      <c r="T22" s="22">
        <v>76</v>
      </c>
      <c r="U22" s="14">
        <v>1412</v>
      </c>
      <c r="V22" s="14">
        <v>-35641.96</v>
      </c>
      <c r="W22" s="14"/>
      <c r="X22" s="14">
        <v>-836.88</v>
      </c>
      <c r="Y22" s="42">
        <v>1</v>
      </c>
    </row>
    <row r="23" spans="1:25" x14ac:dyDescent="0.25">
      <c r="A23" s="12">
        <v>5422</v>
      </c>
      <c r="B23" s="13" t="s">
        <v>79</v>
      </c>
      <c r="C23" s="338">
        <v>9071781.1600000001</v>
      </c>
      <c r="D23" s="339">
        <v>1725078.12</v>
      </c>
      <c r="E23" s="338">
        <v>0</v>
      </c>
      <c r="F23" s="338"/>
      <c r="G23" s="338">
        <v>2811401.2</v>
      </c>
      <c r="H23" s="339">
        <v>120537.25</v>
      </c>
      <c r="I23" s="338">
        <v>244858.9</v>
      </c>
      <c r="J23" s="339">
        <v>13806.26</v>
      </c>
      <c r="K23" s="338">
        <v>125799</v>
      </c>
      <c r="L23" s="339">
        <v>903935.44</v>
      </c>
      <c r="M23" s="3">
        <f t="shared" si="1"/>
        <v>15017197.33</v>
      </c>
      <c r="N23" s="14">
        <v>679640.9</v>
      </c>
      <c r="O23" s="14">
        <v>18186.599999999999</v>
      </c>
      <c r="P23" s="14">
        <v>334267.65000000002</v>
      </c>
      <c r="Q23" s="14">
        <v>7315.44</v>
      </c>
      <c r="R23" s="14">
        <v>221888.95</v>
      </c>
      <c r="S23" s="2">
        <f t="shared" si="0"/>
        <v>16278496.869999999</v>
      </c>
      <c r="T23" s="22">
        <v>68</v>
      </c>
      <c r="U23" s="14">
        <v>3272</v>
      </c>
      <c r="V23" s="14">
        <v>-131583.53</v>
      </c>
      <c r="W23" s="14"/>
      <c r="X23" s="14">
        <v>-1733.23</v>
      </c>
      <c r="Y23" s="42">
        <v>1</v>
      </c>
    </row>
    <row r="24" spans="1:25" x14ac:dyDescent="0.25">
      <c r="A24" s="12">
        <v>5423</v>
      </c>
      <c r="B24" s="13" t="s">
        <v>80</v>
      </c>
      <c r="C24" s="338">
        <v>835190.79</v>
      </c>
      <c r="D24" s="339">
        <v>114106.87</v>
      </c>
      <c r="E24" s="338">
        <v>0</v>
      </c>
      <c r="F24" s="338">
        <v>2640</v>
      </c>
      <c r="G24" s="338">
        <v>3951</v>
      </c>
      <c r="H24" s="339">
        <v>124.65</v>
      </c>
      <c r="I24" s="338"/>
      <c r="J24" s="339">
        <v>28152.09</v>
      </c>
      <c r="K24" s="338">
        <v>-5229</v>
      </c>
      <c r="L24" s="339">
        <v>35561.599999999999</v>
      </c>
      <c r="M24" s="3">
        <f t="shared" si="1"/>
        <v>1014498</v>
      </c>
      <c r="N24" s="14">
        <v>12734.2</v>
      </c>
      <c r="O24" s="14"/>
      <c r="P24" s="14">
        <v>9537.2999999999993</v>
      </c>
      <c r="Q24" s="14">
        <v>11881.04</v>
      </c>
      <c r="R24" s="14">
        <v>3339.8</v>
      </c>
      <c r="S24" s="2">
        <f t="shared" si="0"/>
        <v>1051990.3400000001</v>
      </c>
      <c r="T24" s="22">
        <v>69</v>
      </c>
      <c r="U24" s="14">
        <v>508</v>
      </c>
      <c r="V24" s="14">
        <v>-1300.93</v>
      </c>
      <c r="W24" s="14"/>
      <c r="X24" s="14">
        <v>-933.89</v>
      </c>
      <c r="Y24" s="42">
        <v>0.5</v>
      </c>
    </row>
    <row r="25" spans="1:25" x14ac:dyDescent="0.25">
      <c r="A25" s="12">
        <v>5424</v>
      </c>
      <c r="B25" s="13" t="s">
        <v>81</v>
      </c>
      <c r="C25" s="338">
        <v>529350.04</v>
      </c>
      <c r="D25" s="339">
        <v>47660.95</v>
      </c>
      <c r="E25" s="338">
        <v>0</v>
      </c>
      <c r="F25" s="338"/>
      <c r="G25" s="338">
        <v>-64.050000000000196</v>
      </c>
      <c r="H25" s="339">
        <v>44.1</v>
      </c>
      <c r="I25" s="338">
        <v>33149</v>
      </c>
      <c r="J25" s="339">
        <v>45661.2</v>
      </c>
      <c r="K25" s="338">
        <v>94.5</v>
      </c>
      <c r="L25" s="339">
        <v>49420</v>
      </c>
      <c r="M25" s="3">
        <f t="shared" si="1"/>
        <v>705315.73999999987</v>
      </c>
      <c r="N25" s="14"/>
      <c r="O25" s="14">
        <v>6884</v>
      </c>
      <c r="P25" s="14">
        <v>27894.05</v>
      </c>
      <c r="Q25" s="14"/>
      <c r="R25" s="14">
        <v>12503.55</v>
      </c>
      <c r="S25" s="2">
        <f t="shared" si="0"/>
        <v>752597.34</v>
      </c>
      <c r="T25" s="22">
        <v>77</v>
      </c>
      <c r="U25" s="14">
        <v>301</v>
      </c>
      <c r="V25" s="14">
        <v>-7741.81</v>
      </c>
      <c r="W25" s="14"/>
      <c r="X25" s="14">
        <v>-89.23</v>
      </c>
      <c r="Y25" s="42">
        <v>1</v>
      </c>
    </row>
    <row r="26" spans="1:25" x14ac:dyDescent="0.25">
      <c r="A26" s="12">
        <v>5425</v>
      </c>
      <c r="B26" s="13" t="s">
        <v>82</v>
      </c>
      <c r="C26" s="338">
        <v>2045215.4</v>
      </c>
      <c r="D26" s="339">
        <v>222522.21</v>
      </c>
      <c r="E26" s="338">
        <v>0</v>
      </c>
      <c r="F26" s="338"/>
      <c r="G26" s="338">
        <v>144479.29999999999</v>
      </c>
      <c r="H26" s="339">
        <v>1747.85</v>
      </c>
      <c r="I26" s="338"/>
      <c r="J26" s="339">
        <v>94786.12</v>
      </c>
      <c r="K26" s="338">
        <v>13629.5</v>
      </c>
      <c r="L26" s="339">
        <v>94071.35</v>
      </c>
      <c r="M26" s="3">
        <f t="shared" si="1"/>
        <v>2616451.73</v>
      </c>
      <c r="N26" s="14">
        <v>47803.7</v>
      </c>
      <c r="O26" s="14">
        <v>142828.79999999999</v>
      </c>
      <c r="P26" s="14">
        <v>100091.85</v>
      </c>
      <c r="Q26" s="14">
        <v>7929.86</v>
      </c>
      <c r="R26" s="14">
        <v>103205.8</v>
      </c>
      <c r="S26" s="2">
        <f t="shared" si="0"/>
        <v>3018311.7399999998</v>
      </c>
      <c r="T26" s="22">
        <v>68</v>
      </c>
      <c r="U26" s="14">
        <v>1546</v>
      </c>
      <c r="V26" s="14">
        <v>-38273.43</v>
      </c>
      <c r="W26" s="14"/>
      <c r="X26" s="14">
        <v>-92.69</v>
      </c>
      <c r="Y26" s="42">
        <v>0.5</v>
      </c>
    </row>
    <row r="27" spans="1:25" x14ac:dyDescent="0.25">
      <c r="A27" s="12">
        <v>5426</v>
      </c>
      <c r="B27" s="13" t="s">
        <v>76</v>
      </c>
      <c r="C27" s="338">
        <v>1235198.08</v>
      </c>
      <c r="D27" s="339">
        <v>533659.15</v>
      </c>
      <c r="E27" s="338">
        <v>0</v>
      </c>
      <c r="F27" s="338"/>
      <c r="G27" s="338">
        <v>63340</v>
      </c>
      <c r="H27" s="339">
        <v>1425.3</v>
      </c>
      <c r="I27" s="338">
        <v>564261.55000000005</v>
      </c>
      <c r="J27" s="339">
        <v>45521.1</v>
      </c>
      <c r="K27" s="338">
        <v>4457</v>
      </c>
      <c r="L27" s="339">
        <v>226148.15</v>
      </c>
      <c r="M27" s="3">
        <f t="shared" si="1"/>
        <v>2674010.33</v>
      </c>
      <c r="N27" s="14">
        <v>18980.099999999999</v>
      </c>
      <c r="O27" s="14">
        <v>5580057</v>
      </c>
      <c r="P27" s="14">
        <v>30668</v>
      </c>
      <c r="Q27" s="14">
        <v>28646.06</v>
      </c>
      <c r="R27" s="14">
        <v>52895.1</v>
      </c>
      <c r="S27" s="2">
        <f t="shared" si="0"/>
        <v>8385256.5899999989</v>
      </c>
      <c r="T27" s="22">
        <v>62</v>
      </c>
      <c r="U27" s="14">
        <v>467</v>
      </c>
      <c r="V27" s="14">
        <v>-61316.11</v>
      </c>
      <c r="W27" s="14"/>
      <c r="X27" s="14">
        <v>-2141.73</v>
      </c>
      <c r="Y27" s="42">
        <v>1</v>
      </c>
    </row>
    <row r="28" spans="1:25" x14ac:dyDescent="0.25">
      <c r="A28" s="12">
        <v>5427</v>
      </c>
      <c r="B28" s="13" t="s">
        <v>348</v>
      </c>
      <c r="C28" s="338">
        <v>3317445.58</v>
      </c>
      <c r="D28" s="339">
        <v>760551.9</v>
      </c>
      <c r="E28" s="338">
        <v>0</v>
      </c>
      <c r="F28" s="338"/>
      <c r="G28" s="338">
        <v>6897.45</v>
      </c>
      <c r="H28" s="339">
        <v>4238.3500000000004</v>
      </c>
      <c r="I28" s="338"/>
      <c r="J28" s="339">
        <v>-14751.18</v>
      </c>
      <c r="K28" s="338">
        <v>2738</v>
      </c>
      <c r="L28" s="339">
        <v>423159.65</v>
      </c>
      <c r="M28" s="3">
        <f t="shared" si="1"/>
        <v>4500279.75</v>
      </c>
      <c r="N28" s="14">
        <v>9672.0499999999993</v>
      </c>
      <c r="O28" s="14">
        <v>9416.9</v>
      </c>
      <c r="P28" s="14">
        <v>153965</v>
      </c>
      <c r="Q28" s="14"/>
      <c r="R28" s="14">
        <v>181710.8</v>
      </c>
      <c r="S28" s="2">
        <f t="shared" si="0"/>
        <v>4855044.5</v>
      </c>
      <c r="T28" s="22">
        <v>64</v>
      </c>
      <c r="U28" s="14">
        <v>887</v>
      </c>
      <c r="V28" s="14">
        <v>-280.08</v>
      </c>
      <c r="W28" s="14"/>
      <c r="X28" s="14">
        <v>0</v>
      </c>
      <c r="Y28" s="42">
        <v>1.3</v>
      </c>
    </row>
    <row r="29" spans="1:25" x14ac:dyDescent="0.25">
      <c r="A29" s="12">
        <v>5428</v>
      </c>
      <c r="B29" s="13" t="s">
        <v>349</v>
      </c>
      <c r="C29" s="338">
        <v>3077389.39</v>
      </c>
      <c r="D29" s="339">
        <v>451769.16</v>
      </c>
      <c r="E29" s="338">
        <v>0</v>
      </c>
      <c r="F29" s="338"/>
      <c r="G29" s="338">
        <v>145049.4</v>
      </c>
      <c r="H29" s="339">
        <v>1105.6500000000001</v>
      </c>
      <c r="I29" s="338">
        <v>42660.1</v>
      </c>
      <c r="J29" s="339">
        <v>139520.24</v>
      </c>
      <c r="K29" s="338">
        <v>12206.5</v>
      </c>
      <c r="L29" s="339">
        <v>375400.65</v>
      </c>
      <c r="M29" s="3">
        <f t="shared" si="1"/>
        <v>4245101.0900000008</v>
      </c>
      <c r="N29" s="14">
        <v>194411.7</v>
      </c>
      <c r="O29" s="14">
        <v>177477.2</v>
      </c>
      <c r="P29" s="14">
        <v>191030.9</v>
      </c>
      <c r="Q29" s="14">
        <v>7503.59</v>
      </c>
      <c r="R29" s="14">
        <v>144497.04999999999</v>
      </c>
      <c r="S29" s="2">
        <f t="shared" si="0"/>
        <v>4960021.5300000012</v>
      </c>
      <c r="T29" s="22">
        <v>71.5</v>
      </c>
      <c r="U29" s="14">
        <v>1948</v>
      </c>
      <c r="V29" s="14">
        <v>-42603.93</v>
      </c>
      <c r="W29" s="14"/>
      <c r="X29" s="14">
        <v>-103.45</v>
      </c>
      <c r="Y29" s="42">
        <v>1.2</v>
      </c>
    </row>
    <row r="30" spans="1:25" x14ac:dyDescent="0.25">
      <c r="A30" s="12">
        <v>5429</v>
      </c>
      <c r="B30" s="13" t="s">
        <v>369</v>
      </c>
      <c r="C30" s="338">
        <v>786182.47</v>
      </c>
      <c r="D30" s="339">
        <v>101230.01</v>
      </c>
      <c r="E30" s="338">
        <v>0</v>
      </c>
      <c r="F30" s="338"/>
      <c r="G30" s="338">
        <v>12359.8</v>
      </c>
      <c r="H30" s="339">
        <v>-1672.15</v>
      </c>
      <c r="I30" s="338"/>
      <c r="J30" s="339">
        <v>12589.59</v>
      </c>
      <c r="K30" s="338">
        <v>1064</v>
      </c>
      <c r="L30" s="339">
        <v>88377.600000000006</v>
      </c>
      <c r="M30" s="3">
        <f t="shared" si="1"/>
        <v>1000131.32</v>
      </c>
      <c r="N30" s="14"/>
      <c r="O30" s="14"/>
      <c r="P30" s="14">
        <v>99177.55</v>
      </c>
      <c r="Q30" s="14">
        <v>11095.95</v>
      </c>
      <c r="R30" s="14">
        <v>67851.399999999994</v>
      </c>
      <c r="S30" s="2">
        <f t="shared" si="0"/>
        <v>1178256.2199999997</v>
      </c>
      <c r="T30" s="22">
        <v>81</v>
      </c>
      <c r="U30" s="14">
        <v>460</v>
      </c>
      <c r="V30" s="14">
        <v>-25347.96</v>
      </c>
      <c r="W30" s="14"/>
      <c r="X30" s="14">
        <v>0</v>
      </c>
      <c r="Y30" s="42">
        <v>1</v>
      </c>
    </row>
    <row r="31" spans="1:25" x14ac:dyDescent="0.25">
      <c r="A31" s="12">
        <v>5430</v>
      </c>
      <c r="B31" s="13" t="s">
        <v>370</v>
      </c>
      <c r="C31" s="338">
        <v>678474.53</v>
      </c>
      <c r="D31" s="339">
        <v>78571.86</v>
      </c>
      <c r="E31" s="338">
        <v>0</v>
      </c>
      <c r="F31" s="338"/>
      <c r="G31" s="338">
        <v>6048.3</v>
      </c>
      <c r="H31" s="339">
        <v>-20.25</v>
      </c>
      <c r="I31" s="338"/>
      <c r="J31" s="339">
        <v>-2505.7800000000002</v>
      </c>
      <c r="K31" s="338">
        <v>1356.5</v>
      </c>
      <c r="L31" s="339">
        <v>79001.45</v>
      </c>
      <c r="M31" s="3">
        <f t="shared" si="1"/>
        <v>840926.61</v>
      </c>
      <c r="N31" s="14">
        <v>9030.9500000000007</v>
      </c>
      <c r="O31" s="14"/>
      <c r="P31" s="14">
        <v>48368.15</v>
      </c>
      <c r="Q31" s="14">
        <v>3173.44</v>
      </c>
      <c r="R31" s="14">
        <v>41408.6</v>
      </c>
      <c r="S31" s="2">
        <f t="shared" si="0"/>
        <v>942907.74999999988</v>
      </c>
      <c r="T31" s="22">
        <v>79</v>
      </c>
      <c r="U31" s="14">
        <v>430</v>
      </c>
      <c r="V31" s="14">
        <v>-8618.16</v>
      </c>
      <c r="W31" s="14"/>
      <c r="X31" s="14">
        <v>-201.84</v>
      </c>
      <c r="Y31" s="42">
        <v>1</v>
      </c>
    </row>
    <row r="32" spans="1:25" x14ac:dyDescent="0.25">
      <c r="A32" s="12">
        <v>5431</v>
      </c>
      <c r="B32" s="13" t="s">
        <v>371</v>
      </c>
      <c r="C32" s="338">
        <v>680037.41</v>
      </c>
      <c r="D32" s="339">
        <v>93811.839999999997</v>
      </c>
      <c r="E32" s="338">
        <v>0</v>
      </c>
      <c r="F32" s="338"/>
      <c r="G32" s="338">
        <v>435.3</v>
      </c>
      <c r="H32" s="339">
        <v>225.5</v>
      </c>
      <c r="I32" s="338"/>
      <c r="J32" s="339">
        <v>10042.17</v>
      </c>
      <c r="K32" s="338">
        <v>300.5</v>
      </c>
      <c r="L32" s="339">
        <v>48331.8</v>
      </c>
      <c r="M32" s="3">
        <f t="shared" si="1"/>
        <v>833184.52000000014</v>
      </c>
      <c r="N32" s="14"/>
      <c r="O32" s="14"/>
      <c r="P32" s="14">
        <v>11739.25</v>
      </c>
      <c r="Q32" s="14"/>
      <c r="R32" s="14">
        <v>38039.949999999997</v>
      </c>
      <c r="S32" s="2">
        <f t="shared" si="0"/>
        <v>882963.72000000009</v>
      </c>
      <c r="T32" s="22">
        <v>74</v>
      </c>
      <c r="U32" s="14">
        <v>295</v>
      </c>
      <c r="V32" s="14">
        <v>-3822.8</v>
      </c>
      <c r="W32" s="14"/>
      <c r="X32" s="14">
        <v>-115.42</v>
      </c>
      <c r="Y32" s="42">
        <v>1</v>
      </c>
    </row>
    <row r="33" spans="1:25" x14ac:dyDescent="0.25">
      <c r="A33" s="12">
        <v>5432</v>
      </c>
      <c r="B33" s="13" t="s">
        <v>372</v>
      </c>
      <c r="C33" s="338">
        <v>1103909.54</v>
      </c>
      <c r="D33" s="339">
        <v>86538.12</v>
      </c>
      <c r="E33" s="338">
        <v>0</v>
      </c>
      <c r="F33" s="338"/>
      <c r="G33" s="338">
        <v>57081.35</v>
      </c>
      <c r="H33" s="339">
        <v>625.45000000000005</v>
      </c>
      <c r="I33" s="338"/>
      <c r="J33" s="339">
        <v>65044.54</v>
      </c>
      <c r="K33" s="338">
        <v>5103.5</v>
      </c>
      <c r="L33" s="339">
        <v>91587.4</v>
      </c>
      <c r="M33" s="3">
        <f t="shared" si="1"/>
        <v>1409889.9000000001</v>
      </c>
      <c r="N33" s="14">
        <v>11765.7</v>
      </c>
      <c r="O33" s="14">
        <v>44885.2</v>
      </c>
      <c r="P33" s="14">
        <v>14080</v>
      </c>
      <c r="Q33" s="14">
        <v>790.59</v>
      </c>
      <c r="R33" s="14">
        <v>51697.65</v>
      </c>
      <c r="S33" s="2">
        <f t="shared" si="0"/>
        <v>1533109.04</v>
      </c>
      <c r="T33" s="22">
        <v>78</v>
      </c>
      <c r="U33" s="14">
        <v>522</v>
      </c>
      <c r="V33" s="14">
        <v>-28065.99</v>
      </c>
      <c r="W33" s="14"/>
      <c r="X33" s="14">
        <v>-31.8</v>
      </c>
      <c r="Y33" s="42">
        <v>1</v>
      </c>
    </row>
    <row r="34" spans="1:25" x14ac:dyDescent="0.25">
      <c r="A34" s="12">
        <v>5434</v>
      </c>
      <c r="B34" s="13" t="s">
        <v>373</v>
      </c>
      <c r="C34" s="338">
        <v>2177245.42</v>
      </c>
      <c r="D34" s="339"/>
      <c r="E34" s="338">
        <v>0</v>
      </c>
      <c r="F34" s="338"/>
      <c r="G34" s="338">
        <v>45696.6</v>
      </c>
      <c r="H34" s="339"/>
      <c r="I34" s="338"/>
      <c r="J34" s="339">
        <v>40785.25</v>
      </c>
      <c r="K34" s="338"/>
      <c r="L34" s="339">
        <v>200586.4</v>
      </c>
      <c r="M34" s="3">
        <f t="shared" si="1"/>
        <v>2464313.67</v>
      </c>
      <c r="N34" s="14">
        <v>35108.800000000003</v>
      </c>
      <c r="O34" s="14">
        <v>51215.199999999997</v>
      </c>
      <c r="P34" s="14">
        <v>77779.899999999994</v>
      </c>
      <c r="Q34" s="14">
        <v>1600.11</v>
      </c>
      <c r="R34" s="14">
        <v>57894.55</v>
      </c>
      <c r="S34" s="2">
        <f t="shared" si="0"/>
        <v>2687912.2299999995</v>
      </c>
      <c r="T34" s="22">
        <v>68.5</v>
      </c>
      <c r="U34" s="14">
        <v>991</v>
      </c>
      <c r="V34" s="14">
        <v>-7056.2</v>
      </c>
      <c r="W34" s="14"/>
      <c r="X34" s="14">
        <v>0</v>
      </c>
      <c r="Y34" s="42">
        <v>1</v>
      </c>
    </row>
    <row r="35" spans="1:25" x14ac:dyDescent="0.25">
      <c r="A35" s="12">
        <v>5435</v>
      </c>
      <c r="B35" s="13" t="s">
        <v>350</v>
      </c>
      <c r="C35" s="338">
        <v>1226649.4099999999</v>
      </c>
      <c r="D35" s="339">
        <v>126032.19</v>
      </c>
      <c r="E35" s="338">
        <v>0</v>
      </c>
      <c r="F35" s="338"/>
      <c r="G35" s="338">
        <v>17218.099999999999</v>
      </c>
      <c r="H35" s="339">
        <v>163.4</v>
      </c>
      <c r="I35" s="338"/>
      <c r="J35" s="339">
        <v>90637.82</v>
      </c>
      <c r="K35" s="338"/>
      <c r="L35" s="339">
        <v>117397.2</v>
      </c>
      <c r="M35" s="3">
        <f t="shared" si="1"/>
        <v>1578098.1199999999</v>
      </c>
      <c r="N35" s="14">
        <v>1994.1</v>
      </c>
      <c r="O35" s="14"/>
      <c r="P35" s="14">
        <v>9516.15</v>
      </c>
      <c r="Q35" s="14">
        <v>4134.6499999999996</v>
      </c>
      <c r="R35" s="14">
        <v>9444.35</v>
      </c>
      <c r="S35" s="2">
        <f t="shared" si="0"/>
        <v>1603187.3699999999</v>
      </c>
      <c r="T35" s="22">
        <v>69</v>
      </c>
      <c r="U35" s="14">
        <v>689</v>
      </c>
      <c r="V35" s="14">
        <v>-36760.92</v>
      </c>
      <c r="W35" s="14"/>
      <c r="X35" s="14">
        <v>-0.91</v>
      </c>
      <c r="Y35" s="42">
        <v>1</v>
      </c>
    </row>
    <row r="36" spans="1:25" x14ac:dyDescent="0.25">
      <c r="A36" s="12">
        <v>5436</v>
      </c>
      <c r="B36" s="13" t="s">
        <v>351</v>
      </c>
      <c r="C36" s="338">
        <v>713949.96</v>
      </c>
      <c r="D36" s="339">
        <v>64130.38</v>
      </c>
      <c r="E36" s="338">
        <v>0</v>
      </c>
      <c r="F36" s="338"/>
      <c r="G36" s="338">
        <v>-414.95</v>
      </c>
      <c r="H36" s="339">
        <v>208.85</v>
      </c>
      <c r="I36" s="338"/>
      <c r="J36" s="339">
        <v>15444.16</v>
      </c>
      <c r="K36" s="338"/>
      <c r="L36" s="339">
        <v>48714.6</v>
      </c>
      <c r="M36" s="3">
        <f t="shared" si="1"/>
        <v>842033</v>
      </c>
      <c r="N36" s="14"/>
      <c r="O36" s="14"/>
      <c r="P36" s="14">
        <v>55317.5</v>
      </c>
      <c r="Q36" s="14"/>
      <c r="R36" s="14">
        <v>9207.35</v>
      </c>
      <c r="S36" s="2">
        <f t="shared" si="0"/>
        <v>906557.85</v>
      </c>
      <c r="T36" s="22">
        <v>81</v>
      </c>
      <c r="U36" s="14">
        <v>350</v>
      </c>
      <c r="V36" s="14">
        <v>-5768.66</v>
      </c>
      <c r="W36" s="14"/>
      <c r="X36" s="14">
        <v>0</v>
      </c>
      <c r="Y36" s="42">
        <v>0.8</v>
      </c>
    </row>
    <row r="37" spans="1:25" x14ac:dyDescent="0.25">
      <c r="A37" s="12">
        <v>5437</v>
      </c>
      <c r="B37" s="13" t="s">
        <v>352</v>
      </c>
      <c r="C37" s="338">
        <v>682942.98</v>
      </c>
      <c r="D37" s="339">
        <v>58523.31</v>
      </c>
      <c r="E37" s="338">
        <v>0</v>
      </c>
      <c r="F37" s="338">
        <v>-20</v>
      </c>
      <c r="G37" s="338">
        <v>5471.25</v>
      </c>
      <c r="H37" s="339">
        <v>102</v>
      </c>
      <c r="I37" s="338"/>
      <c r="J37" s="339">
        <v>32824.35</v>
      </c>
      <c r="K37" s="338">
        <v>697</v>
      </c>
      <c r="L37" s="339">
        <v>59393.25</v>
      </c>
      <c r="M37" s="3">
        <f t="shared" si="1"/>
        <v>839934.14</v>
      </c>
      <c r="N37" s="14">
        <v>965.2</v>
      </c>
      <c r="O37" s="14">
        <v>59045.9</v>
      </c>
      <c r="P37" s="14">
        <v>42051.3</v>
      </c>
      <c r="Q37" s="14">
        <v>12233.07</v>
      </c>
      <c r="R37" s="14">
        <v>1655.3</v>
      </c>
      <c r="S37" s="2">
        <f t="shared" si="0"/>
        <v>955884.91</v>
      </c>
      <c r="T37" s="22">
        <v>80</v>
      </c>
      <c r="U37" s="14">
        <v>420</v>
      </c>
      <c r="V37" s="14">
        <v>-41063.760000000002</v>
      </c>
      <c r="W37" s="14"/>
      <c r="X37" s="14">
        <v>0</v>
      </c>
      <c r="Y37" s="42">
        <v>1</v>
      </c>
    </row>
    <row r="38" spans="1:25" x14ac:dyDescent="0.25">
      <c r="A38" s="12">
        <v>5451</v>
      </c>
      <c r="B38" s="13" t="s">
        <v>353</v>
      </c>
      <c r="C38" s="338">
        <v>4911294.08</v>
      </c>
      <c r="D38" s="339">
        <v>554433.24</v>
      </c>
      <c r="E38" s="338">
        <v>0</v>
      </c>
      <c r="F38" s="338"/>
      <c r="G38" s="338">
        <v>559516.65</v>
      </c>
      <c r="H38" s="339">
        <v>32420.3</v>
      </c>
      <c r="I38" s="338"/>
      <c r="J38" s="339">
        <v>625968.30000000005</v>
      </c>
      <c r="K38" s="338">
        <v>96453.5</v>
      </c>
      <c r="L38" s="339">
        <v>1197524.25</v>
      </c>
      <c r="M38" s="3">
        <f t="shared" si="1"/>
        <v>7977610.3200000003</v>
      </c>
      <c r="N38" s="14">
        <v>558913.6</v>
      </c>
      <c r="O38" s="14">
        <v>63376.2</v>
      </c>
      <c r="P38" s="14">
        <v>613883.65</v>
      </c>
      <c r="Q38" s="14">
        <v>73598.17</v>
      </c>
      <c r="R38" s="14">
        <v>158487.4</v>
      </c>
      <c r="S38" s="2">
        <f t="shared" si="0"/>
        <v>9445869.3399999999</v>
      </c>
      <c r="T38" s="22">
        <v>68</v>
      </c>
      <c r="U38" s="14">
        <v>4129</v>
      </c>
      <c r="V38" s="14">
        <v>-225519.44</v>
      </c>
      <c r="W38" s="14"/>
      <c r="X38" s="14">
        <v>-382.28</v>
      </c>
      <c r="Y38" s="42">
        <v>1.5</v>
      </c>
    </row>
    <row r="39" spans="1:25" x14ac:dyDescent="0.25">
      <c r="A39" s="12">
        <v>5456</v>
      </c>
      <c r="B39" s="13" t="s">
        <v>354</v>
      </c>
      <c r="C39" s="338">
        <v>2343697.9500000002</v>
      </c>
      <c r="D39" s="339">
        <v>257480.41</v>
      </c>
      <c r="E39" s="338">
        <v>0</v>
      </c>
      <c r="F39" s="338"/>
      <c r="G39" s="338">
        <v>111054.39999999999</v>
      </c>
      <c r="H39" s="339">
        <v>442.3</v>
      </c>
      <c r="I39" s="338"/>
      <c r="J39" s="339">
        <v>55091.4</v>
      </c>
      <c r="K39" s="338">
        <v>8012</v>
      </c>
      <c r="L39" s="339">
        <v>411103.35</v>
      </c>
      <c r="M39" s="3">
        <f t="shared" si="1"/>
        <v>3186881.81</v>
      </c>
      <c r="N39" s="14">
        <v>3697.85</v>
      </c>
      <c r="O39" s="14">
        <v>16142.9</v>
      </c>
      <c r="P39" s="14">
        <v>107693.5</v>
      </c>
      <c r="Q39" s="14">
        <v>59652.05</v>
      </c>
      <c r="R39" s="14">
        <v>47623.75</v>
      </c>
      <c r="S39" s="2">
        <f t="shared" si="0"/>
        <v>3421691.86</v>
      </c>
      <c r="T39" s="22">
        <v>59</v>
      </c>
      <c r="U39" s="14">
        <v>1555</v>
      </c>
      <c r="V39" s="14">
        <v>-78436.03</v>
      </c>
      <c r="W39" s="14"/>
      <c r="X39" s="14">
        <v>-8.08</v>
      </c>
      <c r="Y39" s="42">
        <v>1.5</v>
      </c>
    </row>
    <row r="40" spans="1:25" x14ac:dyDescent="0.25">
      <c r="A40" s="12">
        <v>5458</v>
      </c>
      <c r="B40" s="13" t="s">
        <v>355</v>
      </c>
      <c r="C40" s="338">
        <v>1522802.8</v>
      </c>
      <c r="D40" s="339">
        <v>242423.56</v>
      </c>
      <c r="E40" s="338">
        <v>0</v>
      </c>
      <c r="F40" s="338"/>
      <c r="G40" s="338">
        <v>79508.2</v>
      </c>
      <c r="H40" s="339">
        <v>660.9</v>
      </c>
      <c r="I40" s="338"/>
      <c r="J40" s="339">
        <v>21022</v>
      </c>
      <c r="K40" s="338">
        <v>6279.5</v>
      </c>
      <c r="L40" s="339">
        <v>161718.85</v>
      </c>
      <c r="M40" s="3">
        <f t="shared" si="1"/>
        <v>2034415.81</v>
      </c>
      <c r="N40" s="14"/>
      <c r="O40" s="14">
        <v>17841.7</v>
      </c>
      <c r="P40" s="14">
        <v>71797.95</v>
      </c>
      <c r="Q40" s="14">
        <v>18050.04</v>
      </c>
      <c r="R40" s="14">
        <v>58119.8</v>
      </c>
      <c r="S40" s="2">
        <f t="shared" si="0"/>
        <v>2200225.2999999998</v>
      </c>
      <c r="T40" s="22">
        <v>64</v>
      </c>
      <c r="U40" s="14">
        <v>870</v>
      </c>
      <c r="V40" s="14">
        <v>-24124.11</v>
      </c>
      <c r="W40" s="14"/>
      <c r="X40" s="14">
        <v>-47.79</v>
      </c>
      <c r="Y40" s="42">
        <v>1</v>
      </c>
    </row>
    <row r="41" spans="1:25" x14ac:dyDescent="0.25">
      <c r="A41" s="12">
        <v>5464</v>
      </c>
      <c r="B41" s="13" t="s">
        <v>440</v>
      </c>
      <c r="C41" s="338">
        <v>4931906.84</v>
      </c>
      <c r="D41" s="339">
        <v>811344.14</v>
      </c>
      <c r="E41" s="338">
        <v>0</v>
      </c>
      <c r="F41" s="338"/>
      <c r="G41" s="338">
        <v>65081.75</v>
      </c>
      <c r="H41" s="339">
        <v>2467.3000000000002</v>
      </c>
      <c r="I41" s="338"/>
      <c r="J41" s="339">
        <v>155206.01</v>
      </c>
      <c r="K41" s="338">
        <v>16847.5</v>
      </c>
      <c r="L41" s="339">
        <v>836932.55</v>
      </c>
      <c r="M41" s="3">
        <f t="shared" si="1"/>
        <v>6819786.0899999989</v>
      </c>
      <c r="N41" s="14"/>
      <c r="O41" s="14">
        <v>309242.5</v>
      </c>
      <c r="P41" s="14">
        <v>360572.65</v>
      </c>
      <c r="Q41" s="14">
        <v>36442.75</v>
      </c>
      <c r="R41" s="14">
        <v>393647.75</v>
      </c>
      <c r="S41" s="2">
        <f t="shared" si="0"/>
        <v>7919691.7399999993</v>
      </c>
      <c r="T41" s="22">
        <v>67</v>
      </c>
      <c r="U41" s="14">
        <v>2935</v>
      </c>
      <c r="V41" s="14">
        <v>-123882.68</v>
      </c>
      <c r="W41" s="14"/>
      <c r="X41" s="14">
        <v>-572.84</v>
      </c>
      <c r="Y41" s="42">
        <v>1.5</v>
      </c>
    </row>
    <row r="42" spans="1:25" x14ac:dyDescent="0.25">
      <c r="A42" s="12">
        <v>5471</v>
      </c>
      <c r="B42" s="13" t="s">
        <v>356</v>
      </c>
      <c r="C42" s="338">
        <v>974891.9</v>
      </c>
      <c r="D42" s="339">
        <v>101758.65</v>
      </c>
      <c r="E42" s="338">
        <v>0</v>
      </c>
      <c r="F42" s="338"/>
      <c r="G42" s="338">
        <v>-27305.599999999999</v>
      </c>
      <c r="H42" s="339">
        <v>1082.6500000000001</v>
      </c>
      <c r="I42" s="338"/>
      <c r="J42" s="339">
        <v>17173.900000000001</v>
      </c>
      <c r="K42" s="338">
        <v>2860.5</v>
      </c>
      <c r="L42" s="339">
        <v>81287.649999999994</v>
      </c>
      <c r="M42" s="3">
        <f t="shared" si="1"/>
        <v>1151749.6499999997</v>
      </c>
      <c r="N42" s="14"/>
      <c r="O42" s="14">
        <v>6801.6</v>
      </c>
      <c r="P42" s="14">
        <v>32286.1</v>
      </c>
      <c r="Q42" s="14"/>
      <c r="R42" s="14">
        <v>16600.75</v>
      </c>
      <c r="S42" s="2">
        <f t="shared" si="0"/>
        <v>1207438.0999999999</v>
      </c>
      <c r="T42" s="22">
        <v>70</v>
      </c>
      <c r="U42" s="14">
        <v>584</v>
      </c>
      <c r="V42" s="14">
        <v>-9343.36</v>
      </c>
      <c r="W42" s="14"/>
      <c r="X42" s="14">
        <v>-2.19</v>
      </c>
      <c r="Y42" s="42">
        <v>0.9</v>
      </c>
    </row>
    <row r="43" spans="1:25" x14ac:dyDescent="0.25">
      <c r="A43" s="12">
        <v>5472</v>
      </c>
      <c r="B43" s="13" t="s">
        <v>357</v>
      </c>
      <c r="C43" s="338">
        <v>909201.59</v>
      </c>
      <c r="D43" s="339">
        <v>117298.1</v>
      </c>
      <c r="E43" s="338">
        <v>0</v>
      </c>
      <c r="F43" s="338"/>
      <c r="G43" s="338">
        <v>6828.85</v>
      </c>
      <c r="H43" s="339">
        <v>73</v>
      </c>
      <c r="I43" s="338"/>
      <c r="J43" s="339">
        <v>15448.31</v>
      </c>
      <c r="K43" s="338">
        <v>543.5</v>
      </c>
      <c r="L43" s="339">
        <v>70073.649999999994</v>
      </c>
      <c r="M43" s="3">
        <f t="shared" si="1"/>
        <v>1119466.9999999998</v>
      </c>
      <c r="N43" s="14"/>
      <c r="O43" s="14"/>
      <c r="P43" s="14">
        <v>62578.6</v>
      </c>
      <c r="Q43" s="14">
        <v>19417.25</v>
      </c>
      <c r="R43" s="14">
        <v>47894.85</v>
      </c>
      <c r="S43" s="2">
        <f t="shared" si="0"/>
        <v>1249357.7</v>
      </c>
      <c r="T43" s="22">
        <v>80</v>
      </c>
      <c r="U43" s="14">
        <v>370</v>
      </c>
      <c r="V43" s="14">
        <v>-3485.33</v>
      </c>
      <c r="W43" s="14"/>
      <c r="X43" s="14">
        <v>-54.83</v>
      </c>
      <c r="Y43" s="42">
        <v>1</v>
      </c>
    </row>
    <row r="44" spans="1:25" x14ac:dyDescent="0.25">
      <c r="A44" s="12">
        <v>5473</v>
      </c>
      <c r="B44" s="13" t="s">
        <v>214</v>
      </c>
      <c r="C44" s="338">
        <v>1842066.58</v>
      </c>
      <c r="D44" s="339">
        <v>203737.54</v>
      </c>
      <c r="E44" s="338">
        <v>0</v>
      </c>
      <c r="F44" s="338"/>
      <c r="G44" s="338">
        <v>49642.25</v>
      </c>
      <c r="H44" s="339">
        <v>178.55</v>
      </c>
      <c r="I44" s="338"/>
      <c r="J44" s="339">
        <v>7734.2</v>
      </c>
      <c r="K44" s="338">
        <v>2078.5</v>
      </c>
      <c r="L44" s="339">
        <v>167514.70000000001</v>
      </c>
      <c r="M44" s="3">
        <f t="shared" si="1"/>
        <v>2272952.3200000003</v>
      </c>
      <c r="N44" s="14"/>
      <c r="O44" s="14"/>
      <c r="P44" s="14">
        <v>73404.100000000006</v>
      </c>
      <c r="Q44" s="14">
        <v>3751.18</v>
      </c>
      <c r="R44" s="14">
        <v>40460.050000000003</v>
      </c>
      <c r="S44" s="2">
        <f t="shared" si="0"/>
        <v>2390567.6500000004</v>
      </c>
      <c r="T44" s="22">
        <v>69</v>
      </c>
      <c r="U44" s="14">
        <v>980</v>
      </c>
      <c r="V44" s="14">
        <v>-16446.28</v>
      </c>
      <c r="W44" s="14"/>
      <c r="X44" s="14">
        <v>-20.57</v>
      </c>
      <c r="Y44" s="42">
        <v>1</v>
      </c>
    </row>
    <row r="45" spans="1:25" x14ac:dyDescent="0.25">
      <c r="A45" s="12">
        <v>5474</v>
      </c>
      <c r="B45" s="13" t="s">
        <v>215</v>
      </c>
      <c r="C45" s="338">
        <v>790520.35</v>
      </c>
      <c r="D45" s="339">
        <v>93373.92</v>
      </c>
      <c r="E45" s="338">
        <v>0</v>
      </c>
      <c r="F45" s="338"/>
      <c r="G45" s="338">
        <v>11250.35</v>
      </c>
      <c r="H45" s="339">
        <v>90.65</v>
      </c>
      <c r="I45" s="338">
        <v>33864.199999999997</v>
      </c>
      <c r="J45" s="339">
        <v>5842.99</v>
      </c>
      <c r="K45" s="338">
        <v>560</v>
      </c>
      <c r="L45" s="339">
        <v>78717.350000000006</v>
      </c>
      <c r="M45" s="3">
        <f t="shared" si="1"/>
        <v>1014219.8099999999</v>
      </c>
      <c r="N45" s="14"/>
      <c r="O45" s="14">
        <v>1114.2</v>
      </c>
      <c r="P45" s="14">
        <v>61855.75</v>
      </c>
      <c r="Q45" s="14"/>
      <c r="R45" s="14">
        <v>39296.75</v>
      </c>
      <c r="S45" s="2">
        <f t="shared" si="0"/>
        <v>1116486.5099999998</v>
      </c>
      <c r="T45" s="22">
        <v>77</v>
      </c>
      <c r="U45" s="14">
        <v>421</v>
      </c>
      <c r="V45" s="14">
        <v>-5864.71</v>
      </c>
      <c r="W45" s="14"/>
      <c r="X45" s="14">
        <v>-21.41</v>
      </c>
      <c r="Y45" s="42">
        <v>1.2</v>
      </c>
    </row>
    <row r="46" spans="1:25" x14ac:dyDescent="0.25">
      <c r="A46" s="12">
        <v>5475</v>
      </c>
      <c r="B46" s="13" t="s">
        <v>379</v>
      </c>
      <c r="C46" s="338">
        <v>164455.96</v>
      </c>
      <c r="D46" s="339">
        <v>26498.42</v>
      </c>
      <c r="E46" s="338">
        <v>0</v>
      </c>
      <c r="F46" s="338"/>
      <c r="G46" s="338">
        <v>1879.9</v>
      </c>
      <c r="H46" s="339">
        <v>87.4</v>
      </c>
      <c r="I46" s="338"/>
      <c r="J46" s="339">
        <v>-2299.14</v>
      </c>
      <c r="K46" s="338"/>
      <c r="L46" s="339">
        <v>19503.3</v>
      </c>
      <c r="M46" s="3">
        <f t="shared" si="1"/>
        <v>210125.83999999997</v>
      </c>
      <c r="N46" s="14"/>
      <c r="O46" s="14"/>
      <c r="P46" s="14">
        <v>46905.1</v>
      </c>
      <c r="Q46" s="14"/>
      <c r="R46" s="14">
        <v>21188.1</v>
      </c>
      <c r="S46" s="2">
        <f t="shared" si="0"/>
        <v>278219.03999999998</v>
      </c>
      <c r="T46" s="22">
        <v>77</v>
      </c>
      <c r="U46" s="14">
        <v>143</v>
      </c>
      <c r="V46" s="14">
        <v>-4320.66</v>
      </c>
      <c r="W46" s="14"/>
      <c r="X46" s="14">
        <v>0</v>
      </c>
      <c r="Y46" s="42">
        <v>1</v>
      </c>
    </row>
    <row r="47" spans="1:25" x14ac:dyDescent="0.25">
      <c r="A47" s="12">
        <v>5476</v>
      </c>
      <c r="B47" s="13" t="s">
        <v>380</v>
      </c>
      <c r="C47" s="338">
        <v>597632.39</v>
      </c>
      <c r="D47" s="339">
        <v>106532.88</v>
      </c>
      <c r="E47" s="338">
        <v>0</v>
      </c>
      <c r="F47" s="338"/>
      <c r="G47" s="338">
        <v>2071.65</v>
      </c>
      <c r="H47" s="339">
        <v>1486.85</v>
      </c>
      <c r="I47" s="338"/>
      <c r="J47" s="339">
        <v>1869.03</v>
      </c>
      <c r="K47" s="338"/>
      <c r="L47" s="339">
        <v>73456.05</v>
      </c>
      <c r="M47" s="3">
        <f t="shared" si="1"/>
        <v>783048.85000000009</v>
      </c>
      <c r="N47" s="14"/>
      <c r="O47" s="14">
        <v>2343.5</v>
      </c>
      <c r="P47" s="14">
        <v>14736.3</v>
      </c>
      <c r="Q47" s="14"/>
      <c r="R47" s="14">
        <v>36331.1</v>
      </c>
      <c r="S47" s="2">
        <f t="shared" si="0"/>
        <v>836459.75000000012</v>
      </c>
      <c r="T47" s="22">
        <v>74</v>
      </c>
      <c r="U47" s="14">
        <v>299</v>
      </c>
      <c r="V47" s="14">
        <v>-214.75</v>
      </c>
      <c r="W47" s="14"/>
      <c r="X47" s="14">
        <v>-0.28999999999999998</v>
      </c>
      <c r="Y47" s="42">
        <v>1.5</v>
      </c>
    </row>
    <row r="48" spans="1:25" x14ac:dyDescent="0.25">
      <c r="A48" s="12">
        <v>5477</v>
      </c>
      <c r="B48" s="13" t="s">
        <v>381</v>
      </c>
      <c r="C48" s="338">
        <v>6220355.5099999998</v>
      </c>
      <c r="D48" s="339">
        <v>1116277.04</v>
      </c>
      <c r="E48" s="338">
        <v>0</v>
      </c>
      <c r="F48" s="338"/>
      <c r="G48" s="338">
        <v>704567.65</v>
      </c>
      <c r="H48" s="339">
        <v>3632.35</v>
      </c>
      <c r="I48" s="338"/>
      <c r="J48" s="339">
        <v>140217.67000000001</v>
      </c>
      <c r="K48" s="338">
        <v>29691</v>
      </c>
      <c r="L48" s="339">
        <v>530415.1</v>
      </c>
      <c r="M48" s="3">
        <f t="shared" si="1"/>
        <v>8745156.3200000003</v>
      </c>
      <c r="N48" s="14">
        <v>76748.2</v>
      </c>
      <c r="O48" s="14">
        <v>108778.3</v>
      </c>
      <c r="P48" s="14">
        <v>306024.84999999998</v>
      </c>
      <c r="Q48" s="14">
        <v>58945.7</v>
      </c>
      <c r="R48" s="14">
        <v>199563.45</v>
      </c>
      <c r="S48" s="2">
        <f t="shared" si="0"/>
        <v>9495216.8199999984</v>
      </c>
      <c r="T48" s="22">
        <v>69.3</v>
      </c>
      <c r="U48" s="14">
        <v>3632</v>
      </c>
      <c r="V48" s="14">
        <v>-76554.539999999994</v>
      </c>
      <c r="W48" s="14"/>
      <c r="X48" s="14">
        <v>-107.47</v>
      </c>
      <c r="Y48" s="42">
        <v>1</v>
      </c>
    </row>
    <row r="49" spans="1:25" x14ac:dyDescent="0.25">
      <c r="A49" s="12">
        <v>5478</v>
      </c>
      <c r="B49" s="13" t="s">
        <v>246</v>
      </c>
      <c r="C49" s="338">
        <v>876522.52</v>
      </c>
      <c r="D49" s="339">
        <v>103182.69</v>
      </c>
      <c r="E49" s="338">
        <v>0</v>
      </c>
      <c r="F49" s="338"/>
      <c r="G49" s="338">
        <v>14412.85</v>
      </c>
      <c r="H49" s="339">
        <v>66.099999999999994</v>
      </c>
      <c r="I49" s="338"/>
      <c r="J49" s="339">
        <v>4194.6499999999996</v>
      </c>
      <c r="K49" s="338">
        <v>250</v>
      </c>
      <c r="L49" s="339">
        <v>75980.3</v>
      </c>
      <c r="M49" s="3">
        <f t="shared" si="1"/>
        <v>1074609.1099999999</v>
      </c>
      <c r="N49" s="14"/>
      <c r="O49" s="14"/>
      <c r="P49" s="14">
        <v>14205.5</v>
      </c>
      <c r="Q49" s="14">
        <v>4390.4799999999996</v>
      </c>
      <c r="R49" s="14">
        <v>5973.9</v>
      </c>
      <c r="S49" s="2">
        <f t="shared" si="0"/>
        <v>1099178.9899999998</v>
      </c>
      <c r="T49" s="22">
        <v>74</v>
      </c>
      <c r="U49" s="14">
        <v>483</v>
      </c>
      <c r="V49" s="14">
        <v>-8548.5</v>
      </c>
      <c r="W49" s="14"/>
      <c r="X49" s="14">
        <v>-17.579999999999998</v>
      </c>
      <c r="Y49" s="42">
        <v>1</v>
      </c>
    </row>
    <row r="50" spans="1:25" x14ac:dyDescent="0.25">
      <c r="A50" s="12">
        <v>5479</v>
      </c>
      <c r="B50" s="13" t="s">
        <v>247</v>
      </c>
      <c r="C50" s="338">
        <v>709876.38</v>
      </c>
      <c r="D50" s="339">
        <v>81342.23</v>
      </c>
      <c r="E50" s="338">
        <v>0</v>
      </c>
      <c r="F50" s="338"/>
      <c r="G50" s="338">
        <v>11919.65</v>
      </c>
      <c r="H50" s="339">
        <v>644.75</v>
      </c>
      <c r="I50" s="338">
        <v>40429.71</v>
      </c>
      <c r="J50" s="339">
        <v>21169.16</v>
      </c>
      <c r="K50" s="338">
        <v>1890</v>
      </c>
      <c r="L50" s="339">
        <v>65902.75</v>
      </c>
      <c r="M50" s="3">
        <f t="shared" si="1"/>
        <v>933174.63</v>
      </c>
      <c r="N50" s="14">
        <v>8132.25</v>
      </c>
      <c r="O50" s="14">
        <v>25000</v>
      </c>
      <c r="P50" s="14">
        <v>42131.3</v>
      </c>
      <c r="Q50" s="14"/>
      <c r="R50" s="14">
        <v>29771.9</v>
      </c>
      <c r="S50" s="2">
        <f t="shared" si="0"/>
        <v>1038210.0800000001</v>
      </c>
      <c r="T50" s="22">
        <v>77</v>
      </c>
      <c r="U50" s="14">
        <v>481</v>
      </c>
      <c r="V50" s="14">
        <v>-42837.46</v>
      </c>
      <c r="W50" s="14"/>
      <c r="X50" s="14">
        <v>-0.08</v>
      </c>
      <c r="Y50" s="42">
        <v>1</v>
      </c>
    </row>
    <row r="51" spans="1:25" x14ac:dyDescent="0.25">
      <c r="A51" s="12">
        <v>5480</v>
      </c>
      <c r="B51" s="13" t="s">
        <v>248</v>
      </c>
      <c r="C51" s="338">
        <v>2007364.48</v>
      </c>
      <c r="D51" s="339">
        <v>225053.59</v>
      </c>
      <c r="E51" s="338">
        <v>0</v>
      </c>
      <c r="F51" s="338"/>
      <c r="G51" s="338">
        <v>-51310.95</v>
      </c>
      <c r="H51" s="339">
        <v>1641.25</v>
      </c>
      <c r="I51" s="338"/>
      <c r="J51" s="339">
        <v>36012.11</v>
      </c>
      <c r="K51" s="338">
        <v>1988.2</v>
      </c>
      <c r="L51" s="339">
        <v>275576.90000000002</v>
      </c>
      <c r="M51" s="3">
        <f t="shared" si="1"/>
        <v>2496325.5799999996</v>
      </c>
      <c r="N51" s="14">
        <v>137463</v>
      </c>
      <c r="O51" s="14">
        <v>10104.5</v>
      </c>
      <c r="P51" s="14">
        <v>82259.75</v>
      </c>
      <c r="Q51" s="14">
        <v>12027.72</v>
      </c>
      <c r="R51" s="14">
        <v>18261.95</v>
      </c>
      <c r="S51" s="2">
        <f t="shared" si="0"/>
        <v>2756442.5</v>
      </c>
      <c r="T51" s="22">
        <v>71</v>
      </c>
      <c r="U51" s="14">
        <v>958</v>
      </c>
      <c r="V51" s="14">
        <v>-33758.92</v>
      </c>
      <c r="W51" s="14"/>
      <c r="X51" s="14">
        <v>-95.75</v>
      </c>
      <c r="Y51" s="42">
        <v>1</v>
      </c>
    </row>
    <row r="52" spans="1:25" x14ac:dyDescent="0.25">
      <c r="A52" s="12">
        <v>5481</v>
      </c>
      <c r="B52" s="13" t="s">
        <v>249</v>
      </c>
      <c r="C52" s="338">
        <v>549983.80000000005</v>
      </c>
      <c r="D52" s="339">
        <v>81884.83</v>
      </c>
      <c r="E52" s="338">
        <v>0</v>
      </c>
      <c r="F52" s="338"/>
      <c r="G52" s="338">
        <v>35012.300000000003</v>
      </c>
      <c r="H52" s="339">
        <v>355.15</v>
      </c>
      <c r="I52" s="338"/>
      <c r="J52" s="339">
        <v>2160.37</v>
      </c>
      <c r="K52" s="338"/>
      <c r="L52" s="339">
        <v>34991.15</v>
      </c>
      <c r="M52" s="3">
        <f t="shared" si="1"/>
        <v>704387.60000000009</v>
      </c>
      <c r="N52" s="14"/>
      <c r="O52" s="14"/>
      <c r="P52" s="14">
        <v>20790</v>
      </c>
      <c r="Q52" s="14"/>
      <c r="R52" s="14">
        <v>2916.65</v>
      </c>
      <c r="S52" s="2">
        <f t="shared" si="0"/>
        <v>728094.25000000012</v>
      </c>
      <c r="T52" s="22">
        <v>79</v>
      </c>
      <c r="U52" s="14">
        <v>222</v>
      </c>
      <c r="V52" s="14">
        <v>-1256.8900000000001</v>
      </c>
      <c r="W52" s="14"/>
      <c r="X52" s="14">
        <v>-10.75</v>
      </c>
      <c r="Y52" s="42">
        <v>1</v>
      </c>
    </row>
    <row r="53" spans="1:25" x14ac:dyDescent="0.25">
      <c r="A53" s="12">
        <v>5482</v>
      </c>
      <c r="B53" s="13" t="s">
        <v>250</v>
      </c>
      <c r="C53" s="338">
        <v>1175981.79</v>
      </c>
      <c r="D53" s="339">
        <v>134067.07</v>
      </c>
      <c r="E53" s="338">
        <v>0</v>
      </c>
      <c r="F53" s="338"/>
      <c r="G53" s="338">
        <v>-497958.25</v>
      </c>
      <c r="H53" s="339">
        <v>23768.75</v>
      </c>
      <c r="I53" s="338"/>
      <c r="J53" s="339">
        <v>2988.91</v>
      </c>
      <c r="K53" s="338">
        <v>40807</v>
      </c>
      <c r="L53" s="339">
        <v>379460.6</v>
      </c>
      <c r="M53" s="3">
        <f t="shared" si="1"/>
        <v>1259115.8700000001</v>
      </c>
      <c r="N53" s="14">
        <v>177330.05</v>
      </c>
      <c r="O53" s="14">
        <v>-23684.400000000001</v>
      </c>
      <c r="P53" s="14">
        <v>100222.25</v>
      </c>
      <c r="Q53" s="14">
        <v>3439.5</v>
      </c>
      <c r="R53" s="14">
        <v>203293.8</v>
      </c>
      <c r="S53" s="2">
        <f t="shared" si="0"/>
        <v>1719717.0700000003</v>
      </c>
      <c r="T53" s="22">
        <v>46</v>
      </c>
      <c r="U53" s="14">
        <v>1043</v>
      </c>
      <c r="V53" s="14">
        <v>-30060.78</v>
      </c>
      <c r="W53" s="14"/>
      <c r="X53" s="14">
        <v>-62.25</v>
      </c>
      <c r="Y53" s="42">
        <v>1</v>
      </c>
    </row>
    <row r="54" spans="1:25" x14ac:dyDescent="0.25">
      <c r="A54" s="12">
        <v>5483</v>
      </c>
      <c r="B54" s="13" t="s">
        <v>145</v>
      </c>
      <c r="C54" s="338">
        <v>612307.43999999994</v>
      </c>
      <c r="D54" s="339">
        <v>69472.39</v>
      </c>
      <c r="E54" s="338">
        <v>0</v>
      </c>
      <c r="F54" s="338"/>
      <c r="G54" s="338">
        <v>10439.1</v>
      </c>
      <c r="H54" s="339">
        <v>-796.15</v>
      </c>
      <c r="I54" s="338"/>
      <c r="J54" s="339">
        <v>3726.27</v>
      </c>
      <c r="K54" s="338">
        <v>175.5</v>
      </c>
      <c r="L54" s="339">
        <v>47984.5</v>
      </c>
      <c r="M54" s="3">
        <f t="shared" si="1"/>
        <v>743309.04999999993</v>
      </c>
      <c r="N54" s="14"/>
      <c r="O54" s="14"/>
      <c r="P54" s="14">
        <v>9735</v>
      </c>
      <c r="Q54" s="14"/>
      <c r="R54" s="14"/>
      <c r="S54" s="2">
        <f t="shared" si="0"/>
        <v>753044.04999999993</v>
      </c>
      <c r="T54" s="22">
        <v>76</v>
      </c>
      <c r="U54" s="14">
        <v>316</v>
      </c>
      <c r="V54" s="14">
        <v>-72.400000000000006</v>
      </c>
      <c r="W54" s="14"/>
      <c r="X54" s="14">
        <v>-423.63</v>
      </c>
      <c r="Y54" s="42">
        <v>1</v>
      </c>
    </row>
    <row r="55" spans="1:25" x14ac:dyDescent="0.25">
      <c r="A55" s="12">
        <v>5484</v>
      </c>
      <c r="B55" s="13" t="s">
        <v>146</v>
      </c>
      <c r="C55" s="338">
        <v>1650237.53</v>
      </c>
      <c r="D55" s="339">
        <v>144659.04</v>
      </c>
      <c r="E55" s="338">
        <v>0</v>
      </c>
      <c r="F55" s="338"/>
      <c r="G55" s="338">
        <v>172827.1</v>
      </c>
      <c r="H55" s="339">
        <v>1471.75</v>
      </c>
      <c r="I55" s="338"/>
      <c r="J55" s="339">
        <v>57192.78</v>
      </c>
      <c r="K55" s="338">
        <v>4515.5</v>
      </c>
      <c r="L55" s="339">
        <v>143247.29999999999</v>
      </c>
      <c r="M55" s="3">
        <f t="shared" si="1"/>
        <v>2174151</v>
      </c>
      <c r="N55" s="14">
        <v>29146.95</v>
      </c>
      <c r="O55" s="14">
        <v>19542.599999999999</v>
      </c>
      <c r="P55" s="14">
        <v>170295.15</v>
      </c>
      <c r="Q55" s="14"/>
      <c r="R55" s="14">
        <v>13454.65</v>
      </c>
      <c r="S55" s="2">
        <f t="shared" si="0"/>
        <v>2406590.35</v>
      </c>
      <c r="T55" s="22">
        <v>74</v>
      </c>
      <c r="U55" s="14">
        <v>902</v>
      </c>
      <c r="V55" s="14">
        <v>-23421.48</v>
      </c>
      <c r="W55" s="14"/>
      <c r="X55" s="14">
        <v>-14.14</v>
      </c>
      <c r="Y55" s="42">
        <v>1</v>
      </c>
    </row>
    <row r="56" spans="1:25" x14ac:dyDescent="0.25">
      <c r="A56" s="12">
        <v>5485</v>
      </c>
      <c r="B56" s="13" t="s">
        <v>147</v>
      </c>
      <c r="C56" s="338">
        <v>907630.34</v>
      </c>
      <c r="D56" s="339">
        <v>63917.97</v>
      </c>
      <c r="E56" s="338">
        <v>0</v>
      </c>
      <c r="F56" s="338"/>
      <c r="G56" s="338">
        <v>18822.55</v>
      </c>
      <c r="H56" s="339">
        <v>13.55</v>
      </c>
      <c r="I56" s="338"/>
      <c r="J56" s="339">
        <v>13608.28</v>
      </c>
      <c r="K56" s="338"/>
      <c r="L56" s="339">
        <v>66735.05</v>
      </c>
      <c r="M56" s="3">
        <f t="shared" si="1"/>
        <v>1070727.74</v>
      </c>
      <c r="N56" s="14">
        <v>7760.75</v>
      </c>
      <c r="O56" s="14">
        <v>27651.4</v>
      </c>
      <c r="P56" s="14">
        <v>25932.5</v>
      </c>
      <c r="Q56" s="14"/>
      <c r="R56" s="14">
        <v>5992.5</v>
      </c>
      <c r="S56" s="2">
        <f t="shared" si="0"/>
        <v>1138064.8899999999</v>
      </c>
      <c r="T56" s="22">
        <v>70</v>
      </c>
      <c r="U56" s="14">
        <v>408</v>
      </c>
      <c r="V56" s="14">
        <v>-15477.86</v>
      </c>
      <c r="W56" s="14"/>
      <c r="X56" s="14">
        <v>-73.52</v>
      </c>
      <c r="Y56" s="42">
        <v>1</v>
      </c>
    </row>
    <row r="57" spans="1:25" x14ac:dyDescent="0.25">
      <c r="A57" s="12">
        <v>5486</v>
      </c>
      <c r="B57" s="13" t="s">
        <v>5</v>
      </c>
      <c r="C57" s="338">
        <v>1725841.4</v>
      </c>
      <c r="D57" s="339">
        <v>221889.23</v>
      </c>
      <c r="E57" s="338">
        <v>0</v>
      </c>
      <c r="F57" s="338"/>
      <c r="G57" s="338">
        <v>79369.100000000006</v>
      </c>
      <c r="H57" s="339">
        <v>917.75</v>
      </c>
      <c r="I57" s="338">
        <v>45945.25</v>
      </c>
      <c r="J57" s="339">
        <v>24647.11</v>
      </c>
      <c r="K57" s="338">
        <v>6432</v>
      </c>
      <c r="L57" s="339">
        <v>171119.65</v>
      </c>
      <c r="M57" s="3">
        <f t="shared" si="1"/>
        <v>2276161.4899999998</v>
      </c>
      <c r="N57" s="14">
        <v>121802.3</v>
      </c>
      <c r="O57" s="14">
        <v>9701.4</v>
      </c>
      <c r="P57" s="14">
        <v>105777.45</v>
      </c>
      <c r="Q57" s="14">
        <v>98.44</v>
      </c>
      <c r="R57" s="14">
        <v>47490.9</v>
      </c>
      <c r="S57" s="2">
        <f t="shared" si="0"/>
        <v>2561031.9799999995</v>
      </c>
      <c r="T57" s="22">
        <v>76</v>
      </c>
      <c r="U57" s="14">
        <v>1033</v>
      </c>
      <c r="V57" s="14">
        <v>-8831.39</v>
      </c>
      <c r="W57" s="14"/>
      <c r="X57" s="14">
        <v>0</v>
      </c>
      <c r="Y57" s="42">
        <v>1</v>
      </c>
    </row>
    <row r="58" spans="1:25" x14ac:dyDescent="0.25">
      <c r="A58" s="12">
        <v>5487</v>
      </c>
      <c r="B58" s="13" t="s">
        <v>6</v>
      </c>
      <c r="C58" s="338">
        <v>726686.57</v>
      </c>
      <c r="D58" s="339">
        <v>50723.18</v>
      </c>
      <c r="E58" s="338">
        <v>0</v>
      </c>
      <c r="F58" s="338"/>
      <c r="G58" s="338">
        <v>15762.2</v>
      </c>
      <c r="H58" s="339">
        <v>34.5</v>
      </c>
      <c r="I58" s="338"/>
      <c r="J58" s="339">
        <v>30480.59</v>
      </c>
      <c r="K58" s="338">
        <v>1085.5</v>
      </c>
      <c r="L58" s="339">
        <v>68460.100000000006</v>
      </c>
      <c r="M58" s="3">
        <f t="shared" si="1"/>
        <v>893232.6399999999</v>
      </c>
      <c r="N58" s="14">
        <v>3281.85</v>
      </c>
      <c r="O58" s="14"/>
      <c r="P58" s="14">
        <v>23207.5</v>
      </c>
      <c r="Q58" s="14">
        <v>12725.49</v>
      </c>
      <c r="R58" s="14">
        <v>15248.35</v>
      </c>
      <c r="S58" s="2">
        <f t="shared" si="0"/>
        <v>947695.82999999984</v>
      </c>
      <c r="T58" s="22">
        <v>68</v>
      </c>
      <c r="U58" s="14">
        <v>462</v>
      </c>
      <c r="V58" s="14">
        <v>-12172.16</v>
      </c>
      <c r="W58" s="14"/>
      <c r="X58" s="14">
        <v>-7.64</v>
      </c>
      <c r="Y58" s="42">
        <v>1</v>
      </c>
    </row>
    <row r="59" spans="1:25" x14ac:dyDescent="0.25">
      <c r="A59" s="12">
        <v>5488</v>
      </c>
      <c r="B59" s="13" t="s">
        <v>7</v>
      </c>
      <c r="C59" s="338">
        <v>103867.57</v>
      </c>
      <c r="D59" s="339">
        <v>13883.04</v>
      </c>
      <c r="E59" s="338">
        <v>0</v>
      </c>
      <c r="F59" s="338"/>
      <c r="G59" s="338">
        <v>-1066.8499999999999</v>
      </c>
      <c r="H59" s="339">
        <v>157.65</v>
      </c>
      <c r="I59" s="338"/>
      <c r="J59" s="339"/>
      <c r="K59" s="338"/>
      <c r="L59" s="339">
        <v>8474</v>
      </c>
      <c r="M59" s="3">
        <f t="shared" si="1"/>
        <v>125315.41</v>
      </c>
      <c r="N59" s="14"/>
      <c r="O59" s="14"/>
      <c r="P59" s="14"/>
      <c r="Q59" s="14"/>
      <c r="R59" s="14"/>
      <c r="S59" s="2">
        <f t="shared" si="0"/>
        <v>125315.41</v>
      </c>
      <c r="T59" s="22">
        <v>74</v>
      </c>
      <c r="U59" s="14">
        <v>53</v>
      </c>
      <c r="V59" s="14">
        <v>-6553.04</v>
      </c>
      <c r="W59" s="14"/>
      <c r="X59" s="14">
        <v>0</v>
      </c>
      <c r="Y59" s="42">
        <v>1</v>
      </c>
    </row>
    <row r="60" spans="1:25" x14ac:dyDescent="0.25">
      <c r="A60" s="12">
        <v>5489</v>
      </c>
      <c r="B60" s="13" t="s">
        <v>8</v>
      </c>
      <c r="C60" s="338">
        <v>1823417.6</v>
      </c>
      <c r="D60" s="339">
        <v>584817.88</v>
      </c>
      <c r="E60" s="338">
        <v>0</v>
      </c>
      <c r="F60" s="338"/>
      <c r="G60" s="338">
        <v>47769.65</v>
      </c>
      <c r="H60" s="339">
        <v>83960.75</v>
      </c>
      <c r="I60" s="338"/>
      <c r="J60" s="339">
        <v>56247.63</v>
      </c>
      <c r="K60" s="338">
        <v>4261</v>
      </c>
      <c r="L60" s="339">
        <v>264916.2</v>
      </c>
      <c r="M60" s="3">
        <f t="shared" si="1"/>
        <v>2865390.71</v>
      </c>
      <c r="N60" s="14">
        <v>206830.25</v>
      </c>
      <c r="O60" s="14">
        <v>5029</v>
      </c>
      <c r="P60" s="14">
        <v>83567.199999999997</v>
      </c>
      <c r="Q60" s="14">
        <v>23303.22</v>
      </c>
      <c r="R60" s="14">
        <v>36064.25</v>
      </c>
      <c r="S60" s="2">
        <f t="shared" si="0"/>
        <v>3220184.6300000004</v>
      </c>
      <c r="T60" s="22">
        <v>61</v>
      </c>
      <c r="U60" s="14">
        <v>710</v>
      </c>
      <c r="V60" s="14">
        <v>-27562.59</v>
      </c>
      <c r="W60" s="14"/>
      <c r="X60" s="14">
        <v>-111.14</v>
      </c>
      <c r="Y60" s="42">
        <v>1</v>
      </c>
    </row>
    <row r="61" spans="1:25" x14ac:dyDescent="0.25">
      <c r="A61" s="12">
        <v>5490</v>
      </c>
      <c r="B61" s="13" t="s">
        <v>9</v>
      </c>
      <c r="C61" s="338">
        <v>481137.25</v>
      </c>
      <c r="D61" s="339">
        <v>76729.8</v>
      </c>
      <c r="E61" s="338">
        <v>0</v>
      </c>
      <c r="F61" s="338"/>
      <c r="G61" s="338">
        <v>11197.55</v>
      </c>
      <c r="H61" s="339">
        <v>132.35</v>
      </c>
      <c r="I61" s="338"/>
      <c r="J61" s="339">
        <v>1952.59</v>
      </c>
      <c r="K61" s="338"/>
      <c r="L61" s="339">
        <v>38067.699999999997</v>
      </c>
      <c r="M61" s="3">
        <f t="shared" si="1"/>
        <v>609217.24</v>
      </c>
      <c r="N61" s="14"/>
      <c r="O61" s="14"/>
      <c r="P61" s="14">
        <v>13533.55</v>
      </c>
      <c r="Q61" s="14"/>
      <c r="R61" s="14">
        <v>19728.05</v>
      </c>
      <c r="S61" s="2">
        <f t="shared" si="0"/>
        <v>642478.84000000008</v>
      </c>
      <c r="T61" s="22">
        <v>81</v>
      </c>
      <c r="U61" s="14">
        <v>304</v>
      </c>
      <c r="V61" s="14">
        <v>-5895.97</v>
      </c>
      <c r="W61" s="14"/>
      <c r="X61" s="14">
        <v>-201.16</v>
      </c>
      <c r="Y61" s="42">
        <v>1</v>
      </c>
    </row>
    <row r="62" spans="1:25" x14ac:dyDescent="0.25">
      <c r="A62" s="12">
        <v>5491</v>
      </c>
      <c r="B62" s="13" t="s">
        <v>169</v>
      </c>
      <c r="C62" s="338">
        <v>525961.84</v>
      </c>
      <c r="D62" s="339">
        <v>77621.83</v>
      </c>
      <c r="E62" s="338">
        <v>0</v>
      </c>
      <c r="F62" s="338"/>
      <c r="G62" s="338">
        <v>1331.65</v>
      </c>
      <c r="H62" s="339">
        <v>1008</v>
      </c>
      <c r="I62" s="338"/>
      <c r="J62" s="339">
        <v>10484.049999999999</v>
      </c>
      <c r="K62" s="338">
        <v>512.5</v>
      </c>
      <c r="L62" s="339">
        <v>62000.1</v>
      </c>
      <c r="M62" s="3">
        <f t="shared" si="1"/>
        <v>678919.97</v>
      </c>
      <c r="N62" s="14">
        <v>875.85</v>
      </c>
      <c r="O62" s="14">
        <v>16236</v>
      </c>
      <c r="P62" s="14">
        <v>44240.65</v>
      </c>
      <c r="Q62" s="14"/>
      <c r="R62" s="14">
        <v>55262.15</v>
      </c>
      <c r="S62" s="2">
        <f t="shared" si="0"/>
        <v>795534.62</v>
      </c>
      <c r="T62" s="22">
        <v>76</v>
      </c>
      <c r="U62" s="14">
        <v>402</v>
      </c>
      <c r="V62" s="14">
        <v>-13431.11</v>
      </c>
      <c r="W62" s="14"/>
      <c r="X62" s="14">
        <v>0</v>
      </c>
      <c r="Y62" s="42">
        <v>1</v>
      </c>
    </row>
    <row r="63" spans="1:25" x14ac:dyDescent="0.25">
      <c r="A63" s="12">
        <v>5492</v>
      </c>
      <c r="B63" s="13" t="s">
        <v>170</v>
      </c>
      <c r="C63" s="338">
        <v>5385454.9900000002</v>
      </c>
      <c r="D63" s="339">
        <v>7109109.8700000001</v>
      </c>
      <c r="E63" s="338">
        <v>0</v>
      </c>
      <c r="F63" s="338"/>
      <c r="G63" s="338">
        <v>139382.85</v>
      </c>
      <c r="H63" s="339">
        <v>1736.8</v>
      </c>
      <c r="I63" s="338"/>
      <c r="J63" s="339">
        <v>32490.799999999999</v>
      </c>
      <c r="K63" s="338">
        <v>32691</v>
      </c>
      <c r="L63" s="339">
        <v>64687.65</v>
      </c>
      <c r="M63" s="3">
        <f t="shared" si="1"/>
        <v>12765553.960000001</v>
      </c>
      <c r="N63" s="14">
        <v>1917</v>
      </c>
      <c r="O63" s="14">
        <v>23780.400000000001</v>
      </c>
      <c r="P63" s="14">
        <v>58300</v>
      </c>
      <c r="Q63" s="14">
        <v>20595.77</v>
      </c>
      <c r="R63" s="14">
        <v>42505.35</v>
      </c>
      <c r="S63" s="2">
        <f t="shared" si="0"/>
        <v>12912652.48</v>
      </c>
      <c r="T63" s="22">
        <v>64</v>
      </c>
      <c r="U63" s="14">
        <v>951</v>
      </c>
      <c r="V63" s="14">
        <v>-13806.69</v>
      </c>
      <c r="W63" s="14"/>
      <c r="X63" s="14">
        <v>-5227.37</v>
      </c>
      <c r="Y63" s="42">
        <v>0.3</v>
      </c>
    </row>
    <row r="64" spans="1:25" x14ac:dyDescent="0.25">
      <c r="A64" s="12">
        <v>5493</v>
      </c>
      <c r="B64" s="13" t="s">
        <v>171</v>
      </c>
      <c r="C64" s="338">
        <v>586019.03</v>
      </c>
      <c r="D64" s="339">
        <v>58241.09</v>
      </c>
      <c r="E64" s="338">
        <v>0</v>
      </c>
      <c r="F64" s="338"/>
      <c r="G64" s="338">
        <v>6327.15</v>
      </c>
      <c r="H64" s="339">
        <v>503.9</v>
      </c>
      <c r="I64" s="338"/>
      <c r="J64" s="339">
        <v>13146.21</v>
      </c>
      <c r="K64" s="338">
        <v>133</v>
      </c>
      <c r="L64" s="339">
        <v>32416.5</v>
      </c>
      <c r="M64" s="3">
        <f t="shared" si="1"/>
        <v>696786.88</v>
      </c>
      <c r="N64" s="14">
        <v>52227.15</v>
      </c>
      <c r="O64" s="14">
        <v>224152.2</v>
      </c>
      <c r="P64" s="14"/>
      <c r="Q64" s="14">
        <v>3539.15</v>
      </c>
      <c r="R64" s="14"/>
      <c r="S64" s="2">
        <f t="shared" si="0"/>
        <v>976705.38</v>
      </c>
      <c r="T64" s="22">
        <v>73</v>
      </c>
      <c r="U64" s="14">
        <v>371</v>
      </c>
      <c r="V64" s="14">
        <v>-55005.85</v>
      </c>
      <c r="W64" s="14"/>
      <c r="X64" s="14">
        <v>0</v>
      </c>
      <c r="Y64" s="42">
        <v>0.65</v>
      </c>
    </row>
    <row r="65" spans="1:25" x14ac:dyDescent="0.25">
      <c r="A65" s="12">
        <v>5494</v>
      </c>
      <c r="B65" s="13" t="s">
        <v>172</v>
      </c>
      <c r="C65" s="338">
        <v>2233043.8199999998</v>
      </c>
      <c r="D65" s="339">
        <v>229791.21</v>
      </c>
      <c r="E65" s="338">
        <v>0</v>
      </c>
      <c r="F65" s="338"/>
      <c r="G65" s="338">
        <v>63127.1</v>
      </c>
      <c r="H65" s="339">
        <v>1043.05</v>
      </c>
      <c r="I65" s="338"/>
      <c r="J65" s="339">
        <v>42897.66</v>
      </c>
      <c r="K65" s="338">
        <v>2601</v>
      </c>
      <c r="L65" s="339">
        <v>209104.1</v>
      </c>
      <c r="M65" s="3">
        <f t="shared" si="1"/>
        <v>2781607.94</v>
      </c>
      <c r="N65" s="14">
        <v>21414.7</v>
      </c>
      <c r="O65" s="14">
        <v>117664.4</v>
      </c>
      <c r="P65" s="14">
        <v>58073</v>
      </c>
      <c r="Q65" s="14">
        <v>16337.48</v>
      </c>
      <c r="R65" s="14">
        <v>40662.35</v>
      </c>
      <c r="S65" s="2">
        <f t="shared" si="0"/>
        <v>3035759.87</v>
      </c>
      <c r="T65" s="22">
        <v>75</v>
      </c>
      <c r="U65" s="14">
        <v>1116</v>
      </c>
      <c r="V65" s="14">
        <v>-28008.05</v>
      </c>
      <c r="W65" s="14"/>
      <c r="X65" s="14">
        <v>-130.6</v>
      </c>
      <c r="Y65" s="42">
        <v>1.05</v>
      </c>
    </row>
    <row r="66" spans="1:25" x14ac:dyDescent="0.25">
      <c r="A66" s="12">
        <v>5495</v>
      </c>
      <c r="B66" s="13" t="s">
        <v>173</v>
      </c>
      <c r="C66" s="338">
        <v>5588685.7699999996</v>
      </c>
      <c r="D66" s="339">
        <v>540144.18999999994</v>
      </c>
      <c r="E66" s="338">
        <v>0</v>
      </c>
      <c r="F66" s="338"/>
      <c r="G66" s="338">
        <v>480625.4</v>
      </c>
      <c r="H66" s="339">
        <v>-1324.95</v>
      </c>
      <c r="I66" s="338">
        <v>41780.25</v>
      </c>
      <c r="J66" s="339">
        <v>244727.84</v>
      </c>
      <c r="K66" s="338">
        <v>73878.5</v>
      </c>
      <c r="L66" s="339">
        <v>486256.8</v>
      </c>
      <c r="M66" s="3">
        <f t="shared" si="1"/>
        <v>7454773.7999999989</v>
      </c>
      <c r="N66" s="14">
        <v>168264.7</v>
      </c>
      <c r="O66" s="14">
        <v>75320</v>
      </c>
      <c r="P66" s="14">
        <v>79030.850000000006</v>
      </c>
      <c r="Q66" s="14">
        <v>24248.82</v>
      </c>
      <c r="R66" s="14">
        <v>76468.800000000003</v>
      </c>
      <c r="S66" s="2">
        <f t="shared" si="0"/>
        <v>7878106.9699999988</v>
      </c>
      <c r="T66" s="22">
        <v>74</v>
      </c>
      <c r="U66" s="14">
        <v>3252</v>
      </c>
      <c r="V66" s="14">
        <v>-120476.32</v>
      </c>
      <c r="W66" s="14"/>
      <c r="X66" s="14">
        <v>-280.22000000000003</v>
      </c>
      <c r="Y66" s="42">
        <v>1</v>
      </c>
    </row>
    <row r="67" spans="1:25" x14ac:dyDescent="0.25">
      <c r="A67" s="12">
        <v>5496</v>
      </c>
      <c r="B67" s="13" t="s">
        <v>174</v>
      </c>
      <c r="C67" s="338">
        <v>2932503.08</v>
      </c>
      <c r="D67" s="339">
        <v>306515.25</v>
      </c>
      <c r="E67" s="338">
        <v>0</v>
      </c>
      <c r="F67" s="338"/>
      <c r="G67" s="338">
        <v>136762.6</v>
      </c>
      <c r="H67" s="339">
        <v>19860.400000000001</v>
      </c>
      <c r="I67" s="338"/>
      <c r="J67" s="339">
        <v>76022.87</v>
      </c>
      <c r="K67" s="338">
        <v>15258.5</v>
      </c>
      <c r="L67" s="339">
        <v>288493.75</v>
      </c>
      <c r="M67" s="3">
        <f t="shared" si="1"/>
        <v>3775416.45</v>
      </c>
      <c r="N67" s="14">
        <v>84768.55</v>
      </c>
      <c r="O67" s="14">
        <v>13.2</v>
      </c>
      <c r="P67" s="14">
        <v>84712.05</v>
      </c>
      <c r="Q67" s="14">
        <v>14968.11</v>
      </c>
      <c r="R67" s="14">
        <v>24979.8</v>
      </c>
      <c r="S67" s="2">
        <f t="shared" si="0"/>
        <v>3984858.1599999997</v>
      </c>
      <c r="T67" s="22">
        <v>71</v>
      </c>
      <c r="U67" s="14">
        <v>1703</v>
      </c>
      <c r="V67" s="14">
        <v>-32738.97</v>
      </c>
      <c r="W67" s="14"/>
      <c r="X67" s="14">
        <v>-1344.63</v>
      </c>
      <c r="Y67" s="42">
        <v>1</v>
      </c>
    </row>
    <row r="68" spans="1:25" x14ac:dyDescent="0.25">
      <c r="A68" s="12">
        <v>5497</v>
      </c>
      <c r="B68" s="13" t="s">
        <v>175</v>
      </c>
      <c r="C68" s="338">
        <v>1165538.74</v>
      </c>
      <c r="D68" s="339">
        <v>125011.68</v>
      </c>
      <c r="E68" s="338">
        <v>0</v>
      </c>
      <c r="F68" s="338"/>
      <c r="G68" s="338">
        <v>12059.95</v>
      </c>
      <c r="H68" s="339">
        <v>294.89999999999998</v>
      </c>
      <c r="I68" s="338"/>
      <c r="J68" s="339">
        <v>62153.62</v>
      </c>
      <c r="K68" s="338">
        <v>6367.5</v>
      </c>
      <c r="L68" s="339">
        <v>121970.1</v>
      </c>
      <c r="M68" s="3">
        <f t="shared" si="1"/>
        <v>1493396.49</v>
      </c>
      <c r="N68" s="14">
        <v>245491.55</v>
      </c>
      <c r="O68" s="14">
        <v>129693</v>
      </c>
      <c r="P68" s="14">
        <v>49863.7</v>
      </c>
      <c r="Q68" s="14">
        <v>15082.56</v>
      </c>
      <c r="R68" s="14">
        <v>13534.7</v>
      </c>
      <c r="S68" s="2">
        <f t="shared" si="0"/>
        <v>1947062</v>
      </c>
      <c r="T68" s="22">
        <v>66</v>
      </c>
      <c r="U68" s="14">
        <v>859</v>
      </c>
      <c r="V68" s="14">
        <v>-38479.18</v>
      </c>
      <c r="W68" s="14"/>
      <c r="X68" s="14">
        <v>-7.73</v>
      </c>
      <c r="Y68" s="42">
        <v>1</v>
      </c>
    </row>
    <row r="69" spans="1:25" x14ac:dyDescent="0.25">
      <c r="A69" s="12">
        <v>5498</v>
      </c>
      <c r="B69" s="13" t="s">
        <v>176</v>
      </c>
      <c r="C69" s="338">
        <v>3806708.17</v>
      </c>
      <c r="D69" s="339">
        <v>399507.31</v>
      </c>
      <c r="E69" s="338">
        <v>0</v>
      </c>
      <c r="F69" s="338"/>
      <c r="G69" s="338">
        <v>163491.85</v>
      </c>
      <c r="H69" s="339">
        <v>1112.05</v>
      </c>
      <c r="I69" s="338"/>
      <c r="J69" s="339">
        <v>146654.28</v>
      </c>
      <c r="K69" s="338">
        <v>20025</v>
      </c>
      <c r="L69" s="339">
        <v>351528.05</v>
      </c>
      <c r="M69" s="3">
        <f t="shared" si="1"/>
        <v>4889026.709999999</v>
      </c>
      <c r="N69" s="14">
        <v>77197.350000000006</v>
      </c>
      <c r="O69" s="14">
        <v>50753.8</v>
      </c>
      <c r="P69" s="14">
        <v>102946.35</v>
      </c>
      <c r="Q69" s="14">
        <v>32354.06</v>
      </c>
      <c r="R69" s="14">
        <v>147553.1</v>
      </c>
      <c r="S69" s="2">
        <f t="shared" si="0"/>
        <v>5299831.3699999973</v>
      </c>
      <c r="T69" s="22">
        <v>66</v>
      </c>
      <c r="U69" s="14">
        <v>2567</v>
      </c>
      <c r="V69" s="14">
        <v>-50263.13</v>
      </c>
      <c r="W69" s="14"/>
      <c r="X69" s="14">
        <v>-12.78</v>
      </c>
      <c r="Y69" s="42">
        <v>1</v>
      </c>
    </row>
    <row r="70" spans="1:25" x14ac:dyDescent="0.25">
      <c r="A70" s="12">
        <v>5499</v>
      </c>
      <c r="B70" s="13" t="s">
        <v>177</v>
      </c>
      <c r="C70" s="338">
        <v>988759.75</v>
      </c>
      <c r="D70" s="339">
        <v>146312.9</v>
      </c>
      <c r="E70" s="338">
        <v>0</v>
      </c>
      <c r="F70" s="338"/>
      <c r="G70" s="338">
        <v>35373.35</v>
      </c>
      <c r="H70" s="339">
        <v>417.55</v>
      </c>
      <c r="I70" s="338"/>
      <c r="J70" s="339">
        <v>20063.439999999999</v>
      </c>
      <c r="K70" s="338"/>
      <c r="L70" s="339">
        <v>82818.600000000006</v>
      </c>
      <c r="M70" s="3">
        <f t="shared" si="1"/>
        <v>1273745.5900000001</v>
      </c>
      <c r="N70" s="14">
        <v>12062.9</v>
      </c>
      <c r="O70" s="14">
        <v>29227.3</v>
      </c>
      <c r="P70" s="14">
        <v>45346.25</v>
      </c>
      <c r="Q70" s="14"/>
      <c r="R70" s="14">
        <v>34854.449999999997</v>
      </c>
      <c r="S70" s="2">
        <f t="shared" si="0"/>
        <v>1395236.49</v>
      </c>
      <c r="T70" s="22">
        <v>68.5</v>
      </c>
      <c r="U70" s="14">
        <v>459</v>
      </c>
      <c r="V70" s="14">
        <v>-122.02</v>
      </c>
      <c r="W70" s="14"/>
      <c r="X70" s="14">
        <v>-486.9</v>
      </c>
      <c r="Y70" s="42">
        <v>1</v>
      </c>
    </row>
    <row r="71" spans="1:25" x14ac:dyDescent="0.25">
      <c r="A71" s="12">
        <v>5500</v>
      </c>
      <c r="B71" s="13" t="s">
        <v>178</v>
      </c>
      <c r="C71" s="338">
        <v>466162.43</v>
      </c>
      <c r="D71" s="339">
        <v>91538.87</v>
      </c>
      <c r="E71" s="338">
        <v>0</v>
      </c>
      <c r="F71" s="338"/>
      <c r="G71" s="338">
        <v>6444.85</v>
      </c>
      <c r="H71" s="339">
        <v>474.35</v>
      </c>
      <c r="I71" s="338"/>
      <c r="J71" s="339">
        <v>8896.19</v>
      </c>
      <c r="K71" s="338">
        <v>38.5</v>
      </c>
      <c r="L71" s="339">
        <v>47397.75</v>
      </c>
      <c r="M71" s="3">
        <f t="shared" si="1"/>
        <v>620952.93999999994</v>
      </c>
      <c r="N71" s="14">
        <v>4855.1499999999996</v>
      </c>
      <c r="O71" s="14"/>
      <c r="P71" s="14">
        <v>11495</v>
      </c>
      <c r="Q71" s="14">
        <v>2344.79</v>
      </c>
      <c r="R71" s="14"/>
      <c r="S71" s="2">
        <f t="shared" ref="S71:S134" si="2">SUM(M71:R71)</f>
        <v>639647.88</v>
      </c>
      <c r="T71" s="22">
        <v>76</v>
      </c>
      <c r="U71" s="14">
        <v>243</v>
      </c>
      <c r="V71" s="14">
        <v>-5206.53</v>
      </c>
      <c r="W71" s="14"/>
      <c r="X71" s="14">
        <v>-6.37</v>
      </c>
      <c r="Y71" s="42">
        <v>1.2</v>
      </c>
    </row>
    <row r="72" spans="1:25" x14ac:dyDescent="0.25">
      <c r="A72" s="12">
        <v>5501</v>
      </c>
      <c r="B72" s="13" t="s">
        <v>179</v>
      </c>
      <c r="C72" s="338">
        <v>1837329.56</v>
      </c>
      <c r="D72" s="339">
        <v>357483.31</v>
      </c>
      <c r="E72" s="338">
        <v>0</v>
      </c>
      <c r="F72" s="338"/>
      <c r="G72" s="338">
        <v>34277.65</v>
      </c>
      <c r="H72" s="339">
        <v>791.75</v>
      </c>
      <c r="I72" s="338">
        <v>38474.65</v>
      </c>
      <c r="J72" s="339">
        <v>49659.64</v>
      </c>
      <c r="K72" s="338">
        <v>-3875</v>
      </c>
      <c r="L72" s="339">
        <v>186566.7</v>
      </c>
      <c r="M72" s="3">
        <f t="shared" ref="M72:M135" si="3">SUM(C72:L72)</f>
        <v>2500708.2600000002</v>
      </c>
      <c r="N72" s="14"/>
      <c r="O72" s="14">
        <v>99446.8</v>
      </c>
      <c r="P72" s="14">
        <v>187937.5</v>
      </c>
      <c r="Q72" s="14">
        <v>6823.52</v>
      </c>
      <c r="R72" s="14">
        <v>57275.95</v>
      </c>
      <c r="S72" s="2">
        <f t="shared" si="2"/>
        <v>2852192.0300000003</v>
      </c>
      <c r="T72" s="22">
        <v>70</v>
      </c>
      <c r="U72" s="14">
        <v>978</v>
      </c>
      <c r="V72" s="14">
        <v>-4827.21</v>
      </c>
      <c r="W72" s="14"/>
      <c r="X72" s="14">
        <v>-1069.06</v>
      </c>
      <c r="Y72" s="42">
        <v>1</v>
      </c>
    </row>
    <row r="73" spans="1:25" x14ac:dyDescent="0.25">
      <c r="A73" s="12">
        <v>5503</v>
      </c>
      <c r="B73" s="13" t="s">
        <v>180</v>
      </c>
      <c r="C73" s="338">
        <v>2935888.96</v>
      </c>
      <c r="D73" s="339">
        <v>485276.93</v>
      </c>
      <c r="E73" s="338">
        <v>0</v>
      </c>
      <c r="F73" s="338"/>
      <c r="G73" s="338">
        <v>519910.75</v>
      </c>
      <c r="H73" s="339">
        <v>8605.9</v>
      </c>
      <c r="I73" s="338"/>
      <c r="J73" s="339">
        <v>89806.16</v>
      </c>
      <c r="K73" s="338">
        <v>10842</v>
      </c>
      <c r="L73" s="339">
        <v>386273.5</v>
      </c>
      <c r="M73" s="3">
        <f t="shared" si="3"/>
        <v>4436604.2</v>
      </c>
      <c r="N73" s="14">
        <v>107223.5</v>
      </c>
      <c r="O73" s="14">
        <v>11301.7</v>
      </c>
      <c r="P73" s="14">
        <v>476178.2</v>
      </c>
      <c r="Q73" s="14">
        <v>3633.85</v>
      </c>
      <c r="R73" s="14">
        <v>77878.8</v>
      </c>
      <c r="S73" s="2">
        <f t="shared" si="2"/>
        <v>5112820.25</v>
      </c>
      <c r="T73" s="22">
        <v>67</v>
      </c>
      <c r="U73" s="14">
        <v>1252</v>
      </c>
      <c r="V73" s="14">
        <v>-25518.639999999999</v>
      </c>
      <c r="W73" s="14"/>
      <c r="X73" s="14">
        <v>-186.91</v>
      </c>
      <c r="Y73" s="42">
        <v>1.2</v>
      </c>
    </row>
    <row r="74" spans="1:25" x14ac:dyDescent="0.25">
      <c r="A74" s="12">
        <v>5511</v>
      </c>
      <c r="B74" s="13" t="s">
        <v>181</v>
      </c>
      <c r="C74" s="338">
        <v>2130405.11</v>
      </c>
      <c r="D74" s="339">
        <v>227158.26</v>
      </c>
      <c r="E74" s="338">
        <v>0</v>
      </c>
      <c r="F74" s="338"/>
      <c r="G74" s="338">
        <v>266778.65000000002</v>
      </c>
      <c r="H74" s="339">
        <v>2813.5</v>
      </c>
      <c r="I74" s="338"/>
      <c r="J74" s="339">
        <v>12612.06</v>
      </c>
      <c r="K74" s="338">
        <v>569</v>
      </c>
      <c r="L74" s="339">
        <v>213945.65</v>
      </c>
      <c r="M74" s="3">
        <f t="shared" si="3"/>
        <v>2854282.23</v>
      </c>
      <c r="N74" s="14">
        <v>9371</v>
      </c>
      <c r="O74" s="14"/>
      <c r="P74" s="14">
        <v>128803.65</v>
      </c>
      <c r="Q74" s="14">
        <v>7207.96</v>
      </c>
      <c r="R74" s="14">
        <v>57606.5</v>
      </c>
      <c r="S74" s="2">
        <f t="shared" si="2"/>
        <v>3057271.34</v>
      </c>
      <c r="T74" s="22">
        <v>70</v>
      </c>
      <c r="U74" s="14">
        <v>1060</v>
      </c>
      <c r="V74" s="14">
        <v>-61950.69</v>
      </c>
      <c r="W74" s="14"/>
      <c r="X74" s="14">
        <v>-5.25</v>
      </c>
      <c r="Y74" s="42">
        <v>1</v>
      </c>
    </row>
    <row r="75" spans="1:25" x14ac:dyDescent="0.25">
      <c r="A75" s="12">
        <v>5512</v>
      </c>
      <c r="B75" s="13" t="s">
        <v>182</v>
      </c>
      <c r="C75" s="338">
        <v>2154455.06</v>
      </c>
      <c r="D75" s="339">
        <v>298297.56</v>
      </c>
      <c r="E75" s="338">
        <v>0</v>
      </c>
      <c r="F75" s="338"/>
      <c r="G75" s="338">
        <v>42978.9</v>
      </c>
      <c r="H75" s="339">
        <v>777.05</v>
      </c>
      <c r="I75" s="338"/>
      <c r="J75" s="339">
        <v>58750.26</v>
      </c>
      <c r="K75" s="338">
        <v>5598.5</v>
      </c>
      <c r="L75" s="339">
        <v>223262.7</v>
      </c>
      <c r="M75" s="3">
        <f t="shared" si="3"/>
        <v>2784120.03</v>
      </c>
      <c r="N75" s="14">
        <v>25548.9</v>
      </c>
      <c r="O75" s="14">
        <v>20738.3</v>
      </c>
      <c r="P75" s="14">
        <v>183268.15</v>
      </c>
      <c r="Q75" s="14">
        <v>10067.56</v>
      </c>
      <c r="R75" s="14">
        <v>91335.85</v>
      </c>
      <c r="S75" s="2">
        <f t="shared" si="2"/>
        <v>3115078.7899999996</v>
      </c>
      <c r="T75" s="22">
        <v>79</v>
      </c>
      <c r="U75" s="14">
        <v>1157</v>
      </c>
      <c r="V75" s="14">
        <v>-21499.08</v>
      </c>
      <c r="W75" s="14"/>
      <c r="X75" s="14">
        <v>-83.79</v>
      </c>
      <c r="Y75" s="42">
        <v>1</v>
      </c>
    </row>
    <row r="76" spans="1:25" x14ac:dyDescent="0.25">
      <c r="A76" s="12">
        <v>5513</v>
      </c>
      <c r="B76" s="13" t="s">
        <v>183</v>
      </c>
      <c r="C76" s="338">
        <v>766434.54</v>
      </c>
      <c r="D76" s="339">
        <v>84756.05</v>
      </c>
      <c r="E76" s="338">
        <v>0</v>
      </c>
      <c r="F76" s="338"/>
      <c r="G76" s="338">
        <v>462281.25</v>
      </c>
      <c r="H76" s="339">
        <v>10344.450000000001</v>
      </c>
      <c r="I76" s="338"/>
      <c r="J76" s="339">
        <v>60469.2</v>
      </c>
      <c r="K76" s="338">
        <v>1774.5</v>
      </c>
      <c r="L76" s="339">
        <v>50200</v>
      </c>
      <c r="M76" s="3">
        <f t="shared" si="3"/>
        <v>1436259.99</v>
      </c>
      <c r="N76" s="14">
        <v>94517.85</v>
      </c>
      <c r="O76" s="14">
        <v>215</v>
      </c>
      <c r="P76" s="14">
        <v>27726.35</v>
      </c>
      <c r="Q76" s="14"/>
      <c r="R76" s="14">
        <v>12240.55</v>
      </c>
      <c r="S76" s="2">
        <f t="shared" si="2"/>
        <v>1570959.7400000002</v>
      </c>
      <c r="T76" s="22">
        <v>66</v>
      </c>
      <c r="U76" s="14">
        <v>483</v>
      </c>
      <c r="V76" s="14">
        <v>-5338.94</v>
      </c>
      <c r="W76" s="14"/>
      <c r="X76" s="14">
        <v>0</v>
      </c>
      <c r="Y76" s="42">
        <v>0.5</v>
      </c>
    </row>
    <row r="77" spans="1:25" x14ac:dyDescent="0.25">
      <c r="A77" s="12">
        <v>5514</v>
      </c>
      <c r="B77" s="13" t="s">
        <v>184</v>
      </c>
      <c r="C77" s="338">
        <v>2196346.04</v>
      </c>
      <c r="D77" s="339">
        <v>290972.06</v>
      </c>
      <c r="E77" s="338">
        <v>0</v>
      </c>
      <c r="F77" s="338"/>
      <c r="G77" s="338">
        <v>29416.35</v>
      </c>
      <c r="H77" s="339">
        <v>10089.4</v>
      </c>
      <c r="I77" s="338">
        <v>34926.15</v>
      </c>
      <c r="J77" s="339">
        <v>64315.16</v>
      </c>
      <c r="K77" s="338">
        <v>6085</v>
      </c>
      <c r="L77" s="339">
        <v>211858.05</v>
      </c>
      <c r="M77" s="3">
        <f t="shared" si="3"/>
        <v>2844008.21</v>
      </c>
      <c r="N77" s="14">
        <v>10495.45</v>
      </c>
      <c r="O77" s="14">
        <v>150776.20000000001</v>
      </c>
      <c r="P77" s="14">
        <v>59343.1</v>
      </c>
      <c r="Q77" s="14">
        <v>9375.27</v>
      </c>
      <c r="R77" s="14">
        <v>43356</v>
      </c>
      <c r="S77" s="2">
        <f t="shared" si="2"/>
        <v>3117354.2300000004</v>
      </c>
      <c r="T77" s="22">
        <v>69</v>
      </c>
      <c r="U77" s="14">
        <v>1240</v>
      </c>
      <c r="V77" s="14">
        <v>-53341.760000000002</v>
      </c>
      <c r="W77" s="14"/>
      <c r="X77" s="14">
        <v>-25.52</v>
      </c>
      <c r="Y77" s="42">
        <v>1</v>
      </c>
    </row>
    <row r="78" spans="1:25" x14ac:dyDescent="0.25">
      <c r="A78" s="12">
        <v>5515</v>
      </c>
      <c r="B78" s="13" t="s">
        <v>185</v>
      </c>
      <c r="C78" s="338">
        <v>1536454.56</v>
      </c>
      <c r="D78" s="339">
        <v>121133.92</v>
      </c>
      <c r="E78" s="338">
        <v>0</v>
      </c>
      <c r="F78" s="338"/>
      <c r="G78" s="338">
        <v>4260.3500000000004</v>
      </c>
      <c r="H78" s="339">
        <v>233.15</v>
      </c>
      <c r="I78" s="338"/>
      <c r="J78" s="339">
        <v>38943.040000000001</v>
      </c>
      <c r="K78" s="338">
        <v>3345</v>
      </c>
      <c r="L78" s="339">
        <v>136815.85</v>
      </c>
      <c r="M78" s="3">
        <f t="shared" si="3"/>
        <v>1841185.87</v>
      </c>
      <c r="N78" s="14">
        <v>15317</v>
      </c>
      <c r="O78" s="14"/>
      <c r="P78" s="14">
        <v>42300.45</v>
      </c>
      <c r="Q78" s="14">
        <v>24818.05</v>
      </c>
      <c r="R78" s="14">
        <v>31343.599999999999</v>
      </c>
      <c r="S78" s="2">
        <f t="shared" si="2"/>
        <v>1954964.9700000002</v>
      </c>
      <c r="T78" s="22">
        <v>73</v>
      </c>
      <c r="U78" s="14">
        <v>817</v>
      </c>
      <c r="V78" s="14">
        <v>6822.25</v>
      </c>
      <c r="W78" s="14"/>
      <c r="X78" s="14">
        <v>-12.6</v>
      </c>
      <c r="Y78" s="42">
        <v>1</v>
      </c>
    </row>
    <row r="79" spans="1:25" x14ac:dyDescent="0.25">
      <c r="A79" s="12">
        <v>5516</v>
      </c>
      <c r="B79" s="13" t="s">
        <v>186</v>
      </c>
      <c r="C79" s="338">
        <v>5801033.8399999999</v>
      </c>
      <c r="D79" s="339">
        <v>766375.01</v>
      </c>
      <c r="E79" s="338">
        <v>0</v>
      </c>
      <c r="F79" s="338"/>
      <c r="G79" s="338">
        <v>291148.40000000002</v>
      </c>
      <c r="H79" s="339">
        <v>2478.15</v>
      </c>
      <c r="I79" s="338">
        <v>1540.1</v>
      </c>
      <c r="J79" s="339">
        <v>178023.52</v>
      </c>
      <c r="K79" s="338">
        <v>33138.5</v>
      </c>
      <c r="L79" s="339">
        <v>551896.1</v>
      </c>
      <c r="M79" s="3">
        <f t="shared" si="3"/>
        <v>7625633.6199999992</v>
      </c>
      <c r="N79" s="14">
        <v>113660.65</v>
      </c>
      <c r="O79" s="14">
        <v>94177.600000000006</v>
      </c>
      <c r="P79" s="14">
        <v>169255.7</v>
      </c>
      <c r="Q79" s="14">
        <v>23570.18</v>
      </c>
      <c r="R79" s="14">
        <v>145908.85</v>
      </c>
      <c r="S79" s="2">
        <f t="shared" si="2"/>
        <v>8172206.5999999987</v>
      </c>
      <c r="T79" s="22">
        <v>70</v>
      </c>
      <c r="U79" s="14">
        <v>2739</v>
      </c>
      <c r="V79" s="14">
        <v>-108603.75</v>
      </c>
      <c r="W79" s="14"/>
      <c r="X79" s="14">
        <v>-721.21</v>
      </c>
      <c r="Y79" s="42">
        <v>1</v>
      </c>
    </row>
    <row r="80" spans="1:25" x14ac:dyDescent="0.25">
      <c r="A80" s="12">
        <v>5518</v>
      </c>
      <c r="B80" s="13" t="s">
        <v>187</v>
      </c>
      <c r="C80" s="338">
        <v>10030795.49</v>
      </c>
      <c r="D80" s="339">
        <v>1221766.97</v>
      </c>
      <c r="E80" s="338">
        <v>0</v>
      </c>
      <c r="F80" s="338"/>
      <c r="G80" s="338">
        <v>1499729.6</v>
      </c>
      <c r="H80" s="339">
        <v>45526.9</v>
      </c>
      <c r="I80" s="338"/>
      <c r="J80" s="339">
        <v>234820.72</v>
      </c>
      <c r="K80" s="338">
        <v>44147</v>
      </c>
      <c r="L80" s="339">
        <v>939163.3</v>
      </c>
      <c r="M80" s="3">
        <f t="shared" si="3"/>
        <v>14015949.980000002</v>
      </c>
      <c r="N80" s="14">
        <v>194399.35</v>
      </c>
      <c r="O80" s="14">
        <v>129287.5</v>
      </c>
      <c r="P80" s="14">
        <v>409741.25</v>
      </c>
      <c r="Q80" s="14">
        <v>36283.64</v>
      </c>
      <c r="R80" s="14">
        <v>734487.1</v>
      </c>
      <c r="S80" s="2">
        <f t="shared" si="2"/>
        <v>15520148.820000002</v>
      </c>
      <c r="T80" s="22">
        <v>74</v>
      </c>
      <c r="U80" s="14">
        <v>5677</v>
      </c>
      <c r="V80" s="14">
        <v>-193545.49</v>
      </c>
      <c r="W80" s="14"/>
      <c r="X80" s="14">
        <v>-896.59</v>
      </c>
      <c r="Y80" s="42">
        <v>1</v>
      </c>
    </row>
    <row r="81" spans="1:25" x14ac:dyDescent="0.25">
      <c r="A81" s="12">
        <v>5520</v>
      </c>
      <c r="B81" s="13" t="s">
        <v>188</v>
      </c>
      <c r="C81" s="338">
        <v>1612884.99</v>
      </c>
      <c r="D81" s="339">
        <v>250633.96</v>
      </c>
      <c r="E81" s="338">
        <v>0</v>
      </c>
      <c r="F81" s="338"/>
      <c r="G81" s="338">
        <v>21891.9</v>
      </c>
      <c r="H81" s="339">
        <v>1659.95</v>
      </c>
      <c r="I81" s="338"/>
      <c r="J81" s="339">
        <v>10280.15</v>
      </c>
      <c r="K81" s="338">
        <v>1478</v>
      </c>
      <c r="L81" s="339">
        <v>165049.70000000001</v>
      </c>
      <c r="M81" s="3">
        <f t="shared" si="3"/>
        <v>2063878.6499999997</v>
      </c>
      <c r="N81" s="14">
        <v>9444.85</v>
      </c>
      <c r="O81" s="14">
        <v>28356.799999999999</v>
      </c>
      <c r="P81" s="14">
        <v>60306.400000000001</v>
      </c>
      <c r="Q81" s="14">
        <v>586.45000000000005</v>
      </c>
      <c r="R81" s="14">
        <v>26758.9</v>
      </c>
      <c r="S81" s="2">
        <f t="shared" si="2"/>
        <v>2189332.0499999998</v>
      </c>
      <c r="T81" s="22">
        <v>73</v>
      </c>
      <c r="U81" s="14">
        <v>943</v>
      </c>
      <c r="V81" s="14">
        <v>-13371.97</v>
      </c>
      <c r="W81" s="14"/>
      <c r="X81" s="14">
        <v>-48.88</v>
      </c>
      <c r="Y81" s="42">
        <v>1</v>
      </c>
    </row>
    <row r="82" spans="1:25" x14ac:dyDescent="0.25">
      <c r="A82" s="12">
        <v>5521</v>
      </c>
      <c r="B82" s="13" t="s">
        <v>189</v>
      </c>
      <c r="C82" s="338">
        <v>2340321.5299999998</v>
      </c>
      <c r="D82" s="339">
        <v>237986.19</v>
      </c>
      <c r="E82" s="338">
        <v>0</v>
      </c>
      <c r="F82" s="338"/>
      <c r="G82" s="338">
        <v>90031.25</v>
      </c>
      <c r="H82" s="339">
        <v>1252.95</v>
      </c>
      <c r="I82" s="338"/>
      <c r="J82" s="339">
        <v>65837.91</v>
      </c>
      <c r="K82" s="338">
        <v>10615</v>
      </c>
      <c r="L82" s="339">
        <v>229750.9</v>
      </c>
      <c r="M82" s="3">
        <f t="shared" si="3"/>
        <v>2975795.73</v>
      </c>
      <c r="N82" s="14">
        <v>43025.9</v>
      </c>
      <c r="O82" s="14"/>
      <c r="P82" s="14">
        <v>51128</v>
      </c>
      <c r="Q82" s="14">
        <v>6813.5</v>
      </c>
      <c r="R82" s="14">
        <v>32477</v>
      </c>
      <c r="S82" s="2">
        <f t="shared" si="2"/>
        <v>3109240.13</v>
      </c>
      <c r="T82" s="22">
        <v>73</v>
      </c>
      <c r="U82" s="14">
        <v>1118</v>
      </c>
      <c r="V82" s="14">
        <v>-14561.6</v>
      </c>
      <c r="W82" s="14"/>
      <c r="X82" s="14">
        <v>-10.18</v>
      </c>
      <c r="Y82" s="42">
        <v>1</v>
      </c>
    </row>
    <row r="83" spans="1:25" x14ac:dyDescent="0.25">
      <c r="A83" s="12">
        <v>5522</v>
      </c>
      <c r="B83" s="13" t="s">
        <v>190</v>
      </c>
      <c r="C83" s="338">
        <v>1152717.6100000001</v>
      </c>
      <c r="D83" s="339">
        <v>155042.65</v>
      </c>
      <c r="E83" s="338">
        <v>0</v>
      </c>
      <c r="F83" s="338"/>
      <c r="G83" s="338">
        <v>16468.75</v>
      </c>
      <c r="H83" s="339">
        <v>405.55</v>
      </c>
      <c r="I83" s="338"/>
      <c r="J83" s="339">
        <v>8260.5300000000007</v>
      </c>
      <c r="K83" s="338">
        <v>1092</v>
      </c>
      <c r="L83" s="339">
        <v>114435.65</v>
      </c>
      <c r="M83" s="3">
        <f t="shared" si="3"/>
        <v>1448422.74</v>
      </c>
      <c r="N83" s="14">
        <v>9692.35</v>
      </c>
      <c r="O83" s="14"/>
      <c r="P83" s="14">
        <v>66387.199999999997</v>
      </c>
      <c r="Q83" s="14">
        <v>3717.05</v>
      </c>
      <c r="R83" s="14">
        <v>84927.25</v>
      </c>
      <c r="S83" s="2">
        <f t="shared" si="2"/>
        <v>1613146.59</v>
      </c>
      <c r="T83" s="22">
        <v>75</v>
      </c>
      <c r="U83" s="14">
        <v>696</v>
      </c>
      <c r="V83" s="14">
        <v>-18949.990000000002</v>
      </c>
      <c r="W83" s="14"/>
      <c r="X83" s="14">
        <v>-2.85</v>
      </c>
      <c r="Y83" s="42">
        <v>1</v>
      </c>
    </row>
    <row r="84" spans="1:25" x14ac:dyDescent="0.25">
      <c r="A84" s="12">
        <v>5523</v>
      </c>
      <c r="B84" s="13" t="s">
        <v>191</v>
      </c>
      <c r="C84" s="338">
        <v>4636660.24</v>
      </c>
      <c r="D84" s="339">
        <v>556636.23</v>
      </c>
      <c r="E84" s="338">
        <v>0</v>
      </c>
      <c r="F84" s="338">
        <v>13670</v>
      </c>
      <c r="G84" s="338">
        <v>129874.9</v>
      </c>
      <c r="H84" s="339">
        <v>2455.8000000000002</v>
      </c>
      <c r="I84" s="338">
        <v>31453.05</v>
      </c>
      <c r="J84" s="339">
        <v>60188.89</v>
      </c>
      <c r="K84" s="338">
        <v>14040</v>
      </c>
      <c r="L84" s="339">
        <v>571692.75</v>
      </c>
      <c r="M84" s="3">
        <f t="shared" si="3"/>
        <v>6016671.8600000003</v>
      </c>
      <c r="N84" s="14">
        <v>2731.4</v>
      </c>
      <c r="O84" s="14">
        <v>218616.2</v>
      </c>
      <c r="P84" s="14">
        <v>198513.95</v>
      </c>
      <c r="Q84" s="14">
        <v>1099.05</v>
      </c>
      <c r="R84" s="14">
        <v>188163.3</v>
      </c>
      <c r="S84" s="2">
        <f t="shared" si="2"/>
        <v>6625795.7600000007</v>
      </c>
      <c r="T84" s="22">
        <v>76</v>
      </c>
      <c r="U84" s="14">
        <v>2459</v>
      </c>
      <c r="V84" s="14">
        <v>-35368.6</v>
      </c>
      <c r="W84" s="14">
        <v>-988</v>
      </c>
      <c r="X84" s="14">
        <v>-23.41</v>
      </c>
      <c r="Y84" s="42">
        <v>1.25</v>
      </c>
    </row>
    <row r="85" spans="1:25" x14ac:dyDescent="0.25">
      <c r="A85" s="12">
        <v>5527</v>
      </c>
      <c r="B85" s="13" t="s">
        <v>192</v>
      </c>
      <c r="C85" s="338">
        <v>2117211.29</v>
      </c>
      <c r="D85" s="339">
        <v>318348.33</v>
      </c>
      <c r="E85" s="338">
        <v>0</v>
      </c>
      <c r="F85" s="338"/>
      <c r="G85" s="338">
        <v>8788.65</v>
      </c>
      <c r="H85" s="339">
        <v>2507.65</v>
      </c>
      <c r="I85" s="338"/>
      <c r="J85" s="339">
        <v>52363.65</v>
      </c>
      <c r="K85" s="338">
        <v>2706.5</v>
      </c>
      <c r="L85" s="339">
        <v>207646.05</v>
      </c>
      <c r="M85" s="3">
        <f t="shared" si="3"/>
        <v>2709572.1199999996</v>
      </c>
      <c r="N85" s="14">
        <v>12170</v>
      </c>
      <c r="O85" s="14">
        <v>15337.8</v>
      </c>
      <c r="P85" s="14">
        <v>27280</v>
      </c>
      <c r="Q85" s="14">
        <v>15047.39</v>
      </c>
      <c r="R85" s="14">
        <v>23203</v>
      </c>
      <c r="S85" s="2">
        <f t="shared" si="2"/>
        <v>2802610.3099999996</v>
      </c>
      <c r="T85" s="22">
        <v>71</v>
      </c>
      <c r="U85" s="14">
        <v>1074</v>
      </c>
      <c r="V85" s="14">
        <v>-56848.01</v>
      </c>
      <c r="W85" s="14">
        <v>-943.4</v>
      </c>
      <c r="X85" s="14">
        <v>-17.170000000000002</v>
      </c>
      <c r="Y85" s="42">
        <v>1</v>
      </c>
    </row>
    <row r="86" spans="1:25" x14ac:dyDescent="0.25">
      <c r="A86" s="12">
        <v>5529</v>
      </c>
      <c r="B86" s="13" t="s">
        <v>193</v>
      </c>
      <c r="C86" s="338">
        <v>1107130.6200000001</v>
      </c>
      <c r="D86" s="339">
        <v>110522.98</v>
      </c>
      <c r="E86" s="338">
        <v>0</v>
      </c>
      <c r="F86" s="338"/>
      <c r="G86" s="338">
        <v>83894.95</v>
      </c>
      <c r="H86" s="339">
        <v>406.7</v>
      </c>
      <c r="I86" s="338"/>
      <c r="J86" s="339">
        <v>15232.69</v>
      </c>
      <c r="K86" s="338">
        <v>2595</v>
      </c>
      <c r="L86" s="339">
        <v>101461.5</v>
      </c>
      <c r="M86" s="3">
        <f t="shared" si="3"/>
        <v>1421244.44</v>
      </c>
      <c r="N86" s="14"/>
      <c r="O86" s="14">
        <v>17479.099999999999</v>
      </c>
      <c r="P86" s="14">
        <v>33052.35</v>
      </c>
      <c r="Q86" s="14">
        <v>319.05</v>
      </c>
      <c r="R86" s="14">
        <v>23631.65</v>
      </c>
      <c r="S86" s="2">
        <f t="shared" si="2"/>
        <v>1495726.59</v>
      </c>
      <c r="T86" s="22">
        <v>71</v>
      </c>
      <c r="U86" s="14">
        <v>560</v>
      </c>
      <c r="V86" s="14">
        <v>-10442.94</v>
      </c>
      <c r="W86" s="14"/>
      <c r="X86" s="14">
        <v>-5.32</v>
      </c>
      <c r="Y86" s="42">
        <v>1</v>
      </c>
    </row>
    <row r="87" spans="1:25" x14ac:dyDescent="0.25">
      <c r="A87" s="12">
        <v>5530</v>
      </c>
      <c r="B87" s="13" t="s">
        <v>194</v>
      </c>
      <c r="C87" s="338">
        <v>935167.42</v>
      </c>
      <c r="D87" s="339">
        <v>105674.66</v>
      </c>
      <c r="E87" s="338">
        <v>0</v>
      </c>
      <c r="F87" s="338"/>
      <c r="G87" s="338">
        <v>55253.2</v>
      </c>
      <c r="H87" s="339">
        <v>974.7</v>
      </c>
      <c r="I87" s="338"/>
      <c r="J87" s="339">
        <v>4266.12</v>
      </c>
      <c r="K87" s="338">
        <v>37.5</v>
      </c>
      <c r="L87" s="339">
        <v>109224.4</v>
      </c>
      <c r="M87" s="3">
        <f t="shared" si="3"/>
        <v>1210598</v>
      </c>
      <c r="N87" s="14"/>
      <c r="O87" s="14">
        <v>3366.6</v>
      </c>
      <c r="P87" s="14">
        <v>7297.8</v>
      </c>
      <c r="Q87" s="14">
        <v>19.09</v>
      </c>
      <c r="R87" s="14">
        <v>1187.0999999999999</v>
      </c>
      <c r="S87" s="2">
        <f t="shared" si="2"/>
        <v>1222468.5900000003</v>
      </c>
      <c r="T87" s="22">
        <v>77.5</v>
      </c>
      <c r="U87" s="14">
        <v>534</v>
      </c>
      <c r="V87" s="14">
        <v>-8830.8799999999992</v>
      </c>
      <c r="W87" s="14"/>
      <c r="X87" s="14">
        <v>0</v>
      </c>
      <c r="Y87" s="42">
        <v>1.2</v>
      </c>
    </row>
    <row r="88" spans="1:25" x14ac:dyDescent="0.25">
      <c r="A88" s="12">
        <v>5531</v>
      </c>
      <c r="B88" s="13" t="s">
        <v>195</v>
      </c>
      <c r="C88" s="338">
        <v>756669.69</v>
      </c>
      <c r="D88" s="339">
        <v>113677.84</v>
      </c>
      <c r="E88" s="338">
        <v>0</v>
      </c>
      <c r="F88" s="338"/>
      <c r="G88" s="338">
        <v>99.350000000000406</v>
      </c>
      <c r="H88" s="339">
        <v>400.4</v>
      </c>
      <c r="I88" s="338"/>
      <c r="J88" s="339">
        <v>1755.54</v>
      </c>
      <c r="K88" s="338">
        <v>974.5</v>
      </c>
      <c r="L88" s="339">
        <v>68269.850000000006</v>
      </c>
      <c r="M88" s="3">
        <f t="shared" si="3"/>
        <v>941847.16999999993</v>
      </c>
      <c r="N88" s="14">
        <v>26264.9</v>
      </c>
      <c r="O88" s="14"/>
      <c r="P88" s="14">
        <v>23570.400000000001</v>
      </c>
      <c r="Q88" s="14">
        <v>8544.1299999999992</v>
      </c>
      <c r="R88" s="14">
        <v>17020.849999999999</v>
      </c>
      <c r="S88" s="2">
        <f t="shared" si="2"/>
        <v>1017247.45</v>
      </c>
      <c r="T88" s="22">
        <v>78</v>
      </c>
      <c r="U88" s="14">
        <v>411</v>
      </c>
      <c r="V88" s="14">
        <v>-6409.9</v>
      </c>
      <c r="W88" s="14"/>
      <c r="X88" s="14">
        <v>-48.79</v>
      </c>
      <c r="Y88" s="42">
        <v>1</v>
      </c>
    </row>
    <row r="89" spans="1:25" x14ac:dyDescent="0.25">
      <c r="A89" s="12">
        <v>5533</v>
      </c>
      <c r="B89" s="13" t="s">
        <v>196</v>
      </c>
      <c r="C89" s="338">
        <v>1359631.91</v>
      </c>
      <c r="D89" s="339">
        <v>148349.60999999999</v>
      </c>
      <c r="E89" s="338">
        <v>0</v>
      </c>
      <c r="F89" s="338"/>
      <c r="G89" s="338">
        <v>204793.45</v>
      </c>
      <c r="H89" s="339">
        <v>148.5</v>
      </c>
      <c r="I89" s="338"/>
      <c r="J89" s="339">
        <v>61259.66</v>
      </c>
      <c r="K89" s="338">
        <v>4990</v>
      </c>
      <c r="L89" s="339">
        <v>77683.05</v>
      </c>
      <c r="M89" s="3">
        <f t="shared" si="3"/>
        <v>1856856.18</v>
      </c>
      <c r="N89" s="14"/>
      <c r="O89" s="14"/>
      <c r="P89" s="14">
        <v>27867.4</v>
      </c>
      <c r="Q89" s="14">
        <v>14993.62</v>
      </c>
      <c r="R89" s="14">
        <v>21188.25</v>
      </c>
      <c r="S89" s="2">
        <f t="shared" si="2"/>
        <v>1920905.45</v>
      </c>
      <c r="T89" s="22">
        <v>71</v>
      </c>
      <c r="U89" s="14">
        <v>844</v>
      </c>
      <c r="V89" s="14">
        <v>-3408.85</v>
      </c>
      <c r="W89" s="14"/>
      <c r="X89" s="14">
        <v>-22.51</v>
      </c>
      <c r="Y89" s="42">
        <v>0.6</v>
      </c>
    </row>
    <row r="90" spans="1:25" x14ac:dyDescent="0.25">
      <c r="A90" s="12">
        <v>5534</v>
      </c>
      <c r="B90" s="13" t="s">
        <v>197</v>
      </c>
      <c r="C90" s="338">
        <v>398471.55</v>
      </c>
      <c r="D90" s="339">
        <v>90892.35</v>
      </c>
      <c r="E90" s="338">
        <v>0</v>
      </c>
      <c r="F90" s="338"/>
      <c r="G90" s="338">
        <v>223094.2</v>
      </c>
      <c r="H90" s="339">
        <v>810.5</v>
      </c>
      <c r="I90" s="338"/>
      <c r="J90" s="339">
        <v>19149.400000000001</v>
      </c>
      <c r="K90" s="338">
        <v>1598.5</v>
      </c>
      <c r="L90" s="339">
        <v>70085.399999999994</v>
      </c>
      <c r="M90" s="3">
        <f t="shared" si="3"/>
        <v>804101.90000000014</v>
      </c>
      <c r="N90" s="14">
        <v>23141.9</v>
      </c>
      <c r="O90" s="14">
        <v>263378</v>
      </c>
      <c r="P90" s="14">
        <v>4815.8</v>
      </c>
      <c r="Q90" s="14"/>
      <c r="R90" s="14">
        <v>2321.65</v>
      </c>
      <c r="S90" s="2">
        <f t="shared" si="2"/>
        <v>1097759.2500000002</v>
      </c>
      <c r="T90" s="22">
        <v>73</v>
      </c>
      <c r="U90" s="14">
        <v>271</v>
      </c>
      <c r="V90" s="14">
        <v>-5902.26</v>
      </c>
      <c r="W90" s="14"/>
      <c r="X90" s="14">
        <v>-6.11</v>
      </c>
      <c r="Y90" s="42">
        <v>1</v>
      </c>
    </row>
    <row r="91" spans="1:25" x14ac:dyDescent="0.25">
      <c r="A91" s="12">
        <v>5535</v>
      </c>
      <c r="B91" s="13" t="s">
        <v>34</v>
      </c>
      <c r="C91" s="338">
        <v>1262690.19</v>
      </c>
      <c r="D91" s="339">
        <v>140421.01999999999</v>
      </c>
      <c r="E91" s="338">
        <v>0</v>
      </c>
      <c r="F91" s="338"/>
      <c r="G91" s="338">
        <v>18187.55</v>
      </c>
      <c r="H91" s="339">
        <v>9056.5</v>
      </c>
      <c r="I91" s="338"/>
      <c r="J91" s="339">
        <v>6768.32</v>
      </c>
      <c r="K91" s="338">
        <v>1419.5</v>
      </c>
      <c r="L91" s="339">
        <v>129892.3</v>
      </c>
      <c r="M91" s="3">
        <f t="shared" si="3"/>
        <v>1568435.3800000001</v>
      </c>
      <c r="N91" s="14">
        <v>29288.9</v>
      </c>
      <c r="O91" s="14">
        <v>557.6</v>
      </c>
      <c r="P91" s="14">
        <v>4370.25</v>
      </c>
      <c r="Q91" s="14">
        <v>1193.74</v>
      </c>
      <c r="R91" s="14">
        <v>19710.25</v>
      </c>
      <c r="S91" s="2">
        <f t="shared" si="2"/>
        <v>1623556.12</v>
      </c>
      <c r="T91" s="22">
        <v>75</v>
      </c>
      <c r="U91" s="14">
        <v>777</v>
      </c>
      <c r="V91" s="14">
        <v>-17309.03</v>
      </c>
      <c r="W91" s="14"/>
      <c r="X91" s="14">
        <v>-4.05</v>
      </c>
      <c r="Y91" s="42">
        <v>1</v>
      </c>
    </row>
    <row r="92" spans="1:25" x14ac:dyDescent="0.25">
      <c r="A92" s="12">
        <v>5537</v>
      </c>
      <c r="B92" s="13" t="s">
        <v>35</v>
      </c>
      <c r="C92" s="338">
        <v>1811510.61</v>
      </c>
      <c r="D92" s="339">
        <v>176054.69</v>
      </c>
      <c r="E92" s="338">
        <v>0</v>
      </c>
      <c r="F92" s="338">
        <v>5751.45</v>
      </c>
      <c r="G92" s="338">
        <v>35151.800000000003</v>
      </c>
      <c r="H92" s="339">
        <v>590.1</v>
      </c>
      <c r="I92" s="338"/>
      <c r="J92" s="339">
        <v>12744.78</v>
      </c>
      <c r="K92" s="338">
        <v>1064</v>
      </c>
      <c r="L92" s="339">
        <v>151536.9</v>
      </c>
      <c r="M92" s="3">
        <f t="shared" si="3"/>
        <v>2194404.33</v>
      </c>
      <c r="N92" s="14">
        <v>191.15</v>
      </c>
      <c r="O92" s="14">
        <v>5485.5</v>
      </c>
      <c r="P92" s="14">
        <v>69553.600000000006</v>
      </c>
      <c r="Q92" s="14">
        <v>160.08000000000001</v>
      </c>
      <c r="R92" s="14">
        <v>41673.35</v>
      </c>
      <c r="S92" s="2">
        <f t="shared" si="2"/>
        <v>2311468.0100000002</v>
      </c>
      <c r="T92" s="22">
        <v>73</v>
      </c>
      <c r="U92" s="14">
        <v>1066</v>
      </c>
      <c r="V92" s="14">
        <v>-39445.35</v>
      </c>
      <c r="W92" s="14"/>
      <c r="X92" s="14">
        <v>-0.19</v>
      </c>
      <c r="Y92" s="42">
        <v>0.8</v>
      </c>
    </row>
    <row r="93" spans="1:25" x14ac:dyDescent="0.25">
      <c r="A93" s="12">
        <v>5539</v>
      </c>
      <c r="B93" s="13" t="s">
        <v>36</v>
      </c>
      <c r="C93" s="338">
        <v>1406663.67</v>
      </c>
      <c r="D93" s="339">
        <v>150736.69</v>
      </c>
      <c r="E93" s="338">
        <v>0</v>
      </c>
      <c r="F93" s="338"/>
      <c r="G93" s="338">
        <v>4253.6499999999996</v>
      </c>
      <c r="H93" s="339">
        <v>549.65</v>
      </c>
      <c r="I93" s="338"/>
      <c r="J93" s="339">
        <v>18488.78</v>
      </c>
      <c r="K93" s="338">
        <v>6525</v>
      </c>
      <c r="L93" s="339">
        <v>128576.15</v>
      </c>
      <c r="M93" s="3">
        <f t="shared" si="3"/>
        <v>1715793.5899999996</v>
      </c>
      <c r="N93" s="14">
        <v>24256.6</v>
      </c>
      <c r="O93" s="14">
        <v>18176.7</v>
      </c>
      <c r="P93" s="14">
        <v>50241.9</v>
      </c>
      <c r="Q93" s="14">
        <v>54206.92</v>
      </c>
      <c r="R93" s="14">
        <v>15550.45</v>
      </c>
      <c r="S93" s="2">
        <f t="shared" si="2"/>
        <v>1878226.1599999995</v>
      </c>
      <c r="T93" s="22">
        <v>75</v>
      </c>
      <c r="U93" s="14">
        <v>993</v>
      </c>
      <c r="V93" s="14">
        <v>-97576.58</v>
      </c>
      <c r="W93" s="14"/>
      <c r="X93" s="14">
        <v>-40.6</v>
      </c>
      <c r="Y93" s="42">
        <v>0.8</v>
      </c>
    </row>
    <row r="94" spans="1:25" x14ac:dyDescent="0.25">
      <c r="A94" s="12">
        <v>5540</v>
      </c>
      <c r="B94" s="13" t="s">
        <v>442</v>
      </c>
      <c r="C94" s="338">
        <v>3110435.35</v>
      </c>
      <c r="D94" s="339">
        <v>465856.8</v>
      </c>
      <c r="E94" s="338">
        <v>0</v>
      </c>
      <c r="F94" s="338"/>
      <c r="G94" s="338">
        <v>125504.35</v>
      </c>
      <c r="H94" s="339">
        <v>579.15</v>
      </c>
      <c r="I94" s="338"/>
      <c r="J94" s="339">
        <v>89155.4</v>
      </c>
      <c r="K94" s="338">
        <v>5536</v>
      </c>
      <c r="L94" s="339">
        <v>235790.5</v>
      </c>
      <c r="M94" s="3">
        <f t="shared" si="3"/>
        <v>4032857.55</v>
      </c>
      <c r="N94" s="14">
        <v>6178</v>
      </c>
      <c r="O94" s="14">
        <v>52288.4</v>
      </c>
      <c r="P94" s="14">
        <v>170198.65</v>
      </c>
      <c r="Q94" s="14">
        <v>16291.39</v>
      </c>
      <c r="R94" s="14">
        <v>52983.15</v>
      </c>
      <c r="S94" s="2">
        <f t="shared" si="2"/>
        <v>4330797.1399999997</v>
      </c>
      <c r="T94" s="22">
        <v>74</v>
      </c>
      <c r="U94" s="14">
        <v>1698</v>
      </c>
      <c r="V94" s="14">
        <v>-31341.23</v>
      </c>
      <c r="W94" s="14">
        <v>-15929.65</v>
      </c>
      <c r="X94" s="14">
        <v>-25.78</v>
      </c>
      <c r="Y94" s="42">
        <v>0.8</v>
      </c>
    </row>
    <row r="95" spans="1:25" x14ac:dyDescent="0.25">
      <c r="A95" s="12">
        <v>5541</v>
      </c>
      <c r="B95" s="13" t="s">
        <v>441</v>
      </c>
      <c r="C95" s="338">
        <v>2038580.34</v>
      </c>
      <c r="D95" s="339">
        <v>225071.02</v>
      </c>
      <c r="E95" s="338">
        <v>0</v>
      </c>
      <c r="F95" s="338"/>
      <c r="G95" s="338">
        <v>80477.45</v>
      </c>
      <c r="H95" s="339">
        <v>4592.6000000000004</v>
      </c>
      <c r="I95" s="338"/>
      <c r="J95" s="339">
        <v>18881.310000000001</v>
      </c>
      <c r="K95" s="338">
        <v>1932</v>
      </c>
      <c r="L95" s="339">
        <v>176907.35</v>
      </c>
      <c r="M95" s="3">
        <f t="shared" si="3"/>
        <v>2546442.0700000003</v>
      </c>
      <c r="N95" s="14">
        <v>4809.55</v>
      </c>
      <c r="O95" s="14">
        <v>234825.2</v>
      </c>
      <c r="P95" s="14">
        <v>64484.05</v>
      </c>
      <c r="Q95" s="14">
        <v>20115.36</v>
      </c>
      <c r="R95" s="14">
        <v>53284</v>
      </c>
      <c r="S95" s="2">
        <f t="shared" si="2"/>
        <v>2923960.23</v>
      </c>
      <c r="T95" s="22">
        <v>77</v>
      </c>
      <c r="U95" s="14">
        <v>1051</v>
      </c>
      <c r="V95" s="14">
        <v>-45024.45</v>
      </c>
      <c r="W95" s="14">
        <v>-19180.349999999999</v>
      </c>
      <c r="X95" s="14">
        <v>-1.2</v>
      </c>
      <c r="Y95" s="42">
        <v>1</v>
      </c>
    </row>
    <row r="96" spans="1:25" x14ac:dyDescent="0.25">
      <c r="A96" s="12">
        <v>5551</v>
      </c>
      <c r="B96" s="13" t="s">
        <v>37</v>
      </c>
      <c r="C96" s="338">
        <v>792318.74</v>
      </c>
      <c r="D96" s="339">
        <v>118971.18</v>
      </c>
      <c r="E96" s="338">
        <v>0</v>
      </c>
      <c r="F96" s="338"/>
      <c r="G96" s="338">
        <v>22717.85</v>
      </c>
      <c r="H96" s="339">
        <v>-485.25</v>
      </c>
      <c r="I96" s="338"/>
      <c r="J96" s="339">
        <v>7232.53</v>
      </c>
      <c r="K96" s="338">
        <v>7794.9</v>
      </c>
      <c r="L96" s="341">
        <v>79246.45</v>
      </c>
      <c r="M96" s="3">
        <f t="shared" si="3"/>
        <v>1027796.3999999999</v>
      </c>
      <c r="N96" s="14">
        <v>10139.85</v>
      </c>
      <c r="O96" s="14"/>
      <c r="P96" s="14">
        <v>12948.35</v>
      </c>
      <c r="Q96" s="14"/>
      <c r="R96" s="14">
        <v>21366.15</v>
      </c>
      <c r="S96" s="2">
        <f t="shared" si="2"/>
        <v>1072250.7499999998</v>
      </c>
      <c r="T96" s="22">
        <v>55</v>
      </c>
      <c r="U96" s="14">
        <v>495</v>
      </c>
      <c r="V96" s="14">
        <v>-662.47</v>
      </c>
      <c r="W96" s="14"/>
      <c r="X96" s="14">
        <v>-38.57</v>
      </c>
      <c r="Y96" s="42">
        <v>0.7</v>
      </c>
    </row>
    <row r="97" spans="1:25" x14ac:dyDescent="0.25">
      <c r="A97" s="12">
        <v>5552</v>
      </c>
      <c r="B97" s="13" t="s">
        <v>38</v>
      </c>
      <c r="C97" s="338">
        <v>821001.73</v>
      </c>
      <c r="D97" s="339">
        <v>126793.47</v>
      </c>
      <c r="E97" s="338">
        <v>0</v>
      </c>
      <c r="F97" s="338"/>
      <c r="G97" s="338">
        <v>9885.7999999999993</v>
      </c>
      <c r="H97" s="339">
        <v>804.75</v>
      </c>
      <c r="I97" s="338">
        <v>18143.650000000001</v>
      </c>
      <c r="J97" s="339">
        <v>10515.44</v>
      </c>
      <c r="K97" s="338">
        <v>1484.5</v>
      </c>
      <c r="L97" s="339">
        <v>107136.4</v>
      </c>
      <c r="M97" s="3">
        <f t="shared" si="3"/>
        <v>1095765.74</v>
      </c>
      <c r="N97" s="14">
        <v>41288.050000000003</v>
      </c>
      <c r="O97" s="14">
        <v>80939.100000000006</v>
      </c>
      <c r="P97" s="14">
        <v>48578.65</v>
      </c>
      <c r="Q97" s="14">
        <v>13961.66</v>
      </c>
      <c r="R97" s="14">
        <v>30948.15</v>
      </c>
      <c r="S97" s="2">
        <f t="shared" si="2"/>
        <v>1311481.3499999999</v>
      </c>
      <c r="T97" s="22">
        <v>70</v>
      </c>
      <c r="U97" s="14">
        <v>629</v>
      </c>
      <c r="V97" s="14">
        <v>-8231.9699999999993</v>
      </c>
      <c r="W97" s="14"/>
      <c r="X97" s="14">
        <v>-7.8</v>
      </c>
      <c r="Y97" s="42">
        <v>1</v>
      </c>
    </row>
    <row r="98" spans="1:25" x14ac:dyDescent="0.25">
      <c r="A98" s="12">
        <v>5553</v>
      </c>
      <c r="B98" s="13" t="s">
        <v>39</v>
      </c>
      <c r="C98" s="338">
        <v>1615644.64</v>
      </c>
      <c r="D98" s="339">
        <v>162140.32</v>
      </c>
      <c r="E98" s="338">
        <v>0</v>
      </c>
      <c r="F98" s="338"/>
      <c r="G98" s="338">
        <v>79139.350000000006</v>
      </c>
      <c r="H98" s="339">
        <v>16537.650000000001</v>
      </c>
      <c r="I98" s="338"/>
      <c r="J98" s="339">
        <v>41128.480000000003</v>
      </c>
      <c r="K98" s="338">
        <v>15720.5</v>
      </c>
      <c r="L98" s="339">
        <v>186008.2</v>
      </c>
      <c r="M98" s="3">
        <f t="shared" si="3"/>
        <v>2116319.14</v>
      </c>
      <c r="N98" s="14">
        <v>73437.649999999994</v>
      </c>
      <c r="O98" s="14">
        <v>1431.2</v>
      </c>
      <c r="P98" s="14">
        <v>153576.20000000001</v>
      </c>
      <c r="Q98" s="14">
        <v>2427.4699999999998</v>
      </c>
      <c r="R98" s="14">
        <v>129249.5</v>
      </c>
      <c r="S98" s="2">
        <f t="shared" si="2"/>
        <v>2476441.1600000006</v>
      </c>
      <c r="T98" s="22">
        <v>63</v>
      </c>
      <c r="U98" s="14">
        <v>1027</v>
      </c>
      <c r="V98" s="14">
        <v>-15913.23</v>
      </c>
      <c r="W98" s="14"/>
      <c r="X98" s="14">
        <v>-537.01</v>
      </c>
      <c r="Y98" s="42">
        <v>1</v>
      </c>
    </row>
    <row r="99" spans="1:25" x14ac:dyDescent="0.25">
      <c r="A99" s="12">
        <v>5554</v>
      </c>
      <c r="B99" s="13" t="s">
        <v>40</v>
      </c>
      <c r="C99" s="338">
        <v>1621565.33</v>
      </c>
      <c r="D99" s="339">
        <v>336589.96</v>
      </c>
      <c r="E99" s="338">
        <v>0</v>
      </c>
      <c r="F99" s="338"/>
      <c r="G99" s="338">
        <v>41284.6</v>
      </c>
      <c r="H99" s="339">
        <v>413.95</v>
      </c>
      <c r="I99" s="338"/>
      <c r="J99" s="339">
        <v>47952.29</v>
      </c>
      <c r="K99" s="338">
        <v>6243.5</v>
      </c>
      <c r="L99" s="339">
        <v>164605.1</v>
      </c>
      <c r="M99" s="3">
        <f t="shared" si="3"/>
        <v>2218654.73</v>
      </c>
      <c r="N99" s="14">
        <v>2250.0500000000002</v>
      </c>
      <c r="O99" s="14">
        <v>42657.599999999999</v>
      </c>
      <c r="P99" s="14">
        <v>77932.7</v>
      </c>
      <c r="Q99" s="14">
        <v>20663.669999999998</v>
      </c>
      <c r="R99" s="14">
        <v>32018.45</v>
      </c>
      <c r="S99" s="2">
        <f t="shared" si="2"/>
        <v>2394177.2000000002</v>
      </c>
      <c r="T99" s="22">
        <v>75</v>
      </c>
      <c r="U99" s="14">
        <v>960</v>
      </c>
      <c r="V99" s="14">
        <v>-65236.21</v>
      </c>
      <c r="W99" s="14"/>
      <c r="X99" s="14">
        <v>-79.03</v>
      </c>
      <c r="Y99" s="42">
        <v>1</v>
      </c>
    </row>
    <row r="100" spans="1:25" x14ac:dyDescent="0.25">
      <c r="A100" s="12">
        <v>5555</v>
      </c>
      <c r="B100" s="13" t="s">
        <v>41</v>
      </c>
      <c r="C100" s="338">
        <v>555920.26</v>
      </c>
      <c r="D100" s="339">
        <v>120152.74</v>
      </c>
      <c r="E100" s="338">
        <v>0</v>
      </c>
      <c r="F100" s="338"/>
      <c r="G100" s="338">
        <v>12455.25</v>
      </c>
      <c r="H100" s="339">
        <v>2005.8</v>
      </c>
      <c r="I100" s="338"/>
      <c r="J100" s="339">
        <v>24854.52</v>
      </c>
      <c r="K100" s="338">
        <v>1966.8</v>
      </c>
      <c r="L100" s="339">
        <v>73333.05</v>
      </c>
      <c r="M100" s="3">
        <f t="shared" si="3"/>
        <v>790688.42000000016</v>
      </c>
      <c r="N100" s="14">
        <v>7907.7</v>
      </c>
      <c r="O100" s="14">
        <v>5303.2</v>
      </c>
      <c r="P100" s="14">
        <v>43880.1</v>
      </c>
      <c r="Q100" s="14">
        <v>2065.23</v>
      </c>
      <c r="R100" s="14">
        <v>28789.85</v>
      </c>
      <c r="S100" s="2">
        <f t="shared" si="2"/>
        <v>878634.5</v>
      </c>
      <c r="T100" s="22">
        <v>71</v>
      </c>
      <c r="U100" s="14">
        <v>379</v>
      </c>
      <c r="V100" s="14">
        <v>-8887.15</v>
      </c>
      <c r="W100" s="14"/>
      <c r="X100" s="14">
        <v>-0.06</v>
      </c>
      <c r="Y100" s="42">
        <v>1</v>
      </c>
    </row>
    <row r="101" spans="1:25" x14ac:dyDescent="0.25">
      <c r="A101" s="12">
        <v>5556</v>
      </c>
      <c r="B101" s="13" t="s">
        <v>42</v>
      </c>
      <c r="C101" s="338">
        <v>711462.45</v>
      </c>
      <c r="D101" s="339">
        <v>83686.55</v>
      </c>
      <c r="E101" s="338">
        <v>0</v>
      </c>
      <c r="F101" s="338">
        <v>2160</v>
      </c>
      <c r="G101" s="338">
        <v>-2445.85</v>
      </c>
      <c r="H101" s="339">
        <v>11.35</v>
      </c>
      <c r="I101" s="338"/>
      <c r="J101" s="339">
        <v>5109.54</v>
      </c>
      <c r="K101" s="338">
        <v>522</v>
      </c>
      <c r="L101" s="341">
        <v>74642.399999999994</v>
      </c>
      <c r="M101" s="3">
        <f t="shared" si="3"/>
        <v>875148.44000000006</v>
      </c>
      <c r="N101" s="14"/>
      <c r="O101" s="14"/>
      <c r="P101" s="14">
        <v>22563.05</v>
      </c>
      <c r="Q101" s="14"/>
      <c r="R101" s="14">
        <v>27288.75</v>
      </c>
      <c r="S101" s="2">
        <f t="shared" si="2"/>
        <v>925000.24000000011</v>
      </c>
      <c r="T101" s="22">
        <v>69</v>
      </c>
      <c r="U101" s="14">
        <v>427</v>
      </c>
      <c r="V101" s="14">
        <v>-2088</v>
      </c>
      <c r="W101" s="14"/>
      <c r="X101" s="14">
        <v>0</v>
      </c>
      <c r="Y101" s="42">
        <v>1.2</v>
      </c>
    </row>
    <row r="102" spans="1:25" x14ac:dyDescent="0.25">
      <c r="A102" s="12">
        <v>5557</v>
      </c>
      <c r="B102" s="13" t="s">
        <v>43</v>
      </c>
      <c r="C102" s="338">
        <v>214012.15</v>
      </c>
      <c r="D102" s="339">
        <v>23600.29</v>
      </c>
      <c r="E102" s="338">
        <v>0</v>
      </c>
      <c r="F102" s="338">
        <v>920</v>
      </c>
      <c r="G102" s="338">
        <v>15206.2</v>
      </c>
      <c r="H102" s="339">
        <v>80.650000000000006</v>
      </c>
      <c r="I102" s="338"/>
      <c r="J102" s="339">
        <v>468.87</v>
      </c>
      <c r="K102" s="338">
        <v>827.5</v>
      </c>
      <c r="L102" s="339">
        <v>28633.200000000001</v>
      </c>
      <c r="M102" s="3">
        <f t="shared" si="3"/>
        <v>283748.86</v>
      </c>
      <c r="N102" s="14">
        <v>1148.05</v>
      </c>
      <c r="O102" s="14"/>
      <c r="P102" s="14">
        <v>19013.45</v>
      </c>
      <c r="Q102" s="14"/>
      <c r="R102" s="14">
        <v>15455.4</v>
      </c>
      <c r="S102" s="2">
        <f t="shared" si="2"/>
        <v>319365.76000000001</v>
      </c>
      <c r="T102" s="22">
        <v>69</v>
      </c>
      <c r="U102" s="14">
        <v>200</v>
      </c>
      <c r="V102" s="14">
        <v>-5659.04</v>
      </c>
      <c r="W102" s="14"/>
      <c r="X102" s="14">
        <v>0</v>
      </c>
      <c r="Y102" s="42">
        <v>1</v>
      </c>
    </row>
    <row r="103" spans="1:25" x14ac:dyDescent="0.25">
      <c r="A103" s="12">
        <v>5559</v>
      </c>
      <c r="B103" s="13" t="s">
        <v>44</v>
      </c>
      <c r="C103" s="338">
        <v>778012.52</v>
      </c>
      <c r="D103" s="339">
        <v>217089.58</v>
      </c>
      <c r="E103" s="338">
        <v>0</v>
      </c>
      <c r="F103" s="338"/>
      <c r="G103" s="338">
        <v>114658.55</v>
      </c>
      <c r="H103" s="339">
        <v>288.2</v>
      </c>
      <c r="I103" s="338"/>
      <c r="J103" s="339">
        <v>12072.8</v>
      </c>
      <c r="K103" s="338">
        <v>3375.5</v>
      </c>
      <c r="L103" s="339">
        <v>83185.3</v>
      </c>
      <c r="M103" s="3">
        <f t="shared" si="3"/>
        <v>1208682.45</v>
      </c>
      <c r="N103" s="14">
        <v>19419.5</v>
      </c>
      <c r="O103" s="14">
        <v>216185.8</v>
      </c>
      <c r="P103" s="14">
        <v>77154</v>
      </c>
      <c r="Q103" s="14"/>
      <c r="R103" s="14">
        <v>30207.55</v>
      </c>
      <c r="S103" s="2">
        <f t="shared" si="2"/>
        <v>1551649.3</v>
      </c>
      <c r="T103" s="22">
        <v>66</v>
      </c>
      <c r="U103" s="14">
        <v>408</v>
      </c>
      <c r="V103" s="14">
        <v>-10617.21</v>
      </c>
      <c r="W103" s="14"/>
      <c r="X103" s="14">
        <v>-222.1</v>
      </c>
      <c r="Y103" s="42">
        <v>1</v>
      </c>
    </row>
    <row r="104" spans="1:25" x14ac:dyDescent="0.25">
      <c r="A104" s="12">
        <v>5560</v>
      </c>
      <c r="B104" s="13" t="s">
        <v>45</v>
      </c>
      <c r="C104" s="338">
        <v>379621.46</v>
      </c>
      <c r="D104" s="339">
        <v>24538.17</v>
      </c>
      <c r="E104" s="338">
        <v>0</v>
      </c>
      <c r="F104" s="338"/>
      <c r="G104" s="338">
        <v>492.35</v>
      </c>
      <c r="H104" s="339">
        <v>6.3</v>
      </c>
      <c r="I104" s="338"/>
      <c r="J104" s="339">
        <v>1383.91</v>
      </c>
      <c r="K104" s="338">
        <v>624.5</v>
      </c>
      <c r="L104" s="339">
        <v>39454.85</v>
      </c>
      <c r="M104" s="3">
        <f t="shared" si="3"/>
        <v>446121.53999999992</v>
      </c>
      <c r="N104" s="14"/>
      <c r="O104" s="14"/>
      <c r="P104" s="14">
        <v>3197.95</v>
      </c>
      <c r="Q104" s="14"/>
      <c r="R104" s="14">
        <v>8674.9500000000007</v>
      </c>
      <c r="S104" s="2">
        <f t="shared" si="2"/>
        <v>457994.43999999994</v>
      </c>
      <c r="T104" s="22">
        <v>68</v>
      </c>
      <c r="U104" s="14">
        <v>232</v>
      </c>
      <c r="V104" s="14">
        <v>-7750.88</v>
      </c>
      <c r="W104" s="14"/>
      <c r="X104" s="14">
        <v>0</v>
      </c>
      <c r="Y104" s="42">
        <v>1</v>
      </c>
    </row>
    <row r="105" spans="1:25" x14ac:dyDescent="0.25">
      <c r="A105" s="12">
        <v>5561</v>
      </c>
      <c r="B105" s="13" t="s">
        <v>46</v>
      </c>
      <c r="C105" s="338">
        <v>5893090.0099999998</v>
      </c>
      <c r="D105" s="339">
        <v>941959.72</v>
      </c>
      <c r="E105" s="338">
        <v>0</v>
      </c>
      <c r="F105" s="338"/>
      <c r="G105" s="338">
        <v>461966.65</v>
      </c>
      <c r="H105" s="339">
        <v>8052.2</v>
      </c>
      <c r="I105" s="338">
        <v>1741.1</v>
      </c>
      <c r="J105" s="339">
        <v>152407.45000000001</v>
      </c>
      <c r="K105" s="338">
        <v>25527</v>
      </c>
      <c r="L105" s="339">
        <v>550047</v>
      </c>
      <c r="M105" s="3">
        <f t="shared" si="3"/>
        <v>8034791.1299999999</v>
      </c>
      <c r="N105" s="14">
        <v>366017.15</v>
      </c>
      <c r="O105" s="14">
        <v>188001.7</v>
      </c>
      <c r="P105" s="14">
        <v>229584.35</v>
      </c>
      <c r="Q105" s="14">
        <v>11090.68</v>
      </c>
      <c r="R105" s="14">
        <v>245076</v>
      </c>
      <c r="S105" s="2">
        <f t="shared" si="2"/>
        <v>9074561.0099999979</v>
      </c>
      <c r="T105" s="22">
        <v>69</v>
      </c>
      <c r="U105" s="14">
        <v>3313</v>
      </c>
      <c r="V105" s="14">
        <v>-63481.97</v>
      </c>
      <c r="W105" s="14">
        <v>-35407.050000000003</v>
      </c>
      <c r="X105" s="14">
        <v>-235.1</v>
      </c>
      <c r="Y105" s="42">
        <v>1</v>
      </c>
    </row>
    <row r="106" spans="1:25" x14ac:dyDescent="0.25">
      <c r="A106" s="12">
        <v>5562</v>
      </c>
      <c r="B106" s="13" t="s">
        <v>47</v>
      </c>
      <c r="C106" s="338">
        <v>177339.86</v>
      </c>
      <c r="D106" s="339">
        <v>42546.33</v>
      </c>
      <c r="E106" s="338">
        <v>0</v>
      </c>
      <c r="F106" s="338">
        <v>720</v>
      </c>
      <c r="G106" s="338">
        <v>2314.3000000000002</v>
      </c>
      <c r="H106" s="339">
        <v>119</v>
      </c>
      <c r="I106" s="338"/>
      <c r="J106" s="339">
        <v>5433.61</v>
      </c>
      <c r="K106" s="338">
        <v>1155.5</v>
      </c>
      <c r="L106" s="339">
        <v>34272.6</v>
      </c>
      <c r="M106" s="3">
        <f t="shared" si="3"/>
        <v>263901.19999999995</v>
      </c>
      <c r="N106" s="14"/>
      <c r="O106" s="14">
        <v>1214</v>
      </c>
      <c r="P106" s="14">
        <v>7315</v>
      </c>
      <c r="Q106" s="14"/>
      <c r="R106" s="14">
        <v>7519.9</v>
      </c>
      <c r="S106" s="2">
        <f t="shared" si="2"/>
        <v>279950.09999999998</v>
      </c>
      <c r="T106" s="22">
        <v>70</v>
      </c>
      <c r="U106" s="14">
        <v>123</v>
      </c>
      <c r="V106" s="14">
        <v>-1806.9</v>
      </c>
      <c r="W106" s="14"/>
      <c r="X106" s="14">
        <v>-3.38</v>
      </c>
      <c r="Y106" s="42">
        <v>1.2</v>
      </c>
    </row>
    <row r="107" spans="1:25" x14ac:dyDescent="0.25">
      <c r="A107" s="12">
        <v>5563</v>
      </c>
      <c r="B107" s="13" t="s">
        <v>290</v>
      </c>
      <c r="C107" s="338">
        <v>274935.42</v>
      </c>
      <c r="D107" s="339">
        <v>38035.42</v>
      </c>
      <c r="E107" s="338">
        <v>0</v>
      </c>
      <c r="F107" s="338">
        <v>540</v>
      </c>
      <c r="G107" s="338">
        <v>917.65</v>
      </c>
      <c r="H107" s="339">
        <v>3.3</v>
      </c>
      <c r="I107" s="338"/>
      <c r="J107" s="339">
        <v>1563.23</v>
      </c>
      <c r="K107" s="338"/>
      <c r="L107" s="339">
        <v>19669.25</v>
      </c>
      <c r="M107" s="3">
        <f t="shared" si="3"/>
        <v>335664.26999999996</v>
      </c>
      <c r="N107" s="14"/>
      <c r="O107" s="14"/>
      <c r="P107" s="14">
        <v>15528.95</v>
      </c>
      <c r="Q107" s="14"/>
      <c r="R107" s="14">
        <v>11302.8</v>
      </c>
      <c r="S107" s="2">
        <f t="shared" si="2"/>
        <v>362496.01999999996</v>
      </c>
      <c r="T107" s="22">
        <v>78.5</v>
      </c>
      <c r="U107" s="14">
        <v>162</v>
      </c>
      <c r="V107" s="14">
        <v>-63.53</v>
      </c>
      <c r="W107" s="14"/>
      <c r="X107" s="14">
        <v>0</v>
      </c>
      <c r="Y107" s="42">
        <v>1</v>
      </c>
    </row>
    <row r="108" spans="1:25" x14ac:dyDescent="0.25">
      <c r="A108" s="12">
        <v>5564</v>
      </c>
      <c r="B108" s="13" t="s">
        <v>291</v>
      </c>
      <c r="C108" s="338">
        <v>126866.32</v>
      </c>
      <c r="D108" s="339">
        <v>15023.85</v>
      </c>
      <c r="E108" s="338">
        <v>0</v>
      </c>
      <c r="F108" s="338"/>
      <c r="G108" s="338">
        <v>206.25</v>
      </c>
      <c r="H108" s="339">
        <v>11.65</v>
      </c>
      <c r="I108" s="338"/>
      <c r="J108" s="339">
        <v>2458.4</v>
      </c>
      <c r="K108" s="338"/>
      <c r="L108" s="339">
        <v>9813.35</v>
      </c>
      <c r="M108" s="3">
        <f t="shared" si="3"/>
        <v>154379.82</v>
      </c>
      <c r="N108" s="14"/>
      <c r="O108" s="14"/>
      <c r="P108" s="14">
        <v>18370</v>
      </c>
      <c r="Q108" s="14"/>
      <c r="R108" s="14">
        <v>11570.25</v>
      </c>
      <c r="S108" s="2">
        <f t="shared" si="2"/>
        <v>184320.07</v>
      </c>
      <c r="T108" s="22">
        <v>76</v>
      </c>
      <c r="U108" s="14">
        <v>101</v>
      </c>
      <c r="V108" s="14">
        <v>-44.56</v>
      </c>
      <c r="W108" s="14"/>
      <c r="X108" s="14">
        <v>0</v>
      </c>
      <c r="Y108" s="42">
        <v>0.8</v>
      </c>
    </row>
    <row r="109" spans="1:25" x14ac:dyDescent="0.25">
      <c r="A109" s="12">
        <v>5565</v>
      </c>
      <c r="B109" s="13" t="s">
        <v>292</v>
      </c>
      <c r="C109" s="338">
        <v>795302.65</v>
      </c>
      <c r="D109" s="339">
        <v>44341.77</v>
      </c>
      <c r="E109" s="338">
        <v>0</v>
      </c>
      <c r="F109" s="338"/>
      <c r="G109" s="338">
        <v>187226.85</v>
      </c>
      <c r="H109" s="339">
        <v>4064.35</v>
      </c>
      <c r="I109" s="338"/>
      <c r="J109" s="339">
        <v>5494.59</v>
      </c>
      <c r="K109" s="338">
        <v>21377.5</v>
      </c>
      <c r="L109" s="339">
        <v>86520.5</v>
      </c>
      <c r="M109" s="3">
        <f t="shared" si="3"/>
        <v>1144328.21</v>
      </c>
      <c r="N109" s="14">
        <v>25568.9</v>
      </c>
      <c r="O109" s="14"/>
      <c r="P109" s="14">
        <v>19691.849999999999</v>
      </c>
      <c r="Q109" s="14">
        <v>15624.37</v>
      </c>
      <c r="R109" s="14">
        <v>291.64999999999998</v>
      </c>
      <c r="S109" s="2">
        <f t="shared" si="2"/>
        <v>1205504.98</v>
      </c>
      <c r="T109" s="22">
        <v>65</v>
      </c>
      <c r="U109" s="14">
        <v>500</v>
      </c>
      <c r="V109" s="14">
        <v>-25110.28</v>
      </c>
      <c r="W109" s="14"/>
      <c r="X109" s="14">
        <v>-0.05</v>
      </c>
      <c r="Y109" s="42">
        <v>0.75</v>
      </c>
    </row>
    <row r="110" spans="1:25" x14ac:dyDescent="0.25">
      <c r="A110" s="12">
        <v>5566</v>
      </c>
      <c r="B110" s="13" t="s">
        <v>293</v>
      </c>
      <c r="C110" s="338">
        <v>544141.71</v>
      </c>
      <c r="D110" s="339">
        <v>59141.51</v>
      </c>
      <c r="E110" s="338">
        <v>0</v>
      </c>
      <c r="F110" s="338">
        <v>2580</v>
      </c>
      <c r="G110" s="338">
        <v>34646.550000000003</v>
      </c>
      <c r="H110" s="339">
        <v>1817.75</v>
      </c>
      <c r="I110" s="338"/>
      <c r="J110" s="339">
        <v>8776.07</v>
      </c>
      <c r="K110" s="338">
        <v>1907.5</v>
      </c>
      <c r="L110" s="339">
        <v>72747.95</v>
      </c>
      <c r="M110" s="3">
        <f t="shared" si="3"/>
        <v>725759.03999999992</v>
      </c>
      <c r="N110" s="14">
        <v>75885.149999999994</v>
      </c>
      <c r="O110" s="14">
        <v>1180</v>
      </c>
      <c r="P110" s="14">
        <v>29776.15</v>
      </c>
      <c r="Q110" s="14">
        <v>0</v>
      </c>
      <c r="R110" s="14">
        <v>19026.400000000001</v>
      </c>
      <c r="S110" s="2">
        <f t="shared" si="2"/>
        <v>851626.74</v>
      </c>
      <c r="T110" s="22">
        <v>81</v>
      </c>
      <c r="U110" s="14">
        <v>390</v>
      </c>
      <c r="V110" s="14">
        <v>-4496.8100000000004</v>
      </c>
      <c r="W110" s="14"/>
      <c r="X110" s="14">
        <v>0</v>
      </c>
      <c r="Y110" s="42">
        <v>1.5</v>
      </c>
    </row>
    <row r="111" spans="1:25" x14ac:dyDescent="0.25">
      <c r="A111" s="12">
        <v>5568</v>
      </c>
      <c r="B111" s="13" t="s">
        <v>124</v>
      </c>
      <c r="C111" s="338">
        <v>5231882.68</v>
      </c>
      <c r="D111" s="339">
        <v>666118.17000000004</v>
      </c>
      <c r="E111" s="338">
        <v>0</v>
      </c>
      <c r="F111" s="338"/>
      <c r="G111" s="338">
        <v>218795.85</v>
      </c>
      <c r="H111" s="339">
        <v>20663.55</v>
      </c>
      <c r="I111" s="338">
        <v>20500.55</v>
      </c>
      <c r="J111" s="339">
        <v>174469.09</v>
      </c>
      <c r="K111" s="338">
        <v>34090.5</v>
      </c>
      <c r="L111" s="339">
        <v>542672.25</v>
      </c>
      <c r="M111" s="3">
        <f t="shared" si="3"/>
        <v>6909192.6399999987</v>
      </c>
      <c r="N111" s="14">
        <v>1980595.05</v>
      </c>
      <c r="O111" s="14">
        <v>194599.3</v>
      </c>
      <c r="P111" s="14">
        <v>204762.55</v>
      </c>
      <c r="Q111" s="14">
        <v>35210.550000000003</v>
      </c>
      <c r="R111" s="14">
        <v>168712.85</v>
      </c>
      <c r="S111" s="2">
        <f t="shared" si="2"/>
        <v>9493072.9400000013</v>
      </c>
      <c r="T111" s="22">
        <v>70</v>
      </c>
      <c r="U111" s="14">
        <v>4851</v>
      </c>
      <c r="V111" s="14">
        <v>-206111.56</v>
      </c>
      <c r="W111" s="14"/>
      <c r="X111" s="14">
        <v>-2237.85</v>
      </c>
      <c r="Y111" s="42">
        <v>1</v>
      </c>
    </row>
    <row r="112" spans="1:25" x14ac:dyDescent="0.25">
      <c r="A112" s="12">
        <v>5571</v>
      </c>
      <c r="B112" s="13" t="s">
        <v>439</v>
      </c>
      <c r="C112" s="338">
        <v>1242106.52</v>
      </c>
      <c r="D112" s="339">
        <v>121591.88</v>
      </c>
      <c r="E112" s="338">
        <v>0</v>
      </c>
      <c r="F112" s="338"/>
      <c r="G112" s="338">
        <v>4793.45</v>
      </c>
      <c r="H112" s="339">
        <v>166</v>
      </c>
      <c r="I112" s="338"/>
      <c r="J112" s="339">
        <v>30121.83</v>
      </c>
      <c r="K112" s="338">
        <v>3834</v>
      </c>
      <c r="L112" s="339">
        <v>160758.70000000001</v>
      </c>
      <c r="M112" s="3">
        <f t="shared" si="3"/>
        <v>1563372.38</v>
      </c>
      <c r="N112" s="14">
        <v>60704.55</v>
      </c>
      <c r="O112" s="14">
        <v>92910.3</v>
      </c>
      <c r="P112" s="14">
        <v>87698.8</v>
      </c>
      <c r="Q112" s="14">
        <v>7593.38</v>
      </c>
      <c r="R112" s="14">
        <v>179292.55</v>
      </c>
      <c r="S112" s="2">
        <f t="shared" si="2"/>
        <v>1991571.96</v>
      </c>
      <c r="T112" s="22">
        <v>73</v>
      </c>
      <c r="U112" s="14">
        <v>791</v>
      </c>
      <c r="V112" s="14">
        <v>-13839.64</v>
      </c>
      <c r="W112" s="14"/>
      <c r="X112" s="14">
        <v>0</v>
      </c>
      <c r="Y112" s="42">
        <v>1.2</v>
      </c>
    </row>
    <row r="113" spans="1:25" x14ac:dyDescent="0.25">
      <c r="A113" s="12">
        <v>5581</v>
      </c>
      <c r="B113" s="13" t="s">
        <v>395</v>
      </c>
      <c r="C113" s="338">
        <v>10113747.57</v>
      </c>
      <c r="D113" s="339">
        <v>1614140.06</v>
      </c>
      <c r="E113" s="338">
        <v>0</v>
      </c>
      <c r="F113" s="338"/>
      <c r="G113" s="338">
        <v>231483.6</v>
      </c>
      <c r="H113" s="339">
        <v>5373.9</v>
      </c>
      <c r="I113" s="338">
        <v>108732.05</v>
      </c>
      <c r="J113" s="339">
        <v>122391.82</v>
      </c>
      <c r="K113" s="338">
        <v>25990.5</v>
      </c>
      <c r="L113" s="339">
        <v>1329110.5</v>
      </c>
      <c r="M113" s="3">
        <f t="shared" si="3"/>
        <v>13550970.000000002</v>
      </c>
      <c r="N113" s="14"/>
      <c r="O113" s="14">
        <v>48882.5</v>
      </c>
      <c r="P113" s="14">
        <v>358353.5</v>
      </c>
      <c r="Q113" s="14">
        <v>54867.66</v>
      </c>
      <c r="R113" s="14">
        <v>239311.6</v>
      </c>
      <c r="S113" s="2">
        <f t="shared" si="2"/>
        <v>14252385.260000002</v>
      </c>
      <c r="T113" s="22">
        <v>69.5</v>
      </c>
      <c r="U113" s="14">
        <v>3564</v>
      </c>
      <c r="V113" s="14">
        <v>-158806.78</v>
      </c>
      <c r="W113" s="14"/>
      <c r="X113" s="14">
        <v>-4511.16</v>
      </c>
      <c r="Y113" s="42">
        <v>1.5</v>
      </c>
    </row>
    <row r="114" spans="1:25" x14ac:dyDescent="0.25">
      <c r="A114" s="12">
        <v>5582</v>
      </c>
      <c r="B114" s="13" t="s">
        <v>396</v>
      </c>
      <c r="C114" s="338">
        <v>8894517.3300000001</v>
      </c>
      <c r="D114" s="339">
        <v>943786.42</v>
      </c>
      <c r="E114" s="338">
        <v>0</v>
      </c>
      <c r="F114" s="338"/>
      <c r="G114" s="338">
        <v>3875529.8</v>
      </c>
      <c r="H114" s="339">
        <v>408801.1</v>
      </c>
      <c r="I114" s="338">
        <v>31389.35</v>
      </c>
      <c r="J114" s="339">
        <v>313167.74</v>
      </c>
      <c r="K114" s="338">
        <v>60429.5</v>
      </c>
      <c r="L114" s="339">
        <v>826247.7</v>
      </c>
      <c r="M114" s="3">
        <f t="shared" si="3"/>
        <v>15353868.939999999</v>
      </c>
      <c r="N114" s="14">
        <v>594174.44999999995</v>
      </c>
      <c r="O114" s="14">
        <v>135075.1</v>
      </c>
      <c r="P114" s="14">
        <v>229217.15</v>
      </c>
      <c r="Q114" s="14">
        <v>-1252.8499999999999</v>
      </c>
      <c r="R114" s="14">
        <v>180234.7</v>
      </c>
      <c r="S114" s="2">
        <f t="shared" si="2"/>
        <v>16491317.489999998</v>
      </c>
      <c r="T114" s="22">
        <v>74.5</v>
      </c>
      <c r="U114" s="14">
        <v>4347</v>
      </c>
      <c r="V114" s="14">
        <v>-182778.36</v>
      </c>
      <c r="W114" s="14"/>
      <c r="X114" s="14">
        <v>-357.5</v>
      </c>
      <c r="Y114" s="42">
        <v>1</v>
      </c>
    </row>
    <row r="115" spans="1:25" x14ac:dyDescent="0.25">
      <c r="A115" s="12">
        <v>5583</v>
      </c>
      <c r="B115" s="13" t="s">
        <v>397</v>
      </c>
      <c r="C115" s="338">
        <v>11024725.52</v>
      </c>
      <c r="D115" s="339">
        <v>1429256.51</v>
      </c>
      <c r="E115" s="338">
        <v>0</v>
      </c>
      <c r="F115" s="338"/>
      <c r="G115" s="338">
        <v>4462318.4000000004</v>
      </c>
      <c r="H115" s="339">
        <v>268463.65000000002</v>
      </c>
      <c r="I115" s="338"/>
      <c r="J115" s="339">
        <v>810423.92</v>
      </c>
      <c r="K115" s="338">
        <v>330036.5</v>
      </c>
      <c r="L115" s="339">
        <v>2140589.4</v>
      </c>
      <c r="M115" s="3">
        <f t="shared" si="3"/>
        <v>20465813.899999999</v>
      </c>
      <c r="N115" s="14">
        <v>1524139.45</v>
      </c>
      <c r="O115" s="14">
        <v>119082</v>
      </c>
      <c r="P115" s="14">
        <v>325479</v>
      </c>
      <c r="Q115" s="14">
        <v>119685.05</v>
      </c>
      <c r="R115" s="14">
        <v>322741.15000000002</v>
      </c>
      <c r="S115" s="2">
        <f t="shared" si="2"/>
        <v>22876940.549999997</v>
      </c>
      <c r="T115" s="22">
        <v>65</v>
      </c>
      <c r="U115" s="14">
        <v>7636</v>
      </c>
      <c r="V115" s="14">
        <v>-321213.89</v>
      </c>
      <c r="W115" s="14"/>
      <c r="X115" s="14">
        <v>-1105.7</v>
      </c>
      <c r="Y115" s="42">
        <v>1</v>
      </c>
    </row>
    <row r="116" spans="1:25" x14ac:dyDescent="0.25">
      <c r="A116" s="12">
        <v>5584</v>
      </c>
      <c r="B116" s="13" t="s">
        <v>398</v>
      </c>
      <c r="C116" s="338">
        <v>21003743.48</v>
      </c>
      <c r="D116" s="339">
        <v>3566385.54</v>
      </c>
      <c r="E116" s="338">
        <v>0</v>
      </c>
      <c r="F116" s="338"/>
      <c r="G116" s="338">
        <v>1384147.8</v>
      </c>
      <c r="H116" s="339">
        <v>817186.05</v>
      </c>
      <c r="I116" s="338">
        <v>452949.9</v>
      </c>
      <c r="J116" s="339">
        <v>738290.91</v>
      </c>
      <c r="K116" s="338">
        <v>187148.5</v>
      </c>
      <c r="L116" s="339">
        <v>2008204.7</v>
      </c>
      <c r="M116" s="3">
        <f t="shared" si="3"/>
        <v>30158056.879999999</v>
      </c>
      <c r="N116" s="14">
        <v>192165.8</v>
      </c>
      <c r="O116" s="14">
        <v>2477979.5499999998</v>
      </c>
      <c r="P116" s="14">
        <v>1068041.8999999999</v>
      </c>
      <c r="Q116" s="14">
        <v>102824.18</v>
      </c>
      <c r="R116" s="14">
        <v>865144.2</v>
      </c>
      <c r="S116" s="2">
        <f t="shared" si="2"/>
        <v>34864212.510000005</v>
      </c>
      <c r="T116" s="22">
        <v>66</v>
      </c>
      <c r="U116" s="14">
        <v>9297</v>
      </c>
      <c r="V116" s="14">
        <v>-173912.38</v>
      </c>
      <c r="W116" s="14"/>
      <c r="X116" s="14">
        <v>-11263.02</v>
      </c>
      <c r="Y116" s="42">
        <v>1</v>
      </c>
    </row>
    <row r="117" spans="1:25" x14ac:dyDescent="0.25">
      <c r="A117" s="12">
        <v>5585</v>
      </c>
      <c r="B117" s="13" t="s">
        <v>399</v>
      </c>
      <c r="C117" s="338">
        <v>6083707.6200000001</v>
      </c>
      <c r="D117" s="339">
        <v>3795828.97</v>
      </c>
      <c r="E117" s="338">
        <v>0</v>
      </c>
      <c r="F117" s="338"/>
      <c r="G117" s="338">
        <v>-37735.449999999997</v>
      </c>
      <c r="H117" s="339">
        <v>953.35</v>
      </c>
      <c r="I117" s="338">
        <v>295190.77</v>
      </c>
      <c r="J117" s="339">
        <v>68448.28</v>
      </c>
      <c r="K117" s="338">
        <v>7547.5</v>
      </c>
      <c r="L117" s="342">
        <v>480750</v>
      </c>
      <c r="M117" s="3">
        <f t="shared" si="3"/>
        <v>10694691.039999999</v>
      </c>
      <c r="N117" s="14">
        <v>2901.35</v>
      </c>
      <c r="O117" s="14">
        <v>352886.1</v>
      </c>
      <c r="P117" s="14">
        <v>369119.4</v>
      </c>
      <c r="Q117" s="14">
        <v>7968.23</v>
      </c>
      <c r="R117" s="14">
        <v>503149.05</v>
      </c>
      <c r="S117" s="2">
        <f t="shared" si="2"/>
        <v>11930715.17</v>
      </c>
      <c r="T117" s="22">
        <v>53</v>
      </c>
      <c r="U117" s="14">
        <v>1448</v>
      </c>
      <c r="V117" s="14">
        <v>-13169.96</v>
      </c>
      <c r="W117" s="14"/>
      <c r="X117" s="14">
        <v>-7542.65</v>
      </c>
      <c r="Y117" s="42">
        <v>1</v>
      </c>
    </row>
    <row r="118" spans="1:25" x14ac:dyDescent="0.25">
      <c r="A118" s="12">
        <v>5586</v>
      </c>
      <c r="B118" s="13" t="s">
        <v>125</v>
      </c>
      <c r="C118" s="338">
        <v>285089584.47000003</v>
      </c>
      <c r="D118" s="339">
        <v>36770174.090000004</v>
      </c>
      <c r="E118" s="338">
        <v>0</v>
      </c>
      <c r="F118" s="338"/>
      <c r="G118" s="338">
        <v>95388881.200000003</v>
      </c>
      <c r="H118" s="339">
        <v>7505598.0499999998</v>
      </c>
      <c r="I118" s="338">
        <v>4712879.03</v>
      </c>
      <c r="J118" s="339">
        <v>27949815.609999999</v>
      </c>
      <c r="K118" s="338">
        <v>4994475.5</v>
      </c>
      <c r="L118" s="339">
        <v>34774069.850000001</v>
      </c>
      <c r="M118" s="3">
        <f t="shared" si="3"/>
        <v>497185477.80000007</v>
      </c>
      <c r="N118" s="14">
        <v>10836314.949999999</v>
      </c>
      <c r="O118" s="14">
        <v>11758751.1</v>
      </c>
      <c r="P118" s="14">
        <v>7847212.2999999998</v>
      </c>
      <c r="Q118" s="14">
        <v>2110351.9700000002</v>
      </c>
      <c r="R118" s="14">
        <v>5276908.05</v>
      </c>
      <c r="S118" s="2">
        <f t="shared" si="2"/>
        <v>535015016.17000014</v>
      </c>
      <c r="T118" s="22">
        <v>79</v>
      </c>
      <c r="U118" s="14">
        <v>137053</v>
      </c>
      <c r="V118" s="14">
        <v>-7526201.9299999997</v>
      </c>
      <c r="W118" s="14"/>
      <c r="X118" s="14">
        <v>-219351.42</v>
      </c>
      <c r="Y118" s="42">
        <v>1.5</v>
      </c>
    </row>
    <row r="119" spans="1:25" x14ac:dyDescent="0.25">
      <c r="A119" s="12">
        <v>5587</v>
      </c>
      <c r="B119" s="13" t="s">
        <v>126</v>
      </c>
      <c r="C119" s="338">
        <v>21245673.300000001</v>
      </c>
      <c r="D119" s="339">
        <v>3108304.33</v>
      </c>
      <c r="E119" s="338">
        <v>0</v>
      </c>
      <c r="F119" s="338"/>
      <c r="G119" s="338">
        <v>2891698.75</v>
      </c>
      <c r="H119" s="339">
        <v>535367.4</v>
      </c>
      <c r="I119" s="338">
        <v>489915.45</v>
      </c>
      <c r="J119" s="339">
        <v>777442.22</v>
      </c>
      <c r="K119" s="338">
        <v>182070.5</v>
      </c>
      <c r="L119" s="339">
        <v>2391190.0499999998</v>
      </c>
      <c r="M119" s="3">
        <f t="shared" si="3"/>
        <v>31621662</v>
      </c>
      <c r="N119" s="14">
        <v>462043.85</v>
      </c>
      <c r="O119" s="14">
        <v>471083</v>
      </c>
      <c r="P119" s="14">
        <v>1089369.95</v>
      </c>
      <c r="Q119" s="14">
        <v>72598.78</v>
      </c>
      <c r="R119" s="14">
        <v>362440.8</v>
      </c>
      <c r="S119" s="2">
        <f t="shared" si="2"/>
        <v>34079198.380000003</v>
      </c>
      <c r="T119" s="22">
        <v>75</v>
      </c>
      <c r="U119" s="14">
        <v>7881</v>
      </c>
      <c r="V119" s="14">
        <v>-283461.99</v>
      </c>
      <c r="W119" s="14"/>
      <c r="X119" s="14">
        <v>-11481.91</v>
      </c>
      <c r="Y119" s="42">
        <v>1.2</v>
      </c>
    </row>
    <row r="120" spans="1:25" x14ac:dyDescent="0.25">
      <c r="A120" s="12">
        <v>5588</v>
      </c>
      <c r="B120" s="13" t="s">
        <v>127</v>
      </c>
      <c r="C120" s="338">
        <v>5395474.71</v>
      </c>
      <c r="D120" s="339">
        <v>1779506.57</v>
      </c>
      <c r="E120" s="338">
        <v>0</v>
      </c>
      <c r="F120" s="338"/>
      <c r="G120" s="338">
        <v>1039184.6</v>
      </c>
      <c r="H120" s="339">
        <v>221847.4</v>
      </c>
      <c r="I120" s="338">
        <v>558615.4</v>
      </c>
      <c r="J120" s="339">
        <v>317263.40000000002</v>
      </c>
      <c r="K120" s="338">
        <v>37323.5</v>
      </c>
      <c r="L120" s="339">
        <v>387675.6</v>
      </c>
      <c r="M120" s="3">
        <f t="shared" si="3"/>
        <v>9736891.1799999997</v>
      </c>
      <c r="N120" s="14">
        <v>20109.5</v>
      </c>
      <c r="O120" s="14">
        <v>379750</v>
      </c>
      <c r="P120" s="14">
        <v>77181.5</v>
      </c>
      <c r="Q120" s="14">
        <v>9168.6200000000008</v>
      </c>
      <c r="R120" s="14">
        <v>91613.45</v>
      </c>
      <c r="S120" s="2">
        <f t="shared" si="2"/>
        <v>10314714.249999998</v>
      </c>
      <c r="T120" s="22">
        <v>61.5</v>
      </c>
      <c r="U120" s="14">
        <v>1473</v>
      </c>
      <c r="V120" s="14">
        <v>-49562.78</v>
      </c>
      <c r="W120" s="14"/>
      <c r="X120" s="14">
        <v>-22608.21</v>
      </c>
      <c r="Y120" s="42">
        <v>0.7</v>
      </c>
    </row>
    <row r="121" spans="1:25" x14ac:dyDescent="0.25">
      <c r="A121" s="12">
        <v>5589</v>
      </c>
      <c r="B121" s="13" t="s">
        <v>128</v>
      </c>
      <c r="C121" s="338">
        <v>17599214.210000001</v>
      </c>
      <c r="D121" s="339">
        <v>1817721.94</v>
      </c>
      <c r="E121" s="338">
        <v>0</v>
      </c>
      <c r="F121" s="338"/>
      <c r="G121" s="338">
        <v>8844078.25</v>
      </c>
      <c r="H121" s="339">
        <v>357710.4</v>
      </c>
      <c r="I121" s="338">
        <v>52862.85</v>
      </c>
      <c r="J121" s="339">
        <v>1751051.54</v>
      </c>
      <c r="K121" s="338">
        <v>349960.5</v>
      </c>
      <c r="L121" s="339">
        <v>1897495.35</v>
      </c>
      <c r="M121" s="3">
        <f t="shared" si="3"/>
        <v>32670095.040000003</v>
      </c>
      <c r="N121" s="14">
        <v>1188811.95</v>
      </c>
      <c r="O121" s="14">
        <v>643056.19999999995</v>
      </c>
      <c r="P121" s="14">
        <v>997131.55</v>
      </c>
      <c r="Q121" s="14">
        <v>94233.13</v>
      </c>
      <c r="R121" s="14">
        <v>822062.6</v>
      </c>
      <c r="S121" s="2">
        <f t="shared" si="2"/>
        <v>36415390.470000006</v>
      </c>
      <c r="T121" s="22">
        <v>73.5</v>
      </c>
      <c r="U121" s="14">
        <v>11871</v>
      </c>
      <c r="V121" s="14">
        <v>-587908.07999999996</v>
      </c>
      <c r="W121" s="14"/>
      <c r="X121" s="14">
        <v>-14714.01</v>
      </c>
      <c r="Y121" s="42">
        <v>1</v>
      </c>
    </row>
    <row r="122" spans="1:25" x14ac:dyDescent="0.25">
      <c r="A122" s="12">
        <v>5590</v>
      </c>
      <c r="B122" s="13" t="s">
        <v>129</v>
      </c>
      <c r="C122" s="338">
        <v>54343375.619999997</v>
      </c>
      <c r="D122" s="339">
        <v>16237303.130000001</v>
      </c>
      <c r="E122" s="338">
        <v>0</v>
      </c>
      <c r="F122" s="338"/>
      <c r="G122" s="338">
        <v>6551378.9000000004</v>
      </c>
      <c r="H122" s="339">
        <v>327855.25</v>
      </c>
      <c r="I122" s="338">
        <v>3385875.18</v>
      </c>
      <c r="J122" s="339">
        <v>1974307.36</v>
      </c>
      <c r="K122" s="338">
        <v>390224</v>
      </c>
      <c r="L122" s="339">
        <v>3144461.1</v>
      </c>
      <c r="M122" s="3">
        <f t="shared" si="3"/>
        <v>86354780.540000007</v>
      </c>
      <c r="N122" s="14">
        <v>130183.05</v>
      </c>
      <c r="O122" s="14">
        <v>3392751.3</v>
      </c>
      <c r="P122" s="14">
        <v>2938483.9</v>
      </c>
      <c r="Q122" s="14">
        <v>61780.91</v>
      </c>
      <c r="R122" s="14">
        <v>1489359.25</v>
      </c>
      <c r="S122" s="2">
        <f t="shared" si="2"/>
        <v>94367338.950000003</v>
      </c>
      <c r="T122" s="22">
        <v>61</v>
      </c>
      <c r="U122" s="14">
        <v>17979</v>
      </c>
      <c r="V122" s="14">
        <v>-586394.19999999995</v>
      </c>
      <c r="W122" s="14"/>
      <c r="X122" s="14">
        <v>-417602.01</v>
      </c>
      <c r="Y122" s="42">
        <v>0.7</v>
      </c>
    </row>
    <row r="123" spans="1:25" x14ac:dyDescent="0.25">
      <c r="A123" s="12">
        <v>5591</v>
      </c>
      <c r="B123" s="13" t="s">
        <v>402</v>
      </c>
      <c r="C123" s="338">
        <v>28113375.739999998</v>
      </c>
      <c r="D123" s="339">
        <v>2748105.13</v>
      </c>
      <c r="E123" s="338">
        <v>0</v>
      </c>
      <c r="F123" s="338"/>
      <c r="G123" s="338">
        <v>4433183.8</v>
      </c>
      <c r="H123" s="339">
        <v>664486.9</v>
      </c>
      <c r="I123" s="338"/>
      <c r="J123" s="339">
        <v>2727847.1</v>
      </c>
      <c r="K123" s="338">
        <v>508166</v>
      </c>
      <c r="L123" s="341">
        <v>4570958.1500000004</v>
      </c>
      <c r="M123" s="3">
        <f t="shared" si="3"/>
        <v>43766122.819999993</v>
      </c>
      <c r="N123" s="14">
        <v>2005010.75</v>
      </c>
      <c r="O123" s="14">
        <v>632766.19999999995</v>
      </c>
      <c r="P123" s="14">
        <v>1307089.7</v>
      </c>
      <c r="Q123" s="14">
        <v>379904.24</v>
      </c>
      <c r="R123" s="14">
        <v>237971.15</v>
      </c>
      <c r="S123" s="2">
        <f t="shared" si="2"/>
        <v>48328864.859999999</v>
      </c>
      <c r="T123" s="22">
        <v>78.5</v>
      </c>
      <c r="U123" s="14">
        <v>20323</v>
      </c>
      <c r="V123" s="14">
        <v>-1258865.69</v>
      </c>
      <c r="W123" s="14"/>
      <c r="X123" s="14">
        <v>-3875.18</v>
      </c>
      <c r="Y123" s="42">
        <v>1.4</v>
      </c>
    </row>
    <row r="124" spans="1:25" x14ac:dyDescent="0.25">
      <c r="A124" s="12">
        <v>5592</v>
      </c>
      <c r="B124" s="13" t="s">
        <v>221</v>
      </c>
      <c r="C124" s="338">
        <v>5593234.5700000003</v>
      </c>
      <c r="D124" s="339">
        <v>647755.86</v>
      </c>
      <c r="E124" s="338">
        <v>0</v>
      </c>
      <c r="F124" s="338"/>
      <c r="G124" s="338">
        <v>838035.4</v>
      </c>
      <c r="H124" s="339">
        <v>13806.2</v>
      </c>
      <c r="I124" s="338">
        <v>55126.75</v>
      </c>
      <c r="J124" s="339">
        <v>221770.81</v>
      </c>
      <c r="K124" s="338">
        <v>155449</v>
      </c>
      <c r="L124" s="339">
        <v>734574.75</v>
      </c>
      <c r="M124" s="3">
        <f t="shared" si="3"/>
        <v>8259753.3400000008</v>
      </c>
      <c r="N124" s="14">
        <v>200675.95</v>
      </c>
      <c r="O124" s="14">
        <v>115281.60000000001</v>
      </c>
      <c r="P124" s="14">
        <v>77776.7</v>
      </c>
      <c r="Q124" s="14">
        <v>7131.66</v>
      </c>
      <c r="R124" s="14">
        <v>79314.55</v>
      </c>
      <c r="S124" s="2">
        <f t="shared" si="2"/>
        <v>8739933.8000000007</v>
      </c>
      <c r="T124" s="22">
        <v>70</v>
      </c>
      <c r="U124" s="14">
        <v>3352</v>
      </c>
      <c r="V124" s="14">
        <v>-107589.08</v>
      </c>
      <c r="W124" s="14"/>
      <c r="X124" s="14">
        <v>-379.9</v>
      </c>
      <c r="Y124" s="42">
        <v>1</v>
      </c>
    </row>
    <row r="125" spans="1:25" x14ac:dyDescent="0.25">
      <c r="A125" s="12">
        <v>5601</v>
      </c>
      <c r="B125" s="13" t="s">
        <v>304</v>
      </c>
      <c r="C125" s="338">
        <v>4648606.43</v>
      </c>
      <c r="D125" s="339">
        <v>957650.45</v>
      </c>
      <c r="E125" s="338">
        <v>0</v>
      </c>
      <c r="F125" s="338"/>
      <c r="G125" s="338">
        <v>109309.95</v>
      </c>
      <c r="H125" s="339">
        <v>6889</v>
      </c>
      <c r="I125" s="338">
        <v>58811.4</v>
      </c>
      <c r="J125" s="339">
        <v>201028.69</v>
      </c>
      <c r="K125" s="338">
        <v>17718</v>
      </c>
      <c r="L125" s="339">
        <v>406935.9</v>
      </c>
      <c r="M125" s="3">
        <f t="shared" si="3"/>
        <v>6406949.8200000012</v>
      </c>
      <c r="N125" s="14">
        <v>49184.1</v>
      </c>
      <c r="O125" s="14">
        <v>66138.2</v>
      </c>
      <c r="P125" s="14">
        <v>258854.85</v>
      </c>
      <c r="Q125" s="14">
        <v>15387.17</v>
      </c>
      <c r="R125" s="14">
        <v>200664.1</v>
      </c>
      <c r="S125" s="2">
        <f t="shared" si="2"/>
        <v>6997178.2400000002</v>
      </c>
      <c r="T125" s="22">
        <v>64</v>
      </c>
      <c r="U125" s="14">
        <v>2235</v>
      </c>
      <c r="V125" s="14">
        <v>-37454.730000000003</v>
      </c>
      <c r="W125" s="14"/>
      <c r="X125" s="14">
        <v>-1128.02</v>
      </c>
      <c r="Y125" s="42">
        <v>1</v>
      </c>
    </row>
    <row r="126" spans="1:25" x14ac:dyDescent="0.25">
      <c r="A126" s="12">
        <v>5604</v>
      </c>
      <c r="B126" s="13" t="s">
        <v>148</v>
      </c>
      <c r="C126" s="338">
        <v>3444673.45</v>
      </c>
      <c r="D126" s="339">
        <v>445047.56</v>
      </c>
      <c r="E126" s="338">
        <v>0</v>
      </c>
      <c r="F126" s="338"/>
      <c r="G126" s="338">
        <v>458559.9</v>
      </c>
      <c r="H126" s="339">
        <v>2456.9499999999998</v>
      </c>
      <c r="I126" s="338">
        <v>16687.75</v>
      </c>
      <c r="J126" s="339">
        <v>133055.51999999999</v>
      </c>
      <c r="K126" s="338">
        <v>21429</v>
      </c>
      <c r="L126" s="339">
        <v>346655.95</v>
      </c>
      <c r="M126" s="3">
        <f t="shared" si="3"/>
        <v>4868566.08</v>
      </c>
      <c r="N126" s="14">
        <v>17419.25</v>
      </c>
      <c r="O126" s="14">
        <v>28.4</v>
      </c>
      <c r="P126" s="14">
        <v>162588.45000000001</v>
      </c>
      <c r="Q126" s="14">
        <v>51855.24</v>
      </c>
      <c r="R126" s="14">
        <v>127580.6</v>
      </c>
      <c r="S126" s="2">
        <f t="shared" si="2"/>
        <v>5228038.0200000005</v>
      </c>
      <c r="T126" s="22">
        <v>68</v>
      </c>
      <c r="U126" s="14">
        <v>2066</v>
      </c>
      <c r="V126" s="14">
        <v>-75956.44</v>
      </c>
      <c r="W126" s="14"/>
      <c r="X126" s="14">
        <v>-121.26</v>
      </c>
      <c r="Y126" s="42">
        <v>1</v>
      </c>
    </row>
    <row r="127" spans="1:25" x14ac:dyDescent="0.25">
      <c r="A127" s="12">
        <v>5606</v>
      </c>
      <c r="B127" s="13" t="s">
        <v>149</v>
      </c>
      <c r="C127" s="338">
        <v>30802948.120000001</v>
      </c>
      <c r="D127" s="339">
        <v>6556985.4000000004</v>
      </c>
      <c r="E127" s="338">
        <v>0</v>
      </c>
      <c r="F127" s="338"/>
      <c r="G127" s="338">
        <v>646461.4</v>
      </c>
      <c r="H127" s="339">
        <v>59084.45</v>
      </c>
      <c r="I127" s="338">
        <v>1371555.22</v>
      </c>
      <c r="J127" s="339">
        <v>635559.05000000005</v>
      </c>
      <c r="K127" s="338">
        <v>133780.5</v>
      </c>
      <c r="L127" s="339">
        <v>1914574.7</v>
      </c>
      <c r="M127" s="3">
        <f t="shared" si="3"/>
        <v>42120948.840000004</v>
      </c>
      <c r="N127" s="14">
        <v>101231.4</v>
      </c>
      <c r="O127" s="14">
        <v>2572560.2000000002</v>
      </c>
      <c r="P127" s="14">
        <v>2027760.6</v>
      </c>
      <c r="Q127" s="14">
        <v>146531.26999999999</v>
      </c>
      <c r="R127" s="14">
        <v>1958080.9</v>
      </c>
      <c r="S127" s="2">
        <f t="shared" si="2"/>
        <v>48927113.210000008</v>
      </c>
      <c r="T127" s="22">
        <v>55.5</v>
      </c>
      <c r="U127" s="14">
        <v>9888</v>
      </c>
      <c r="V127" s="14">
        <v>-273991.13</v>
      </c>
      <c r="W127" s="14"/>
      <c r="X127" s="14">
        <v>-43036.04</v>
      </c>
      <c r="Y127" s="42">
        <v>0.7</v>
      </c>
    </row>
    <row r="128" spans="1:25" x14ac:dyDescent="0.25">
      <c r="A128" s="12">
        <v>5607</v>
      </c>
      <c r="B128" s="13" t="s">
        <v>306</v>
      </c>
      <c r="C128" s="338">
        <v>4571393.9000000004</v>
      </c>
      <c r="D128" s="339">
        <v>707645.18</v>
      </c>
      <c r="E128" s="338">
        <v>0</v>
      </c>
      <c r="F128" s="338"/>
      <c r="G128" s="338">
        <v>716587.6</v>
      </c>
      <c r="H128" s="339">
        <v>42299.3</v>
      </c>
      <c r="I128" s="338">
        <v>15857.65</v>
      </c>
      <c r="J128" s="339">
        <v>200793.9</v>
      </c>
      <c r="K128" s="338">
        <v>40880</v>
      </c>
      <c r="L128" s="339">
        <v>648010.85</v>
      </c>
      <c r="M128" s="3">
        <f t="shared" si="3"/>
        <v>6943468.3799999999</v>
      </c>
      <c r="N128" s="14">
        <v>153618.65</v>
      </c>
      <c r="O128" s="14">
        <v>431742.6</v>
      </c>
      <c r="P128" s="14">
        <v>222072.9</v>
      </c>
      <c r="Q128" s="14">
        <v>48451.040000000001</v>
      </c>
      <c r="R128" s="14">
        <v>113316.85</v>
      </c>
      <c r="S128" s="2">
        <f t="shared" si="2"/>
        <v>7912670.4199999999</v>
      </c>
      <c r="T128" s="22">
        <v>70</v>
      </c>
      <c r="U128" s="14">
        <v>2874</v>
      </c>
      <c r="V128" s="14">
        <v>-104323.36</v>
      </c>
      <c r="W128" s="14"/>
      <c r="X128" s="14">
        <v>-2745.46</v>
      </c>
      <c r="Y128" s="42">
        <v>1.1499999999999999</v>
      </c>
    </row>
    <row r="129" spans="1:25" x14ac:dyDescent="0.25">
      <c r="A129" s="12">
        <v>5609</v>
      </c>
      <c r="B129" s="13" t="s">
        <v>133</v>
      </c>
      <c r="C129" s="338">
        <v>855603.75</v>
      </c>
      <c r="D129" s="339">
        <v>137338</v>
      </c>
      <c r="E129" s="338">
        <v>0</v>
      </c>
      <c r="F129" s="338"/>
      <c r="G129" s="338">
        <v>7432.35</v>
      </c>
      <c r="H129" s="339">
        <v>345.55</v>
      </c>
      <c r="I129" s="338"/>
      <c r="J129" s="339">
        <v>32892.160000000003</v>
      </c>
      <c r="K129" s="338">
        <v>1246.5</v>
      </c>
      <c r="L129" s="339">
        <v>48266.6</v>
      </c>
      <c r="M129" s="3">
        <f t="shared" si="3"/>
        <v>1083124.9100000001</v>
      </c>
      <c r="N129" s="14"/>
      <c r="O129" s="14">
        <f>325000-300000</f>
        <v>25000</v>
      </c>
      <c r="P129" s="14">
        <v>17291.95</v>
      </c>
      <c r="Q129" s="14"/>
      <c r="R129" s="14">
        <v>33118.6</v>
      </c>
      <c r="S129" s="2">
        <f t="shared" si="2"/>
        <v>1158535.4600000002</v>
      </c>
      <c r="T129" s="22">
        <v>63.5</v>
      </c>
      <c r="U129" s="14">
        <v>357</v>
      </c>
      <c r="V129" s="14">
        <v>-10540.78</v>
      </c>
      <c r="W129" s="14"/>
      <c r="X129" s="14">
        <v>-138.24</v>
      </c>
      <c r="Y129" s="42">
        <v>1</v>
      </c>
    </row>
    <row r="130" spans="1:25" x14ac:dyDescent="0.25">
      <c r="A130" s="12">
        <v>5610</v>
      </c>
      <c r="B130" s="13" t="s">
        <v>134</v>
      </c>
      <c r="C130" s="338">
        <v>883466.65</v>
      </c>
      <c r="D130" s="339">
        <v>110081.21</v>
      </c>
      <c r="E130" s="338">
        <v>0</v>
      </c>
      <c r="F130" s="338"/>
      <c r="G130" s="338">
        <v>8837.65</v>
      </c>
      <c r="H130" s="339">
        <v>4116.8</v>
      </c>
      <c r="I130" s="338">
        <v>201987.95</v>
      </c>
      <c r="J130" s="339">
        <v>23299.56</v>
      </c>
      <c r="K130" s="338">
        <v>6587.5</v>
      </c>
      <c r="L130" s="339">
        <v>77885.05</v>
      </c>
      <c r="M130" s="3">
        <f t="shared" si="3"/>
        <v>1316262.3700000001</v>
      </c>
      <c r="N130" s="14"/>
      <c r="O130" s="14">
        <v>1859.9</v>
      </c>
      <c r="P130" s="14">
        <v>98614.6</v>
      </c>
      <c r="Q130" s="14">
        <v>25045.58</v>
      </c>
      <c r="R130" s="14">
        <v>44920</v>
      </c>
      <c r="S130" s="2">
        <f t="shared" si="2"/>
        <v>1486702.4500000002</v>
      </c>
      <c r="T130" s="22">
        <v>67</v>
      </c>
      <c r="U130" s="14">
        <v>398</v>
      </c>
      <c r="V130" s="14">
        <v>-741.83</v>
      </c>
      <c r="W130" s="14"/>
      <c r="X130" s="14">
        <v>-49.27</v>
      </c>
      <c r="Y130" s="42">
        <v>1</v>
      </c>
    </row>
    <row r="131" spans="1:25" x14ac:dyDescent="0.25">
      <c r="A131" s="12">
        <v>5611</v>
      </c>
      <c r="B131" s="13" t="s">
        <v>303</v>
      </c>
      <c r="C131" s="338">
        <v>6153749.8499999996</v>
      </c>
      <c r="D131" s="339">
        <v>1112504.8</v>
      </c>
      <c r="E131" s="338">
        <v>0</v>
      </c>
      <c r="F131" s="338"/>
      <c r="G131" s="338">
        <v>323166.40000000002</v>
      </c>
      <c r="H131" s="339">
        <v>8246.7000000000007</v>
      </c>
      <c r="I131" s="338">
        <v>54800.1</v>
      </c>
      <c r="J131" s="339">
        <v>205344.15</v>
      </c>
      <c r="K131" s="338">
        <v>16691</v>
      </c>
      <c r="L131" s="339">
        <v>735963.5</v>
      </c>
      <c r="M131" s="3">
        <f t="shared" si="3"/>
        <v>8610466.5</v>
      </c>
      <c r="N131" s="14">
        <v>135100.65</v>
      </c>
      <c r="O131" s="14">
        <v>75121.8</v>
      </c>
      <c r="P131" s="14">
        <v>283191.15000000002</v>
      </c>
      <c r="Q131" s="14">
        <v>306319.39</v>
      </c>
      <c r="R131" s="14">
        <v>152180.4</v>
      </c>
      <c r="S131" s="2">
        <f t="shared" si="2"/>
        <v>9562379.8900000025</v>
      </c>
      <c r="T131" s="22">
        <v>69</v>
      </c>
      <c r="U131" s="14">
        <v>3276</v>
      </c>
      <c r="V131" s="14">
        <v>-821039.16</v>
      </c>
      <c r="W131" s="14"/>
      <c r="X131" s="14">
        <v>-1003.81</v>
      </c>
      <c r="Y131" s="42">
        <v>1.2</v>
      </c>
    </row>
    <row r="132" spans="1:25" x14ac:dyDescent="0.25">
      <c r="A132" s="12">
        <v>5613</v>
      </c>
      <c r="B132" s="13" t="s">
        <v>438</v>
      </c>
      <c r="C132" s="338">
        <v>13632033.65</v>
      </c>
      <c r="D132" s="339">
        <v>2916746.14</v>
      </c>
      <c r="E132" s="338">
        <v>0</v>
      </c>
      <c r="F132" s="338"/>
      <c r="G132" s="338">
        <v>206345.2</v>
      </c>
      <c r="H132" s="339">
        <v>86823.4</v>
      </c>
      <c r="I132" s="338">
        <v>186407.63</v>
      </c>
      <c r="J132" s="339">
        <v>280727.01</v>
      </c>
      <c r="K132" s="338">
        <v>10445.5</v>
      </c>
      <c r="L132" s="339">
        <v>1881970.65</v>
      </c>
      <c r="M132" s="3">
        <f t="shared" si="3"/>
        <v>19201499.18</v>
      </c>
      <c r="N132" s="14">
        <v>29017</v>
      </c>
      <c r="O132" s="14">
        <v>272737.8</v>
      </c>
      <c r="P132" s="14">
        <v>741613.55</v>
      </c>
      <c r="Q132" s="14">
        <v>29553.360000000001</v>
      </c>
      <c r="R132" s="14">
        <v>828928.2</v>
      </c>
      <c r="S132" s="2">
        <f t="shared" si="2"/>
        <v>21103349.09</v>
      </c>
      <c r="T132" s="22">
        <v>61</v>
      </c>
      <c r="U132" s="14">
        <v>5296</v>
      </c>
      <c r="V132" s="14">
        <v>-183802.38</v>
      </c>
      <c r="W132" s="14"/>
      <c r="X132" s="14">
        <v>-5726.49</v>
      </c>
      <c r="Y132" s="42">
        <v>1.5</v>
      </c>
    </row>
    <row r="133" spans="1:25" x14ac:dyDescent="0.25">
      <c r="A133" s="12">
        <v>5621</v>
      </c>
      <c r="B133" s="13" t="s">
        <v>411</v>
      </c>
      <c r="C133" s="338">
        <v>1058708.0900000001</v>
      </c>
      <c r="D133" s="339">
        <v>120586.77</v>
      </c>
      <c r="E133" s="338">
        <v>0</v>
      </c>
      <c r="F133" s="338"/>
      <c r="G133" s="338">
        <v>148921.79999999999</v>
      </c>
      <c r="H133" s="339">
        <v>5141.3</v>
      </c>
      <c r="I133" s="338"/>
      <c r="J133" s="339">
        <v>44051.42</v>
      </c>
      <c r="K133" s="338">
        <v>18680</v>
      </c>
      <c r="L133" s="339">
        <v>301962.40000000002</v>
      </c>
      <c r="M133" s="3">
        <f t="shared" si="3"/>
        <v>1698051.7800000003</v>
      </c>
      <c r="N133" s="14">
        <v>166682.9</v>
      </c>
      <c r="O133" s="14"/>
      <c r="P133" s="14">
        <v>36549.550000000003</v>
      </c>
      <c r="Q133" s="14"/>
      <c r="R133" s="14">
        <v>34138.400000000001</v>
      </c>
      <c r="S133" s="2">
        <f t="shared" si="2"/>
        <v>1935422.6300000001</v>
      </c>
      <c r="T133" s="22">
        <v>62</v>
      </c>
      <c r="U133" s="14">
        <v>521</v>
      </c>
      <c r="V133" s="14">
        <v>-7752.4</v>
      </c>
      <c r="W133" s="14"/>
      <c r="X133" s="14">
        <v>-1.69</v>
      </c>
      <c r="Y133" s="42">
        <v>1.1000000000000001</v>
      </c>
    </row>
    <row r="134" spans="1:25" x14ac:dyDescent="0.25">
      <c r="A134" s="12">
        <v>5622</v>
      </c>
      <c r="B134" s="13" t="s">
        <v>152</v>
      </c>
      <c r="C134" s="338">
        <v>1514795.32</v>
      </c>
      <c r="D134" s="339">
        <v>166791.39000000001</v>
      </c>
      <c r="E134" s="338">
        <v>0</v>
      </c>
      <c r="F134" s="338"/>
      <c r="G134" s="338">
        <v>326554.55</v>
      </c>
      <c r="H134" s="339">
        <v>50.1</v>
      </c>
      <c r="I134" s="338"/>
      <c r="J134" s="339">
        <v>16389.439999999999</v>
      </c>
      <c r="K134" s="338">
        <v>4789.5</v>
      </c>
      <c r="L134" s="339">
        <v>129043</v>
      </c>
      <c r="M134" s="3">
        <f t="shared" si="3"/>
        <v>2158413.2999999998</v>
      </c>
      <c r="N134" s="14">
        <v>26447.75</v>
      </c>
      <c r="O134" s="14"/>
      <c r="P134" s="14">
        <v>143003.5</v>
      </c>
      <c r="Q134" s="14"/>
      <c r="R134" s="14">
        <v>145973.4</v>
      </c>
      <c r="S134" s="2">
        <f t="shared" si="2"/>
        <v>2473837.9499999997</v>
      </c>
      <c r="T134" s="22">
        <v>66</v>
      </c>
      <c r="U134" s="14">
        <v>516</v>
      </c>
      <c r="V134" s="14">
        <v>-1405.51</v>
      </c>
      <c r="W134" s="14"/>
      <c r="X134" s="14">
        <v>-11.86</v>
      </c>
      <c r="Y134" s="42">
        <v>1</v>
      </c>
    </row>
    <row r="135" spans="1:25" x14ac:dyDescent="0.25">
      <c r="A135" s="12">
        <v>5623</v>
      </c>
      <c r="B135" s="13" t="s">
        <v>153</v>
      </c>
      <c r="C135" s="338">
        <v>2554125.1800000002</v>
      </c>
      <c r="D135" s="339">
        <v>1100832.45</v>
      </c>
      <c r="E135" s="338">
        <v>0</v>
      </c>
      <c r="F135" s="338"/>
      <c r="G135" s="338">
        <v>51682.05</v>
      </c>
      <c r="H135" s="339">
        <v>167720.20000000001</v>
      </c>
      <c r="I135" s="338">
        <v>226919</v>
      </c>
      <c r="J135" s="339">
        <v>20880.25</v>
      </c>
      <c r="K135" s="338">
        <v>-854.65</v>
      </c>
      <c r="L135" s="339">
        <v>302337.55</v>
      </c>
      <c r="M135" s="3">
        <f t="shared" si="3"/>
        <v>4423642.03</v>
      </c>
      <c r="N135" s="14">
        <v>942.3</v>
      </c>
      <c r="O135" s="14">
        <v>1726375</v>
      </c>
      <c r="P135" s="14">
        <v>172508.75</v>
      </c>
      <c r="Q135" s="14">
        <v>290.99</v>
      </c>
      <c r="R135" s="14">
        <v>36443.599999999999</v>
      </c>
      <c r="S135" s="2">
        <f t="shared" ref="S135:S198" si="4">SUM(M135:R135)</f>
        <v>6360202.6699999999</v>
      </c>
      <c r="T135" s="22">
        <v>53</v>
      </c>
      <c r="U135" s="14">
        <v>609</v>
      </c>
      <c r="V135" s="14">
        <v>-1588.75</v>
      </c>
      <c r="W135" s="14"/>
      <c r="X135" s="14">
        <v>-55016.53</v>
      </c>
      <c r="Y135" s="42">
        <v>1</v>
      </c>
    </row>
    <row r="136" spans="1:25" x14ac:dyDescent="0.25">
      <c r="A136" s="12">
        <v>5624</v>
      </c>
      <c r="B136" s="13" t="s">
        <v>453</v>
      </c>
      <c r="C136" s="338">
        <v>12291574.23</v>
      </c>
      <c r="D136" s="339">
        <v>1139492.1000000001</v>
      </c>
      <c r="E136" s="338">
        <v>0</v>
      </c>
      <c r="F136" s="338"/>
      <c r="G136" s="338">
        <v>4583079.25</v>
      </c>
      <c r="H136" s="339">
        <v>97699.95</v>
      </c>
      <c r="I136" s="338"/>
      <c r="J136" s="339">
        <v>729558.58</v>
      </c>
      <c r="K136" s="338">
        <v>272502.5</v>
      </c>
      <c r="L136" s="339">
        <v>1752854.3</v>
      </c>
      <c r="M136" s="3">
        <f t="shared" ref="M136:M194" si="5">SUM(C136:L136)</f>
        <v>20866760.909999996</v>
      </c>
      <c r="N136" s="14">
        <v>1348175.55</v>
      </c>
      <c r="O136" s="14">
        <v>858</v>
      </c>
      <c r="P136" s="14">
        <v>862016.1</v>
      </c>
      <c r="Q136" s="14">
        <v>34941.82</v>
      </c>
      <c r="R136" s="14">
        <v>383787.95</v>
      </c>
      <c r="S136" s="2">
        <f t="shared" si="4"/>
        <v>23496540.329999998</v>
      </c>
      <c r="T136" s="22">
        <v>62</v>
      </c>
      <c r="U136" s="14">
        <v>8227</v>
      </c>
      <c r="V136" s="14">
        <v>-185577.75</v>
      </c>
      <c r="W136" s="14"/>
      <c r="X136" s="14">
        <v>-56.72</v>
      </c>
      <c r="Y136" s="42">
        <v>1</v>
      </c>
    </row>
    <row r="137" spans="1:25" x14ac:dyDescent="0.25">
      <c r="A137" s="12">
        <v>5625</v>
      </c>
      <c r="B137" s="13" t="s">
        <v>307</v>
      </c>
      <c r="C137" s="338">
        <v>795427.28</v>
      </c>
      <c r="D137" s="339">
        <v>79463.649999999994</v>
      </c>
      <c r="E137" s="338">
        <v>0</v>
      </c>
      <c r="F137" s="338"/>
      <c r="G137" s="338">
        <v>10794.65</v>
      </c>
      <c r="H137" s="339">
        <v>380.75</v>
      </c>
      <c r="I137" s="338">
        <v>49537.55</v>
      </c>
      <c r="J137" s="339">
        <v>49269.29</v>
      </c>
      <c r="K137" s="338">
        <v>5795</v>
      </c>
      <c r="L137" s="339">
        <v>101720.2</v>
      </c>
      <c r="M137" s="3">
        <f t="shared" si="5"/>
        <v>1092388.3700000001</v>
      </c>
      <c r="N137" s="14"/>
      <c r="O137" s="14"/>
      <c r="P137" s="14">
        <v>83810.100000000006</v>
      </c>
      <c r="Q137" s="14">
        <v>4.8099999999999996</v>
      </c>
      <c r="R137" s="14">
        <v>30053.3</v>
      </c>
      <c r="S137" s="2">
        <f t="shared" si="4"/>
        <v>1206256.5800000003</v>
      </c>
      <c r="T137" s="22">
        <v>78</v>
      </c>
      <c r="U137" s="14">
        <v>369</v>
      </c>
      <c r="V137" s="14">
        <v>-3257.56</v>
      </c>
      <c r="W137" s="14"/>
      <c r="X137" s="14">
        <v>0</v>
      </c>
      <c r="Y137" s="42">
        <v>1.2</v>
      </c>
    </row>
    <row r="138" spans="1:25" x14ac:dyDescent="0.25">
      <c r="A138" s="12">
        <v>5627</v>
      </c>
      <c r="B138" s="13" t="s">
        <v>260</v>
      </c>
      <c r="C138" s="338">
        <v>9300799.5800000001</v>
      </c>
      <c r="D138" s="339">
        <v>594542.61</v>
      </c>
      <c r="E138" s="338">
        <v>0</v>
      </c>
      <c r="F138" s="338"/>
      <c r="G138" s="338">
        <v>1772536.95</v>
      </c>
      <c r="H138" s="339">
        <v>162305.79999999999</v>
      </c>
      <c r="I138" s="338"/>
      <c r="J138" s="339">
        <v>999779.97</v>
      </c>
      <c r="K138" s="338">
        <v>205091.20000000001</v>
      </c>
      <c r="L138" s="339">
        <v>1247151.8500000001</v>
      </c>
      <c r="M138" s="3">
        <f t="shared" si="5"/>
        <v>14282207.959999999</v>
      </c>
      <c r="N138" s="14">
        <v>464106.9</v>
      </c>
      <c r="O138" s="14">
        <v>16446.3</v>
      </c>
      <c r="P138" s="14">
        <v>369187.9</v>
      </c>
      <c r="Q138" s="14">
        <v>30588.2</v>
      </c>
      <c r="R138" s="14">
        <v>134238.65</v>
      </c>
      <c r="S138" s="2">
        <f t="shared" si="4"/>
        <v>15296775.91</v>
      </c>
      <c r="T138" s="22">
        <v>79</v>
      </c>
      <c r="U138" s="14">
        <v>7543</v>
      </c>
      <c r="V138" s="14">
        <v>-326890.31</v>
      </c>
      <c r="W138" s="14"/>
      <c r="X138" s="14">
        <v>-290.58999999999997</v>
      </c>
      <c r="Y138" s="42">
        <v>1.5</v>
      </c>
    </row>
    <row r="139" spans="1:25" x14ac:dyDescent="0.25">
      <c r="A139" s="12">
        <v>5628</v>
      </c>
      <c r="B139" s="13" t="s">
        <v>261</v>
      </c>
      <c r="C139" s="338">
        <v>1074883.5</v>
      </c>
      <c r="D139" s="339"/>
      <c r="E139" s="338">
        <v>0</v>
      </c>
      <c r="F139" s="338"/>
      <c r="G139" s="338">
        <v>6881.7</v>
      </c>
      <c r="H139" s="339">
        <v>398.75</v>
      </c>
      <c r="I139" s="338"/>
      <c r="J139" s="339">
        <v>38803.410000000003</v>
      </c>
      <c r="K139" s="338">
        <v>859.5</v>
      </c>
      <c r="L139" s="339">
        <v>65092.55</v>
      </c>
      <c r="M139" s="3">
        <f t="shared" si="5"/>
        <v>1186919.4099999999</v>
      </c>
      <c r="N139" s="14">
        <v>18046</v>
      </c>
      <c r="O139" s="14">
        <v>73843</v>
      </c>
      <c r="P139" s="14">
        <v>631.29999999999995</v>
      </c>
      <c r="Q139" s="14"/>
      <c r="R139" s="14"/>
      <c r="S139" s="2">
        <f t="shared" si="4"/>
        <v>1279439.71</v>
      </c>
      <c r="T139" s="22">
        <v>62</v>
      </c>
      <c r="U139" s="14">
        <v>343</v>
      </c>
      <c r="V139" s="14">
        <v>-2769.21</v>
      </c>
      <c r="W139" s="14"/>
      <c r="X139" s="14">
        <v>0</v>
      </c>
      <c r="Y139" s="42">
        <v>0.8</v>
      </c>
    </row>
    <row r="140" spans="1:25" x14ac:dyDescent="0.25">
      <c r="A140" s="12">
        <v>5629</v>
      </c>
      <c r="B140" s="13" t="s">
        <v>156</v>
      </c>
      <c r="C140" s="338">
        <v>482928.5</v>
      </c>
      <c r="D140" s="339">
        <v>49402.1</v>
      </c>
      <c r="E140" s="338">
        <v>0</v>
      </c>
      <c r="F140" s="338"/>
      <c r="G140" s="338">
        <v>8345.5499999999993</v>
      </c>
      <c r="H140" s="339">
        <v>-15.05</v>
      </c>
      <c r="I140" s="338"/>
      <c r="J140" s="339">
        <v>-15100.26</v>
      </c>
      <c r="K140" s="338">
        <v>1599</v>
      </c>
      <c r="L140" s="339">
        <v>34557.1</v>
      </c>
      <c r="M140" s="3">
        <f t="shared" si="5"/>
        <v>561716.93999999994</v>
      </c>
      <c r="N140" s="14"/>
      <c r="O140" s="14">
        <v>51981.1</v>
      </c>
      <c r="P140" s="14">
        <v>19002.95</v>
      </c>
      <c r="Q140" s="14">
        <v>3515.15</v>
      </c>
      <c r="R140" s="14">
        <v>11161.7</v>
      </c>
      <c r="S140" s="2">
        <f t="shared" si="4"/>
        <v>647377.83999999985</v>
      </c>
      <c r="T140" s="22">
        <v>75</v>
      </c>
      <c r="U140" s="14">
        <v>175</v>
      </c>
      <c r="V140" s="14">
        <v>-18.649999999999999</v>
      </c>
      <c r="W140" s="14"/>
      <c r="X140" s="14">
        <v>0</v>
      </c>
      <c r="Y140" s="42">
        <v>1</v>
      </c>
    </row>
    <row r="141" spans="1:25" x14ac:dyDescent="0.25">
      <c r="A141" s="12">
        <v>5631</v>
      </c>
      <c r="B141" s="13" t="s">
        <v>157</v>
      </c>
      <c r="C141" s="338">
        <v>1980352.39</v>
      </c>
      <c r="D141" s="339">
        <v>479150.99</v>
      </c>
      <c r="E141" s="338">
        <v>0</v>
      </c>
      <c r="F141" s="338"/>
      <c r="G141" s="338">
        <v>67960.95</v>
      </c>
      <c r="H141" s="339">
        <v>-3708.8</v>
      </c>
      <c r="I141" s="338">
        <v>107078.8</v>
      </c>
      <c r="J141" s="339">
        <v>68197.55</v>
      </c>
      <c r="K141" s="338">
        <v>2398</v>
      </c>
      <c r="L141" s="339">
        <v>182669.5</v>
      </c>
      <c r="M141" s="3">
        <f t="shared" si="5"/>
        <v>2884099.38</v>
      </c>
      <c r="N141" s="14"/>
      <c r="O141" s="14">
        <v>181576.7</v>
      </c>
      <c r="P141" s="14">
        <v>340629.6</v>
      </c>
      <c r="Q141" s="14">
        <v>2586.31</v>
      </c>
      <c r="R141" s="14">
        <v>83935.85</v>
      </c>
      <c r="S141" s="2">
        <f t="shared" si="4"/>
        <v>3492827.8400000003</v>
      </c>
      <c r="T141" s="22">
        <v>68</v>
      </c>
      <c r="U141" s="14">
        <v>769</v>
      </c>
      <c r="V141" s="14">
        <v>-14055.28</v>
      </c>
      <c r="W141" s="14"/>
      <c r="X141" s="14">
        <v>-1538.75</v>
      </c>
      <c r="Y141" s="42">
        <v>1</v>
      </c>
    </row>
    <row r="142" spans="1:25" x14ac:dyDescent="0.25">
      <c r="A142" s="12">
        <v>5632</v>
      </c>
      <c r="B142" s="13" t="s">
        <v>158</v>
      </c>
      <c r="C142" s="338">
        <v>3206888.95</v>
      </c>
      <c r="D142" s="339">
        <v>359550.24</v>
      </c>
      <c r="E142" s="338">
        <v>0</v>
      </c>
      <c r="F142" s="338"/>
      <c r="G142" s="338">
        <v>172866.7</v>
      </c>
      <c r="H142" s="339">
        <v>9431.75</v>
      </c>
      <c r="I142" s="338"/>
      <c r="J142" s="339">
        <v>118799.66</v>
      </c>
      <c r="K142" s="338">
        <v>34477</v>
      </c>
      <c r="L142" s="339">
        <v>323937.40000000002</v>
      </c>
      <c r="M142" s="3">
        <f t="shared" si="5"/>
        <v>4225951.7000000011</v>
      </c>
      <c r="N142" s="14">
        <v>120436.9</v>
      </c>
      <c r="O142" s="14">
        <v>230083.20000000001</v>
      </c>
      <c r="P142" s="14">
        <v>68039.05</v>
      </c>
      <c r="Q142" s="14">
        <v>6790.74</v>
      </c>
      <c r="R142" s="14">
        <v>5525.4</v>
      </c>
      <c r="S142" s="2">
        <f t="shared" si="4"/>
        <v>4656826.9900000021</v>
      </c>
      <c r="T142" s="22">
        <v>62</v>
      </c>
      <c r="U142" s="14">
        <v>1624</v>
      </c>
      <c r="V142" s="14">
        <v>-58960.34</v>
      </c>
      <c r="W142" s="14"/>
      <c r="X142" s="14">
        <v>-557.97</v>
      </c>
      <c r="Y142" s="42">
        <v>1</v>
      </c>
    </row>
    <row r="143" spans="1:25" x14ac:dyDescent="0.25">
      <c r="A143" s="12">
        <v>5633</v>
      </c>
      <c r="B143" s="13" t="s">
        <v>159</v>
      </c>
      <c r="C143" s="338">
        <v>5910692.54</v>
      </c>
      <c r="D143" s="339">
        <v>1214187.43</v>
      </c>
      <c r="E143" s="338">
        <v>0</v>
      </c>
      <c r="F143" s="338"/>
      <c r="G143" s="338">
        <v>670598.66</v>
      </c>
      <c r="H143" s="339">
        <v>156863.70000000001</v>
      </c>
      <c r="I143" s="338"/>
      <c r="J143" s="339">
        <v>218703.02</v>
      </c>
      <c r="K143" s="338">
        <v>21092</v>
      </c>
      <c r="L143" s="339">
        <v>569240.1</v>
      </c>
      <c r="M143" s="3">
        <f t="shared" si="5"/>
        <v>8761377.4499999993</v>
      </c>
      <c r="N143" s="14">
        <v>134469</v>
      </c>
      <c r="O143" s="14">
        <v>54125.3</v>
      </c>
      <c r="P143" s="14">
        <v>280536.7</v>
      </c>
      <c r="Q143" s="14">
        <v>14158.32</v>
      </c>
      <c r="R143" s="14">
        <v>185024.5</v>
      </c>
      <c r="S143" s="2">
        <f t="shared" si="4"/>
        <v>9429691.2699999996</v>
      </c>
      <c r="T143" s="22">
        <v>62</v>
      </c>
      <c r="U143" s="14">
        <v>2731</v>
      </c>
      <c r="V143" s="14">
        <v>-123160.11</v>
      </c>
      <c r="W143" s="14"/>
      <c r="X143" s="14">
        <v>0</v>
      </c>
      <c r="Y143" s="42">
        <v>1</v>
      </c>
    </row>
    <row r="144" spans="1:25" x14ac:dyDescent="0.25">
      <c r="A144" s="12">
        <v>5634</v>
      </c>
      <c r="B144" s="13" t="s">
        <v>160</v>
      </c>
      <c r="C144" s="338">
        <v>6652798.4500000002</v>
      </c>
      <c r="D144" s="339">
        <v>1103208.6100000001</v>
      </c>
      <c r="E144" s="338">
        <v>0</v>
      </c>
      <c r="F144" s="338"/>
      <c r="G144" s="338">
        <v>105032.05</v>
      </c>
      <c r="H144" s="339">
        <v>5172.7</v>
      </c>
      <c r="I144" s="338">
        <v>84657.2</v>
      </c>
      <c r="J144" s="339">
        <v>167717.95000000001</v>
      </c>
      <c r="K144" s="338">
        <v>17888.5</v>
      </c>
      <c r="L144" s="339">
        <v>492329.15</v>
      </c>
      <c r="M144" s="3">
        <f t="shared" si="5"/>
        <v>8628804.6100000013</v>
      </c>
      <c r="N144" s="14">
        <v>20791.55</v>
      </c>
      <c r="O144" s="14">
        <v>129027</v>
      </c>
      <c r="P144" s="14">
        <v>605312.1</v>
      </c>
      <c r="Q144" s="14">
        <v>31972.2</v>
      </c>
      <c r="R144" s="14">
        <v>274942.5</v>
      </c>
      <c r="S144" s="2">
        <f t="shared" si="4"/>
        <v>9690849.9600000009</v>
      </c>
      <c r="T144" s="22">
        <v>68</v>
      </c>
      <c r="U144" s="14">
        <v>2639</v>
      </c>
      <c r="V144" s="14">
        <v>-109600.94</v>
      </c>
      <c r="W144" s="14"/>
      <c r="X144" s="14">
        <v>-3629.23</v>
      </c>
      <c r="Y144" s="42">
        <v>1</v>
      </c>
    </row>
    <row r="145" spans="1:25" x14ac:dyDescent="0.25">
      <c r="A145" s="12">
        <v>5635</v>
      </c>
      <c r="B145" s="13" t="s">
        <v>161</v>
      </c>
      <c r="C145" s="338">
        <v>17782239.48</v>
      </c>
      <c r="D145" s="339">
        <v>2466703.25</v>
      </c>
      <c r="E145" s="338">
        <v>0</v>
      </c>
      <c r="F145" s="338"/>
      <c r="G145" s="338">
        <v>3583021.75</v>
      </c>
      <c r="H145" s="339">
        <v>454175.6</v>
      </c>
      <c r="I145" s="338">
        <v>19068.849999999999</v>
      </c>
      <c r="J145" s="339">
        <v>1559861.06</v>
      </c>
      <c r="K145" s="338">
        <v>402579.5</v>
      </c>
      <c r="L145" s="339">
        <v>2037638.45</v>
      </c>
      <c r="M145" s="3">
        <f t="shared" si="5"/>
        <v>28305287.940000001</v>
      </c>
      <c r="N145" s="14">
        <v>1718415.3</v>
      </c>
      <c r="O145" s="14">
        <v>770721.3</v>
      </c>
      <c r="P145" s="14">
        <v>666547.75</v>
      </c>
      <c r="Q145" s="14">
        <v>139320.39000000001</v>
      </c>
      <c r="R145" s="14">
        <v>490704</v>
      </c>
      <c r="S145" s="2">
        <f t="shared" si="4"/>
        <v>32090996.680000003</v>
      </c>
      <c r="T145" s="22">
        <v>62</v>
      </c>
      <c r="U145" s="14">
        <v>12340</v>
      </c>
      <c r="V145" s="14">
        <v>-2224727.37</v>
      </c>
      <c r="W145" s="14"/>
      <c r="X145" s="14">
        <v>-5439.77</v>
      </c>
      <c r="Y145" s="42">
        <v>0.95</v>
      </c>
    </row>
    <row r="146" spans="1:25" x14ac:dyDescent="0.25">
      <c r="A146" s="12">
        <v>5636</v>
      </c>
      <c r="B146" s="13" t="s">
        <v>162</v>
      </c>
      <c r="C146" s="338">
        <v>5367363</v>
      </c>
      <c r="D146" s="339">
        <v>758515.72</v>
      </c>
      <c r="E146" s="338">
        <v>0</v>
      </c>
      <c r="F146" s="338"/>
      <c r="G146" s="338">
        <v>1573486.95</v>
      </c>
      <c r="H146" s="339">
        <v>96282.95</v>
      </c>
      <c r="I146" s="338">
        <v>75875.600000000006</v>
      </c>
      <c r="J146" s="339">
        <v>339228.27</v>
      </c>
      <c r="K146" s="338">
        <v>158075.5</v>
      </c>
      <c r="L146" s="339">
        <v>982625.5</v>
      </c>
      <c r="M146" s="3">
        <f t="shared" si="5"/>
        <v>9351453.4900000002</v>
      </c>
      <c r="N146" s="14">
        <v>521446.40000000002</v>
      </c>
      <c r="O146" s="14">
        <v>4455438.8499999996</v>
      </c>
      <c r="P146" s="14">
        <v>379384.8</v>
      </c>
      <c r="Q146" s="14">
        <v>24754.65</v>
      </c>
      <c r="R146" s="14">
        <v>167571.25</v>
      </c>
      <c r="S146" s="2">
        <f t="shared" si="4"/>
        <v>14900049.440000001</v>
      </c>
      <c r="T146" s="22">
        <v>61</v>
      </c>
      <c r="U146" s="14">
        <v>2906</v>
      </c>
      <c r="V146" s="14">
        <v>-173716.56</v>
      </c>
      <c r="W146" s="14"/>
      <c r="X146" s="14">
        <v>-346.66</v>
      </c>
      <c r="Y146" s="42">
        <v>1</v>
      </c>
    </row>
    <row r="147" spans="1:25" x14ac:dyDescent="0.25">
      <c r="A147" s="12">
        <v>5637</v>
      </c>
      <c r="B147" s="13" t="s">
        <v>163</v>
      </c>
      <c r="C147" s="338">
        <v>2055782.51</v>
      </c>
      <c r="D147" s="339">
        <v>249147.21</v>
      </c>
      <c r="E147" s="338">
        <v>0</v>
      </c>
      <c r="F147" s="338"/>
      <c r="G147" s="338">
        <v>81554.8</v>
      </c>
      <c r="H147" s="339">
        <v>193.05</v>
      </c>
      <c r="I147" s="338"/>
      <c r="J147" s="339">
        <v>109806.95</v>
      </c>
      <c r="K147" s="338">
        <v>4183.5</v>
      </c>
      <c r="L147" s="339">
        <v>261976.6</v>
      </c>
      <c r="M147" s="3">
        <f t="shared" si="5"/>
        <v>2762644.62</v>
      </c>
      <c r="N147" s="14">
        <v>265599.65000000002</v>
      </c>
      <c r="O147" s="14">
        <v>0</v>
      </c>
      <c r="P147" s="14">
        <v>70531.25</v>
      </c>
      <c r="Q147" s="14"/>
      <c r="R147" s="14">
        <v>47470.2</v>
      </c>
      <c r="S147" s="2">
        <f t="shared" si="4"/>
        <v>3146245.72</v>
      </c>
      <c r="T147" s="22">
        <v>74.5</v>
      </c>
      <c r="U147" s="14">
        <v>1006</v>
      </c>
      <c r="V147" s="14">
        <v>-8888.19</v>
      </c>
      <c r="W147" s="14"/>
      <c r="X147" s="14">
        <v>-164.58</v>
      </c>
      <c r="Y147" s="42">
        <v>1.5</v>
      </c>
    </row>
    <row r="148" spans="1:25" x14ac:dyDescent="0.25">
      <c r="A148" s="12">
        <v>5638</v>
      </c>
      <c r="B148" s="13" t="s">
        <v>164</v>
      </c>
      <c r="C148" s="338">
        <v>4733149.12</v>
      </c>
      <c r="D148" s="339">
        <v>1118529.48</v>
      </c>
      <c r="E148" s="338">
        <v>0</v>
      </c>
      <c r="F148" s="338"/>
      <c r="G148" s="338">
        <v>1354059.4</v>
      </c>
      <c r="H148" s="339">
        <v>100004.3</v>
      </c>
      <c r="I148" s="338">
        <v>184173.85</v>
      </c>
      <c r="J148" s="339">
        <v>182171.58</v>
      </c>
      <c r="K148" s="338">
        <v>28415</v>
      </c>
      <c r="L148" s="339">
        <v>605283.15</v>
      </c>
      <c r="M148" s="3">
        <f t="shared" si="5"/>
        <v>8305785.8799999999</v>
      </c>
      <c r="N148" s="14">
        <v>173908.2</v>
      </c>
      <c r="O148" s="14">
        <v>2138901.2999999998</v>
      </c>
      <c r="P148" s="14">
        <v>467534.2</v>
      </c>
      <c r="Q148" s="14">
        <v>9260.57</v>
      </c>
      <c r="R148" s="14">
        <v>87471.05</v>
      </c>
      <c r="S148" s="2">
        <f t="shared" si="4"/>
        <v>11182861.199999999</v>
      </c>
      <c r="T148" s="22">
        <v>55</v>
      </c>
      <c r="U148" s="14">
        <v>2530</v>
      </c>
      <c r="V148" s="14">
        <v>-4570.74</v>
      </c>
      <c r="W148" s="14"/>
      <c r="X148" s="14">
        <v>-12389.09</v>
      </c>
      <c r="Y148" s="42">
        <v>1</v>
      </c>
    </row>
    <row r="149" spans="1:25" x14ac:dyDescent="0.25">
      <c r="A149" s="12">
        <v>5639</v>
      </c>
      <c r="B149" s="13" t="s">
        <v>165</v>
      </c>
      <c r="C149" s="338">
        <v>2045451.81</v>
      </c>
      <c r="D149" s="339">
        <v>363815.05</v>
      </c>
      <c r="E149" s="338">
        <v>0</v>
      </c>
      <c r="F149" s="338"/>
      <c r="G149" s="338">
        <v>82099.5</v>
      </c>
      <c r="H149" s="339">
        <v>3521.5</v>
      </c>
      <c r="I149" s="338"/>
      <c r="J149" s="339">
        <v>10707.99</v>
      </c>
      <c r="K149" s="338">
        <v>2965</v>
      </c>
      <c r="L149" s="339">
        <v>225862.35</v>
      </c>
      <c r="M149" s="3">
        <f t="shared" si="5"/>
        <v>2734423.2</v>
      </c>
      <c r="N149" s="14"/>
      <c r="O149" s="14">
        <v>26672.2</v>
      </c>
      <c r="P149" s="14">
        <v>71985.95</v>
      </c>
      <c r="Q149" s="14"/>
      <c r="R149" s="14">
        <v>49166.45</v>
      </c>
      <c r="S149" s="2">
        <f t="shared" si="4"/>
        <v>2882247.8000000007</v>
      </c>
      <c r="T149" s="22">
        <v>61</v>
      </c>
      <c r="U149" s="14">
        <v>785</v>
      </c>
      <c r="V149" s="14">
        <v>-144104.69</v>
      </c>
      <c r="W149" s="14"/>
      <c r="X149" s="14">
        <v>0</v>
      </c>
      <c r="Y149" s="42">
        <v>1.25</v>
      </c>
    </row>
    <row r="150" spans="1:25" x14ac:dyDescent="0.25">
      <c r="A150" s="12">
        <v>5640</v>
      </c>
      <c r="B150" s="13" t="s">
        <v>166</v>
      </c>
      <c r="C150" s="338">
        <v>2470460.0099999998</v>
      </c>
      <c r="D150" s="339">
        <v>442352.74</v>
      </c>
      <c r="E150" s="338">
        <v>0</v>
      </c>
      <c r="F150" s="338"/>
      <c r="G150" s="338">
        <v>295462.05</v>
      </c>
      <c r="H150" s="339">
        <v>3610.75</v>
      </c>
      <c r="I150" s="338">
        <v>172769.75</v>
      </c>
      <c r="J150" s="339">
        <v>20946.87</v>
      </c>
      <c r="K150" s="338">
        <v>3465.5</v>
      </c>
      <c r="L150" s="339">
        <v>173800.65</v>
      </c>
      <c r="M150" s="3">
        <f t="shared" si="5"/>
        <v>3582868.32</v>
      </c>
      <c r="N150" s="14">
        <v>20362.95</v>
      </c>
      <c r="O150" s="14">
        <v>109938.2</v>
      </c>
      <c r="P150" s="14">
        <v>126017.05</v>
      </c>
      <c r="Q150" s="14"/>
      <c r="R150" s="14">
        <v>138804.5</v>
      </c>
      <c r="S150" s="2">
        <f t="shared" si="4"/>
        <v>3977991.02</v>
      </c>
      <c r="T150" s="22">
        <v>66</v>
      </c>
      <c r="U150" s="14">
        <v>644</v>
      </c>
      <c r="V150" s="14">
        <v>-5232.91</v>
      </c>
      <c r="W150" s="14"/>
      <c r="X150" s="14">
        <v>-2047.95</v>
      </c>
      <c r="Y150" s="42">
        <v>1</v>
      </c>
    </row>
    <row r="151" spans="1:25" x14ac:dyDescent="0.25">
      <c r="A151" s="12">
        <v>5642</v>
      </c>
      <c r="B151" s="13" t="s">
        <v>167</v>
      </c>
      <c r="C151" s="338">
        <v>33462717.93</v>
      </c>
      <c r="D151" s="339">
        <v>5053552.82</v>
      </c>
      <c r="E151" s="338">
        <v>0</v>
      </c>
      <c r="F151" s="338"/>
      <c r="G151" s="338">
        <v>8906469.8000000007</v>
      </c>
      <c r="H151" s="339">
        <v>549511.6</v>
      </c>
      <c r="I151" s="338">
        <v>604864.14</v>
      </c>
      <c r="J151" s="339">
        <v>2122272.9</v>
      </c>
      <c r="K151" s="338">
        <v>382545.5</v>
      </c>
      <c r="L151" s="339">
        <v>3036282.15</v>
      </c>
      <c r="M151" s="3">
        <f t="shared" si="5"/>
        <v>54118216.839999996</v>
      </c>
      <c r="N151" s="14">
        <v>1269504.8500000001</v>
      </c>
      <c r="O151" s="14">
        <v>1658467.8</v>
      </c>
      <c r="P151" s="14">
        <v>1251388.55</v>
      </c>
      <c r="Q151" s="14">
        <v>130637.43</v>
      </c>
      <c r="R151" s="14">
        <v>1318625.05</v>
      </c>
      <c r="S151" s="2">
        <f t="shared" si="4"/>
        <v>59746840.519999988</v>
      </c>
      <c r="T151" s="22">
        <v>68.5</v>
      </c>
      <c r="U151" s="14">
        <v>15819</v>
      </c>
      <c r="V151" s="14">
        <v>-659973.52</v>
      </c>
      <c r="W151" s="14"/>
      <c r="X151" s="14">
        <v>-37045.53</v>
      </c>
      <c r="Y151" s="42">
        <v>1</v>
      </c>
    </row>
    <row r="152" spans="1:25" x14ac:dyDescent="0.25">
      <c r="A152" s="12">
        <v>5643</v>
      </c>
      <c r="B152" s="13" t="s">
        <v>168</v>
      </c>
      <c r="C152" s="338">
        <v>12076865.27</v>
      </c>
      <c r="D152" s="339">
        <v>1975697.7</v>
      </c>
      <c r="E152" s="338">
        <v>0</v>
      </c>
      <c r="F152" s="338"/>
      <c r="G152" s="338">
        <v>887391.7</v>
      </c>
      <c r="H152" s="339">
        <v>23605.35</v>
      </c>
      <c r="I152" s="338">
        <v>329188.25</v>
      </c>
      <c r="J152" s="339">
        <v>479795.29</v>
      </c>
      <c r="K152" s="338">
        <v>107756.5</v>
      </c>
      <c r="L152" s="339">
        <v>1059050.1499999999</v>
      </c>
      <c r="M152" s="3">
        <f t="shared" si="5"/>
        <v>16939350.209999997</v>
      </c>
      <c r="N152" s="14">
        <v>204178.25</v>
      </c>
      <c r="O152" s="14">
        <v>4785</v>
      </c>
      <c r="P152" s="14">
        <v>587553.85</v>
      </c>
      <c r="Q152" s="14">
        <v>34630.67</v>
      </c>
      <c r="R152" s="14">
        <v>381651.1</v>
      </c>
      <c r="S152" s="2">
        <f t="shared" si="4"/>
        <v>18152149.080000002</v>
      </c>
      <c r="T152" s="22">
        <v>64</v>
      </c>
      <c r="U152" s="14">
        <v>5276</v>
      </c>
      <c r="V152" s="14">
        <v>-148667.34</v>
      </c>
      <c r="W152" s="14"/>
      <c r="X152" s="14">
        <v>-7398.71</v>
      </c>
      <c r="Y152" s="42">
        <v>1</v>
      </c>
    </row>
    <row r="153" spans="1:25" x14ac:dyDescent="0.25">
      <c r="A153" s="12">
        <v>5644</v>
      </c>
      <c r="B153" s="13" t="s">
        <v>318</v>
      </c>
      <c r="C153" s="338">
        <v>833553.2</v>
      </c>
      <c r="D153" s="339">
        <v>103997.88</v>
      </c>
      <c r="E153" s="338">
        <v>0</v>
      </c>
      <c r="F153" s="338"/>
      <c r="G153" s="338">
        <v>54806.400000000001</v>
      </c>
      <c r="H153" s="339">
        <v>121.85</v>
      </c>
      <c r="I153" s="338"/>
      <c r="J153" s="339">
        <v>16885.34</v>
      </c>
      <c r="K153" s="338">
        <v>-389.5</v>
      </c>
      <c r="L153" s="339">
        <v>65769.25</v>
      </c>
      <c r="M153" s="3">
        <f t="shared" si="5"/>
        <v>1074744.42</v>
      </c>
      <c r="N153" s="14">
        <v>10960.05</v>
      </c>
      <c r="O153" s="14">
        <v>4842</v>
      </c>
      <c r="P153" s="14">
        <v>30664.1</v>
      </c>
      <c r="Q153" s="14"/>
      <c r="R153" s="14">
        <v>21084.25</v>
      </c>
      <c r="S153" s="2">
        <f t="shared" si="4"/>
        <v>1142294.82</v>
      </c>
      <c r="T153" s="22">
        <v>76</v>
      </c>
      <c r="U153" s="14">
        <v>368</v>
      </c>
      <c r="V153" s="14">
        <v>-950.83</v>
      </c>
      <c r="W153" s="14"/>
      <c r="X153" s="14">
        <v>-0.21</v>
      </c>
      <c r="Y153" s="42">
        <v>1</v>
      </c>
    </row>
    <row r="154" spans="1:25" x14ac:dyDescent="0.25">
      <c r="A154" s="12">
        <v>5645</v>
      </c>
      <c r="B154" s="13" t="s">
        <v>319</v>
      </c>
      <c r="C154" s="338">
        <v>1015093.68</v>
      </c>
      <c r="D154" s="339">
        <v>158788.49</v>
      </c>
      <c r="E154" s="338">
        <v>0</v>
      </c>
      <c r="F154" s="338"/>
      <c r="G154" s="338">
        <v>105662.55</v>
      </c>
      <c r="H154" s="339">
        <v>4824.05</v>
      </c>
      <c r="I154" s="338"/>
      <c r="J154" s="339">
        <v>46624.55</v>
      </c>
      <c r="K154" s="338">
        <v>13999.5</v>
      </c>
      <c r="L154" s="339">
        <v>110774.15</v>
      </c>
      <c r="M154" s="3">
        <f t="shared" si="5"/>
        <v>1455766.97</v>
      </c>
      <c r="N154" s="14">
        <v>61686.3</v>
      </c>
      <c r="O154" s="14">
        <v>57205</v>
      </c>
      <c r="P154" s="14">
        <v>26722.45</v>
      </c>
      <c r="Q154" s="14">
        <v>1320.96</v>
      </c>
      <c r="R154" s="14">
        <v>20603.400000000001</v>
      </c>
      <c r="S154" s="2">
        <f t="shared" si="4"/>
        <v>1623305.0799999998</v>
      </c>
      <c r="T154" s="22">
        <v>56</v>
      </c>
      <c r="U154" s="14">
        <v>477</v>
      </c>
      <c r="V154" s="14">
        <v>-8590.99</v>
      </c>
      <c r="W154" s="14"/>
      <c r="X154" s="14">
        <v>-260.94</v>
      </c>
      <c r="Y154" s="42">
        <v>0.8</v>
      </c>
    </row>
    <row r="155" spans="1:25" x14ac:dyDescent="0.25">
      <c r="A155" s="12">
        <v>5646</v>
      </c>
      <c r="B155" s="13" t="s">
        <v>320</v>
      </c>
      <c r="C155" s="338">
        <v>10385932.970000001</v>
      </c>
      <c r="D155" s="339">
        <v>2648913.96</v>
      </c>
      <c r="E155" s="338">
        <v>0</v>
      </c>
      <c r="F155" s="338"/>
      <c r="G155" s="338">
        <v>2555284.65</v>
      </c>
      <c r="H155" s="339">
        <v>10622903.199999999</v>
      </c>
      <c r="I155" s="338">
        <v>983317.82</v>
      </c>
      <c r="J155" s="339">
        <v>638533.88</v>
      </c>
      <c r="K155" s="338">
        <v>93413.5</v>
      </c>
      <c r="L155" s="339">
        <v>1481196.2</v>
      </c>
      <c r="M155" s="3">
        <f t="shared" si="5"/>
        <v>29409496.18</v>
      </c>
      <c r="N155" s="14">
        <v>610213.05000000005</v>
      </c>
      <c r="O155" s="14">
        <v>-77260.600000000006</v>
      </c>
      <c r="P155" s="14">
        <v>888125.65</v>
      </c>
      <c r="Q155" s="14">
        <v>22443.78</v>
      </c>
      <c r="R155" s="14">
        <v>584799</v>
      </c>
      <c r="S155" s="2">
        <f t="shared" si="4"/>
        <v>31437817.059999999</v>
      </c>
      <c r="T155" s="22">
        <v>55</v>
      </c>
      <c r="U155" s="14">
        <v>5661</v>
      </c>
      <c r="V155" s="14">
        <v>-288226.26</v>
      </c>
      <c r="W155" s="14"/>
      <c r="X155" s="14">
        <v>-6001.43</v>
      </c>
      <c r="Y155" s="42">
        <v>1</v>
      </c>
    </row>
    <row r="156" spans="1:25" x14ac:dyDescent="0.25">
      <c r="A156" s="12">
        <v>5648</v>
      </c>
      <c r="B156" s="13" t="s">
        <v>321</v>
      </c>
      <c r="C156" s="338">
        <v>10866770.09</v>
      </c>
      <c r="D156" s="339">
        <v>2832044.07</v>
      </c>
      <c r="E156" s="338">
        <v>0</v>
      </c>
      <c r="F156" s="338"/>
      <c r="G156" s="338">
        <v>1415159.7</v>
      </c>
      <c r="H156" s="339">
        <v>279634.25</v>
      </c>
      <c r="I156" s="338">
        <v>404476.6</v>
      </c>
      <c r="J156" s="339">
        <v>504771.25</v>
      </c>
      <c r="K156" s="338">
        <v>115737.5</v>
      </c>
      <c r="L156" s="339">
        <v>1016224.35</v>
      </c>
      <c r="M156" s="3">
        <f t="shared" si="5"/>
        <v>17434817.809999999</v>
      </c>
      <c r="N156" s="14">
        <v>50581.9</v>
      </c>
      <c r="O156" s="14">
        <v>1374595.3</v>
      </c>
      <c r="P156" s="14">
        <v>1114570.8</v>
      </c>
      <c r="Q156" s="14">
        <v>93835.9</v>
      </c>
      <c r="R156" s="14">
        <v>290681.40000000002</v>
      </c>
      <c r="S156" s="2">
        <f t="shared" si="4"/>
        <v>20359083.109999996</v>
      </c>
      <c r="T156" s="22">
        <v>55</v>
      </c>
      <c r="U156" s="14">
        <v>4148</v>
      </c>
      <c r="V156" s="14">
        <v>-137107.69</v>
      </c>
      <c r="W156" s="14"/>
      <c r="X156" s="14">
        <v>-15923.17</v>
      </c>
      <c r="Y156" s="42">
        <v>0.8</v>
      </c>
    </row>
    <row r="157" spans="1:25" x14ac:dyDescent="0.25">
      <c r="A157" s="12">
        <v>5649</v>
      </c>
      <c r="B157" s="13" t="s">
        <v>322</v>
      </c>
      <c r="C157" s="338">
        <v>3694684.75</v>
      </c>
      <c r="D157" s="339">
        <v>663765.67000000004</v>
      </c>
      <c r="E157" s="338">
        <v>0</v>
      </c>
      <c r="F157" s="338"/>
      <c r="G157" s="338">
        <v>-1663129.35</v>
      </c>
      <c r="H157" s="339">
        <v>1152744.5</v>
      </c>
      <c r="I157" s="338">
        <v>116515</v>
      </c>
      <c r="J157" s="339">
        <v>641666.52</v>
      </c>
      <c r="K157" s="338">
        <v>62562.5</v>
      </c>
      <c r="L157" s="339">
        <v>522191.45</v>
      </c>
      <c r="M157" s="3">
        <f t="shared" si="5"/>
        <v>5191001.04</v>
      </c>
      <c r="N157" s="14">
        <v>470084</v>
      </c>
      <c r="O157" s="14">
        <v>261199.4</v>
      </c>
      <c r="P157" s="14">
        <v>269132.7</v>
      </c>
      <c r="Q157" s="14">
        <v>-4902.84</v>
      </c>
      <c r="R157" s="14">
        <v>87002.25</v>
      </c>
      <c r="S157" s="2">
        <f t="shared" si="4"/>
        <v>6273516.5500000007</v>
      </c>
      <c r="T157" s="22">
        <v>65</v>
      </c>
      <c r="U157" s="14">
        <v>1865</v>
      </c>
      <c r="V157" s="14">
        <v>-67967.240000000005</v>
      </c>
      <c r="W157" s="14"/>
      <c r="X157" s="14">
        <v>-828.46</v>
      </c>
      <c r="Y157" s="42">
        <v>1</v>
      </c>
    </row>
    <row r="158" spans="1:25" s="295" customFormat="1" x14ac:dyDescent="0.25">
      <c r="A158" s="389">
        <v>5650</v>
      </c>
      <c r="B158" s="390" t="s">
        <v>323</v>
      </c>
      <c r="C158" s="343">
        <f>4745963.88-9996810.93+9314164.8</f>
        <v>4063317.7500000009</v>
      </c>
      <c r="D158" s="341">
        <v>5250847.05</v>
      </c>
      <c r="E158" s="343">
        <v>0</v>
      </c>
      <c r="F158" s="343"/>
      <c r="G158" s="343">
        <v>19566.95</v>
      </c>
      <c r="H158" s="341">
        <v>4.75</v>
      </c>
      <c r="I158" s="343"/>
      <c r="J158" s="341">
        <v>9331.68</v>
      </c>
      <c r="K158" s="343"/>
      <c r="L158" s="341">
        <v>52788.800000000003</v>
      </c>
      <c r="M158" s="3">
        <f t="shared" si="5"/>
        <v>9395856.9800000004</v>
      </c>
      <c r="N158" s="293"/>
      <c r="O158" s="293"/>
      <c r="P158" s="293">
        <v>2238.1999999999998</v>
      </c>
      <c r="Q158" s="293"/>
      <c r="R158" s="293"/>
      <c r="S158" s="2">
        <f t="shared" si="4"/>
        <v>9398095.1799999997</v>
      </c>
      <c r="T158" s="391">
        <v>56</v>
      </c>
      <c r="U158" s="293">
        <v>200</v>
      </c>
      <c r="V158" s="293">
        <v>-10.26</v>
      </c>
      <c r="W158" s="293"/>
      <c r="X158" s="293">
        <v>0</v>
      </c>
      <c r="Y158" s="392">
        <v>1.25</v>
      </c>
    </row>
    <row r="159" spans="1:25" x14ac:dyDescent="0.25">
      <c r="A159" s="12">
        <v>5651</v>
      </c>
      <c r="B159" s="13" t="s">
        <v>324</v>
      </c>
      <c r="C159" s="338">
        <v>1539768.55</v>
      </c>
      <c r="D159" s="339">
        <v>201947.02</v>
      </c>
      <c r="E159" s="338">
        <v>0</v>
      </c>
      <c r="F159" s="338"/>
      <c r="G159" s="338">
        <v>246932.1</v>
      </c>
      <c r="H159" s="339">
        <v>7712.25</v>
      </c>
      <c r="I159" s="338"/>
      <c r="J159" s="339">
        <v>50326.52</v>
      </c>
      <c r="K159" s="338">
        <v>23305.5</v>
      </c>
      <c r="L159" s="339">
        <v>249576</v>
      </c>
      <c r="M159" s="3">
        <f t="shared" si="5"/>
        <v>2319567.9400000004</v>
      </c>
      <c r="N159" s="14">
        <v>185736.05</v>
      </c>
      <c r="O159" s="14"/>
      <c r="P159" s="14">
        <v>282336.84999999998</v>
      </c>
      <c r="Q159" s="14">
        <v>5023.6499999999996</v>
      </c>
      <c r="R159" s="14">
        <v>56587.6</v>
      </c>
      <c r="S159" s="2">
        <f t="shared" si="4"/>
        <v>2849252.0900000003</v>
      </c>
      <c r="T159" s="22">
        <v>59</v>
      </c>
      <c r="U159" s="14">
        <v>841</v>
      </c>
      <c r="V159" s="14">
        <v>-18096.36</v>
      </c>
      <c r="W159" s="14"/>
      <c r="X159" s="14">
        <v>-12.34</v>
      </c>
      <c r="Y159" s="42">
        <v>1</v>
      </c>
    </row>
    <row r="160" spans="1:25" x14ac:dyDescent="0.25">
      <c r="A160" s="12">
        <v>5652</v>
      </c>
      <c r="B160" s="13" t="s">
        <v>203</v>
      </c>
      <c r="C160" s="338">
        <v>1264322.8899999999</v>
      </c>
      <c r="D160" s="339">
        <v>249892.54</v>
      </c>
      <c r="E160" s="338">
        <v>0</v>
      </c>
      <c r="F160" s="338"/>
      <c r="G160" s="338">
        <v>26184.05</v>
      </c>
      <c r="H160" s="339">
        <v>467.35</v>
      </c>
      <c r="I160" s="338"/>
      <c r="J160" s="339">
        <v>37005.360000000001</v>
      </c>
      <c r="K160" s="338">
        <v>850</v>
      </c>
      <c r="L160" s="339">
        <v>114335.4</v>
      </c>
      <c r="M160" s="3">
        <f t="shared" si="5"/>
        <v>1693057.59</v>
      </c>
      <c r="N160" s="14">
        <v>2656.2</v>
      </c>
      <c r="O160" s="14">
        <v>53248</v>
      </c>
      <c r="P160" s="14">
        <v>60796.35</v>
      </c>
      <c r="Q160" s="14">
        <v>3604.55</v>
      </c>
      <c r="R160" s="14">
        <v>13199.1</v>
      </c>
      <c r="S160" s="2">
        <f t="shared" si="4"/>
        <v>1826561.7900000003</v>
      </c>
      <c r="T160" s="22">
        <v>76</v>
      </c>
      <c r="U160" s="14">
        <v>598</v>
      </c>
      <c r="V160" s="14">
        <v>-11477.47</v>
      </c>
      <c r="W160" s="14"/>
      <c r="X160" s="14">
        <v>-98.18</v>
      </c>
      <c r="Y160" s="42">
        <v>1.2</v>
      </c>
    </row>
    <row r="161" spans="1:25" x14ac:dyDescent="0.25">
      <c r="A161" s="12">
        <v>5653</v>
      </c>
      <c r="B161" s="13" t="s">
        <v>204</v>
      </c>
      <c r="C161" s="338">
        <v>2458375.42</v>
      </c>
      <c r="D161" s="339">
        <v>550022.51</v>
      </c>
      <c r="E161" s="338">
        <v>0</v>
      </c>
      <c r="F161" s="338"/>
      <c r="G161" s="338">
        <v>-16996.849999999999</v>
      </c>
      <c r="H161" s="339">
        <v>2062.6</v>
      </c>
      <c r="I161" s="338">
        <v>120500.85</v>
      </c>
      <c r="J161" s="339">
        <v>32826.33</v>
      </c>
      <c r="K161" s="338">
        <v>2764.5</v>
      </c>
      <c r="L161" s="339">
        <v>177413.15</v>
      </c>
      <c r="M161" s="3">
        <f t="shared" si="5"/>
        <v>3326968.51</v>
      </c>
      <c r="N161" s="14">
        <v>1378.1</v>
      </c>
      <c r="O161" s="14"/>
      <c r="P161" s="14">
        <v>100975.45</v>
      </c>
      <c r="Q161" s="14"/>
      <c r="R161" s="14">
        <v>104910</v>
      </c>
      <c r="S161" s="2">
        <f t="shared" si="4"/>
        <v>3534232.06</v>
      </c>
      <c r="T161" s="22">
        <v>55</v>
      </c>
      <c r="U161" s="14">
        <v>841</v>
      </c>
      <c r="V161" s="14">
        <v>-9879.5499999999993</v>
      </c>
      <c r="W161" s="14"/>
      <c r="X161" s="14">
        <v>-658.49</v>
      </c>
      <c r="Y161" s="42">
        <v>0.8</v>
      </c>
    </row>
    <row r="162" spans="1:25" x14ac:dyDescent="0.25">
      <c r="A162" s="12">
        <v>5654</v>
      </c>
      <c r="B162" s="13" t="s">
        <v>205</v>
      </c>
      <c r="C162" s="338">
        <v>996316.67</v>
      </c>
      <c r="D162" s="339">
        <v>156144.85</v>
      </c>
      <c r="E162" s="338">
        <v>0</v>
      </c>
      <c r="F162" s="338"/>
      <c r="G162" s="338">
        <v>25409.25</v>
      </c>
      <c r="H162" s="339">
        <v>629.35</v>
      </c>
      <c r="I162" s="338"/>
      <c r="J162" s="339">
        <v>42400.21</v>
      </c>
      <c r="K162" s="338">
        <v>1254</v>
      </c>
      <c r="L162" s="339">
        <v>86495.35</v>
      </c>
      <c r="M162" s="3">
        <f t="shared" si="5"/>
        <v>1308649.6800000002</v>
      </c>
      <c r="N162" s="14">
        <v>1924.35</v>
      </c>
      <c r="O162" s="14">
        <v>2346</v>
      </c>
      <c r="P162" s="14">
        <v>51545.45</v>
      </c>
      <c r="Q162" s="14">
        <v>1927.75</v>
      </c>
      <c r="R162" s="14">
        <v>42146.2</v>
      </c>
      <c r="S162" s="2">
        <f t="shared" si="4"/>
        <v>1408539.4300000002</v>
      </c>
      <c r="T162" s="22">
        <v>76</v>
      </c>
      <c r="U162" s="14">
        <v>461</v>
      </c>
      <c r="V162" s="14">
        <v>-7192.05</v>
      </c>
      <c r="W162" s="14"/>
      <c r="X162" s="14">
        <v>-613.52</v>
      </c>
      <c r="Y162" s="42">
        <v>1</v>
      </c>
    </row>
    <row r="163" spans="1:25" x14ac:dyDescent="0.25">
      <c r="A163" s="12">
        <v>5655</v>
      </c>
      <c r="B163" s="13" t="s">
        <v>206</v>
      </c>
      <c r="C163" s="338">
        <v>4681391.3099999996</v>
      </c>
      <c r="D163" s="339">
        <v>606033.68000000005</v>
      </c>
      <c r="E163" s="338">
        <v>0</v>
      </c>
      <c r="F163" s="338"/>
      <c r="G163" s="338">
        <v>250226.15</v>
      </c>
      <c r="H163" s="339">
        <v>467.3</v>
      </c>
      <c r="I163" s="338">
        <v>61299.01</v>
      </c>
      <c r="J163" s="339">
        <v>51791.519999999997</v>
      </c>
      <c r="K163" s="338">
        <v>5513.5</v>
      </c>
      <c r="L163" s="339">
        <v>456784.45</v>
      </c>
      <c r="M163" s="3">
        <f t="shared" si="5"/>
        <v>6113506.919999999</v>
      </c>
      <c r="N163" s="14">
        <v>67540.800000000003</v>
      </c>
      <c r="O163" s="14">
        <v>4143</v>
      </c>
      <c r="P163" s="14">
        <v>90982.15</v>
      </c>
      <c r="Q163" s="14">
        <v>5725.36</v>
      </c>
      <c r="R163" s="14">
        <v>104074.2</v>
      </c>
      <c r="S163" s="2">
        <f t="shared" si="4"/>
        <v>6385972.4299999997</v>
      </c>
      <c r="T163" s="22">
        <v>73</v>
      </c>
      <c r="U163" s="14">
        <v>1388</v>
      </c>
      <c r="V163" s="14">
        <v>-16979.07</v>
      </c>
      <c r="W163" s="14"/>
      <c r="X163" s="14">
        <v>-872.03</v>
      </c>
      <c r="Y163" s="42">
        <v>1</v>
      </c>
    </row>
    <row r="164" spans="1:25" x14ac:dyDescent="0.25">
      <c r="A164" s="12">
        <v>5661</v>
      </c>
      <c r="B164" s="13" t="s">
        <v>207</v>
      </c>
      <c r="C164" s="338">
        <v>632455.48</v>
      </c>
      <c r="D164" s="339">
        <v>38064</v>
      </c>
      <c r="E164" s="338">
        <v>0</v>
      </c>
      <c r="F164" s="338">
        <v>1800</v>
      </c>
      <c r="G164" s="338">
        <v>6564.2</v>
      </c>
      <c r="H164" s="339">
        <v>36954.519999999997</v>
      </c>
      <c r="I164" s="338"/>
      <c r="J164" s="339">
        <v>1490.82</v>
      </c>
      <c r="K164" s="338">
        <v>317.5</v>
      </c>
      <c r="L164" s="339">
        <v>40049.75</v>
      </c>
      <c r="M164" s="3">
        <f t="shared" si="5"/>
        <v>757696.2699999999</v>
      </c>
      <c r="N164" s="14">
        <v>13441.35</v>
      </c>
      <c r="O164" s="14"/>
      <c r="P164" s="14">
        <v>33333.199999999997</v>
      </c>
      <c r="Q164" s="14">
        <v>148.44999999999999</v>
      </c>
      <c r="R164" s="14">
        <v>6125</v>
      </c>
      <c r="S164" s="2">
        <f t="shared" si="4"/>
        <v>810744.26999999979</v>
      </c>
      <c r="T164" s="22">
        <v>79</v>
      </c>
      <c r="U164" s="14">
        <v>368</v>
      </c>
      <c r="V164" s="14">
        <v>0</v>
      </c>
      <c r="W164" s="14"/>
      <c r="X164" s="14">
        <v>0</v>
      </c>
      <c r="Y164" s="42">
        <v>1</v>
      </c>
    </row>
    <row r="165" spans="1:25" x14ac:dyDescent="0.25">
      <c r="A165" s="12">
        <v>5663</v>
      </c>
      <c r="B165" s="13" t="s">
        <v>208</v>
      </c>
      <c r="C165" s="338">
        <v>352805.18</v>
      </c>
      <c r="D165" s="339">
        <v>33367.94</v>
      </c>
      <c r="E165" s="338">
        <v>0</v>
      </c>
      <c r="F165" s="338">
        <v>1290</v>
      </c>
      <c r="G165" s="338">
        <v>27812.05</v>
      </c>
      <c r="H165" s="339">
        <v>116.15</v>
      </c>
      <c r="I165" s="338"/>
      <c r="J165" s="339">
        <v>4027.44</v>
      </c>
      <c r="K165" s="338">
        <v>460.5</v>
      </c>
      <c r="L165" s="339">
        <v>27932.3</v>
      </c>
      <c r="M165" s="3">
        <f t="shared" si="5"/>
        <v>447811.56</v>
      </c>
      <c r="N165" s="14"/>
      <c r="O165" s="14"/>
      <c r="P165" s="14">
        <v>9625</v>
      </c>
      <c r="Q165" s="14">
        <v>108.81</v>
      </c>
      <c r="R165" s="14">
        <v>11074.7</v>
      </c>
      <c r="S165" s="2">
        <f t="shared" si="4"/>
        <v>468620.07</v>
      </c>
      <c r="T165" s="22">
        <v>80</v>
      </c>
      <c r="U165" s="14">
        <v>208</v>
      </c>
      <c r="V165" s="14">
        <v>-10445.549999999999</v>
      </c>
      <c r="W165" s="14"/>
      <c r="X165" s="14">
        <v>-1.76</v>
      </c>
      <c r="Y165" s="42">
        <v>1</v>
      </c>
    </row>
    <row r="166" spans="1:25" x14ac:dyDescent="0.25">
      <c r="A166" s="12">
        <v>5665</v>
      </c>
      <c r="B166" s="13" t="s">
        <v>102</v>
      </c>
      <c r="C166" s="338">
        <v>285298.65999999997</v>
      </c>
      <c r="D166" s="339">
        <v>47433.87</v>
      </c>
      <c r="E166" s="338">
        <v>0</v>
      </c>
      <c r="F166" s="338"/>
      <c r="G166" s="338">
        <v>6668.55</v>
      </c>
      <c r="H166" s="339">
        <v>-4</v>
      </c>
      <c r="I166" s="338"/>
      <c r="J166" s="339">
        <v>1566.97</v>
      </c>
      <c r="K166" s="338">
        <v>4.5</v>
      </c>
      <c r="L166" s="339">
        <v>23553.8</v>
      </c>
      <c r="M166" s="3">
        <f t="shared" si="5"/>
        <v>364522.34999999992</v>
      </c>
      <c r="N166" s="14"/>
      <c r="O166" s="14"/>
      <c r="P166" s="14">
        <v>2420</v>
      </c>
      <c r="Q166" s="14">
        <v>426.01</v>
      </c>
      <c r="R166" s="14"/>
      <c r="S166" s="2">
        <f t="shared" si="4"/>
        <v>367368.35999999993</v>
      </c>
      <c r="T166" s="22">
        <v>73</v>
      </c>
      <c r="U166" s="14">
        <v>224</v>
      </c>
      <c r="V166" s="14">
        <v>-1198.19</v>
      </c>
      <c r="W166" s="14"/>
      <c r="X166" s="14">
        <v>0</v>
      </c>
      <c r="Y166" s="42">
        <v>1</v>
      </c>
    </row>
    <row r="167" spans="1:25" x14ac:dyDescent="0.25">
      <c r="A167" s="12">
        <v>5669</v>
      </c>
      <c r="B167" s="13" t="s">
        <v>103</v>
      </c>
      <c r="C167" s="338">
        <v>449324.9</v>
      </c>
      <c r="D167" s="339">
        <v>75769.399999999994</v>
      </c>
      <c r="E167" s="338">
        <v>0</v>
      </c>
      <c r="F167" s="338"/>
      <c r="G167" s="338">
        <v>29487.85</v>
      </c>
      <c r="H167" s="339">
        <v>-14.9</v>
      </c>
      <c r="I167" s="338"/>
      <c r="J167" s="339">
        <v>12607.58</v>
      </c>
      <c r="K167" s="338">
        <v>337</v>
      </c>
      <c r="L167" s="339">
        <v>21620</v>
      </c>
      <c r="M167" s="3">
        <f t="shared" si="5"/>
        <v>589131.82999999996</v>
      </c>
      <c r="N167" s="14"/>
      <c r="O167" s="14">
        <v>184.7</v>
      </c>
      <c r="P167" s="14">
        <v>5881.7</v>
      </c>
      <c r="Q167" s="14"/>
      <c r="R167" s="14"/>
      <c r="S167" s="2">
        <f t="shared" si="4"/>
        <v>595198.22999999986</v>
      </c>
      <c r="T167" s="22">
        <v>72</v>
      </c>
      <c r="U167" s="14">
        <v>309</v>
      </c>
      <c r="V167" s="14">
        <v>-14651.18</v>
      </c>
      <c r="W167" s="14"/>
      <c r="X167" s="14">
        <v>-0.12</v>
      </c>
      <c r="Y167" s="42">
        <v>0.5</v>
      </c>
    </row>
    <row r="168" spans="1:25" x14ac:dyDescent="0.25">
      <c r="A168" s="12">
        <v>5671</v>
      </c>
      <c r="B168" s="13" t="s">
        <v>104</v>
      </c>
      <c r="C168" s="338">
        <v>398994.78</v>
      </c>
      <c r="D168" s="339">
        <v>59736.44</v>
      </c>
      <c r="E168" s="338">
        <v>0</v>
      </c>
      <c r="F168" s="338">
        <v>1580</v>
      </c>
      <c r="G168" s="338">
        <v>17308.25</v>
      </c>
      <c r="H168" s="339">
        <v>59.4</v>
      </c>
      <c r="I168" s="338"/>
      <c r="J168" s="339">
        <v>22427.35</v>
      </c>
      <c r="K168" s="338">
        <v>223.5</v>
      </c>
      <c r="L168" s="339">
        <v>33765.4</v>
      </c>
      <c r="M168" s="3">
        <f t="shared" si="5"/>
        <v>534095.12</v>
      </c>
      <c r="N168" s="14"/>
      <c r="O168" s="14"/>
      <c r="P168" s="14"/>
      <c r="Q168" s="14"/>
      <c r="R168" s="14"/>
      <c r="S168" s="2">
        <f t="shared" si="4"/>
        <v>534095.12</v>
      </c>
      <c r="T168" s="22">
        <v>80</v>
      </c>
      <c r="U168" s="14">
        <v>242</v>
      </c>
      <c r="V168" s="14">
        <v>-271.35000000000002</v>
      </c>
      <c r="W168" s="14"/>
      <c r="X168" s="14">
        <v>0</v>
      </c>
      <c r="Y168" s="42">
        <v>1</v>
      </c>
    </row>
    <row r="169" spans="1:25" x14ac:dyDescent="0.25">
      <c r="A169" s="12">
        <v>5673</v>
      </c>
      <c r="B169" s="13" t="s">
        <v>105</v>
      </c>
      <c r="C169" s="338">
        <v>484600.03</v>
      </c>
      <c r="D169" s="339">
        <v>64071.67</v>
      </c>
      <c r="E169" s="338">
        <v>0</v>
      </c>
      <c r="F169" s="338">
        <v>1960</v>
      </c>
      <c r="G169" s="338">
        <v>613.45000000000005</v>
      </c>
      <c r="H169" s="339">
        <v>174.05</v>
      </c>
      <c r="I169" s="338"/>
      <c r="J169" s="339">
        <v>8666.73</v>
      </c>
      <c r="K169" s="338">
        <v>7.5</v>
      </c>
      <c r="L169" s="339">
        <v>26343.4</v>
      </c>
      <c r="M169" s="3">
        <f t="shared" si="5"/>
        <v>586436.83000000007</v>
      </c>
      <c r="N169" s="14">
        <v>17541.400000000001</v>
      </c>
      <c r="O169" s="14"/>
      <c r="P169" s="14">
        <v>9460</v>
      </c>
      <c r="Q169" s="14">
        <v>15882.3</v>
      </c>
      <c r="R169" s="14">
        <v>5558.15</v>
      </c>
      <c r="S169" s="2">
        <f t="shared" si="4"/>
        <v>634878.68000000017</v>
      </c>
      <c r="T169" s="22">
        <v>75</v>
      </c>
      <c r="U169" s="14">
        <v>379</v>
      </c>
      <c r="V169" s="14">
        <v>-29358.080000000002</v>
      </c>
      <c r="W169" s="14"/>
      <c r="X169" s="14">
        <v>-23.39</v>
      </c>
      <c r="Y169" s="42">
        <v>0.6</v>
      </c>
    </row>
    <row r="170" spans="1:25" x14ac:dyDescent="0.25">
      <c r="A170" s="12">
        <v>5674</v>
      </c>
      <c r="B170" s="13" t="s">
        <v>106</v>
      </c>
      <c r="C170" s="338">
        <v>274628.15000000002</v>
      </c>
      <c r="D170" s="339"/>
      <c r="E170" s="338">
        <v>0</v>
      </c>
      <c r="F170" s="338"/>
      <c r="G170" s="338">
        <v>2237.35</v>
      </c>
      <c r="H170" s="339"/>
      <c r="I170" s="338"/>
      <c r="J170" s="339">
        <v>3084.51</v>
      </c>
      <c r="K170" s="338"/>
      <c r="L170" s="339">
        <v>11401.2</v>
      </c>
      <c r="M170" s="3">
        <f t="shared" si="5"/>
        <v>291351.21000000002</v>
      </c>
      <c r="N170" s="14"/>
      <c r="O170" s="14">
        <v>55216.3</v>
      </c>
      <c r="P170" s="14"/>
      <c r="Q170" s="14"/>
      <c r="R170" s="14"/>
      <c r="S170" s="2">
        <f t="shared" si="4"/>
        <v>346567.51</v>
      </c>
      <c r="T170" s="22">
        <v>75</v>
      </c>
      <c r="U170" s="14">
        <v>143</v>
      </c>
      <c r="V170" s="14"/>
      <c r="W170" s="14">
        <v>-12974.5</v>
      </c>
      <c r="X170" s="14">
        <v>0</v>
      </c>
      <c r="Y170" s="42">
        <v>0.7</v>
      </c>
    </row>
    <row r="171" spans="1:25" x14ac:dyDescent="0.25">
      <c r="A171" s="12">
        <v>5675</v>
      </c>
      <c r="B171" s="13" t="s">
        <v>107</v>
      </c>
      <c r="C171" s="338">
        <v>4424585.6900000004</v>
      </c>
      <c r="D171" s="338">
        <v>532535.99</v>
      </c>
      <c r="E171" s="338">
        <v>0</v>
      </c>
      <c r="F171" s="338">
        <v>0</v>
      </c>
      <c r="G171" s="338">
        <v>720340.65</v>
      </c>
      <c r="H171" s="338">
        <v>7516.9499999999989</v>
      </c>
      <c r="I171" s="338">
        <v>0</v>
      </c>
      <c r="J171" s="338">
        <v>301200.08</v>
      </c>
      <c r="K171" s="338">
        <v>19555.5</v>
      </c>
      <c r="L171" s="338">
        <v>606512.9</v>
      </c>
      <c r="M171" s="3">
        <f t="shared" si="5"/>
        <v>6612247.7600000016</v>
      </c>
      <c r="N171" s="14">
        <v>31958.400000000001</v>
      </c>
      <c r="O171" s="14">
        <v>38786.800000000003</v>
      </c>
      <c r="P171" s="14">
        <v>221220.44999999998</v>
      </c>
      <c r="Q171" s="14">
        <v>45414.47</v>
      </c>
      <c r="R171" s="14">
        <v>161254.04999999999</v>
      </c>
      <c r="S171" s="2">
        <f t="shared" si="4"/>
        <v>7110881.9300000016</v>
      </c>
      <c r="T171" s="22">
        <v>67.819999999999993</v>
      </c>
      <c r="U171" s="14">
        <v>4009</v>
      </c>
      <c r="V171" s="14">
        <v>-299673.38</v>
      </c>
      <c r="W171" s="14">
        <v>0</v>
      </c>
      <c r="X171" s="14">
        <v>-565.42999999999995</v>
      </c>
      <c r="Y171" s="392">
        <v>1.1000000000000001</v>
      </c>
    </row>
    <row r="172" spans="1:25" x14ac:dyDescent="0.25">
      <c r="A172" s="12">
        <v>5678</v>
      </c>
      <c r="B172" s="13" t="s">
        <v>108</v>
      </c>
      <c r="C172" s="338">
        <v>6645473.3899999997</v>
      </c>
      <c r="D172" s="339">
        <v>700185.63</v>
      </c>
      <c r="E172" s="338">
        <v>0</v>
      </c>
      <c r="F172" s="338">
        <v>31651.95</v>
      </c>
      <c r="G172" s="338">
        <v>878057.2</v>
      </c>
      <c r="H172" s="339">
        <v>13182.35</v>
      </c>
      <c r="I172" s="338"/>
      <c r="J172" s="339">
        <v>539477.31999999995</v>
      </c>
      <c r="K172" s="338">
        <v>43408.5</v>
      </c>
      <c r="L172" s="339">
        <v>723218.05</v>
      </c>
      <c r="M172" s="3">
        <f t="shared" si="5"/>
        <v>9574654.3900000006</v>
      </c>
      <c r="N172" s="14">
        <v>174981.1</v>
      </c>
      <c r="O172" s="14">
        <v>164003.4</v>
      </c>
      <c r="P172" s="14">
        <v>354202.6</v>
      </c>
      <c r="Q172" s="14">
        <v>92575.84</v>
      </c>
      <c r="R172" s="14">
        <v>180094.4</v>
      </c>
      <c r="S172" s="2">
        <f t="shared" si="4"/>
        <v>10540511.73</v>
      </c>
      <c r="T172" s="22">
        <v>75</v>
      </c>
      <c r="U172" s="14">
        <v>6003</v>
      </c>
      <c r="V172" s="14">
        <v>-433206.72</v>
      </c>
      <c r="W172" s="14"/>
      <c r="X172" s="14">
        <v>-287.72000000000003</v>
      </c>
      <c r="Y172" s="42">
        <v>1</v>
      </c>
    </row>
    <row r="173" spans="1:25" x14ac:dyDescent="0.25">
      <c r="A173" s="12">
        <v>5680</v>
      </c>
      <c r="B173" s="13" t="s">
        <v>109</v>
      </c>
      <c r="C173" s="338">
        <v>568809.56000000006</v>
      </c>
      <c r="D173" s="339">
        <v>40572.26</v>
      </c>
      <c r="E173" s="338">
        <v>0</v>
      </c>
      <c r="F173" s="338"/>
      <c r="G173" s="338">
        <v>8618.7000000000007</v>
      </c>
      <c r="H173" s="339">
        <v>74.25</v>
      </c>
      <c r="I173" s="338"/>
      <c r="J173" s="339">
        <v>8369.33</v>
      </c>
      <c r="K173" s="338">
        <v>55</v>
      </c>
      <c r="L173" s="339">
        <v>55387.15</v>
      </c>
      <c r="M173" s="3">
        <f t="shared" si="5"/>
        <v>681886.25</v>
      </c>
      <c r="N173" s="14"/>
      <c r="O173" s="14">
        <v>1500</v>
      </c>
      <c r="P173" s="14">
        <v>15439.9</v>
      </c>
      <c r="Q173" s="14"/>
      <c r="R173" s="14">
        <v>22530.05</v>
      </c>
      <c r="S173" s="2">
        <f t="shared" si="4"/>
        <v>721356.20000000007</v>
      </c>
      <c r="T173" s="22">
        <v>78</v>
      </c>
      <c r="U173" s="14">
        <v>296</v>
      </c>
      <c r="V173" s="14">
        <v>-82.1</v>
      </c>
      <c r="W173" s="14"/>
      <c r="X173" s="14">
        <v>-2.56</v>
      </c>
      <c r="Y173" s="42">
        <v>1.5</v>
      </c>
    </row>
    <row r="174" spans="1:25" x14ac:dyDescent="0.25">
      <c r="A174" s="12">
        <v>5683</v>
      </c>
      <c r="B174" s="13" t="s">
        <v>110</v>
      </c>
      <c r="C174" s="338">
        <v>216000.02</v>
      </c>
      <c r="D174" s="339">
        <v>23620.27</v>
      </c>
      <c r="E174" s="338">
        <v>0</v>
      </c>
      <c r="F174" s="338"/>
      <c r="G174" s="338">
        <v>32598.75</v>
      </c>
      <c r="H174" s="339">
        <v>-17.05</v>
      </c>
      <c r="I174" s="338"/>
      <c r="J174" s="339">
        <v>16591.48</v>
      </c>
      <c r="K174" s="338">
        <v>93</v>
      </c>
      <c r="L174" s="341">
        <v>22195.05</v>
      </c>
      <c r="M174" s="3">
        <f t="shared" si="5"/>
        <v>311081.51999999996</v>
      </c>
      <c r="N174" s="14"/>
      <c r="O174" s="14"/>
      <c r="P174" s="14"/>
      <c r="Q174" s="14">
        <v>2938.48</v>
      </c>
      <c r="R174" s="14"/>
      <c r="S174" s="2">
        <f t="shared" si="4"/>
        <v>314019.99999999994</v>
      </c>
      <c r="T174" s="22">
        <v>74</v>
      </c>
      <c r="U174" s="14">
        <v>166</v>
      </c>
      <c r="V174" s="14">
        <v>-8505.93</v>
      </c>
      <c r="W174" s="14"/>
      <c r="X174" s="14">
        <v>0</v>
      </c>
      <c r="Y174" s="42">
        <v>1</v>
      </c>
    </row>
    <row r="175" spans="1:25" x14ac:dyDescent="0.25">
      <c r="A175" s="12">
        <v>5684</v>
      </c>
      <c r="B175" s="13" t="s">
        <v>111</v>
      </c>
      <c r="C175" s="338">
        <v>97430.78</v>
      </c>
      <c r="D175" s="339">
        <v>28183.47</v>
      </c>
      <c r="E175" s="338">
        <v>0</v>
      </c>
      <c r="F175" s="338"/>
      <c r="G175" s="338">
        <v>-1567.9</v>
      </c>
      <c r="H175" s="339">
        <v>10.8</v>
      </c>
      <c r="I175" s="338"/>
      <c r="J175" s="339"/>
      <c r="K175" s="338"/>
      <c r="L175" s="339">
        <v>6986</v>
      </c>
      <c r="M175" s="3">
        <f t="shared" si="5"/>
        <v>131043.15000000001</v>
      </c>
      <c r="N175" s="14"/>
      <c r="O175" s="14"/>
      <c r="P175" s="14"/>
      <c r="Q175" s="14"/>
      <c r="R175" s="14"/>
      <c r="S175" s="2">
        <f t="shared" si="4"/>
        <v>131043.15000000001</v>
      </c>
      <c r="T175" s="22">
        <v>60</v>
      </c>
      <c r="U175" s="14">
        <v>60</v>
      </c>
      <c r="V175" s="14">
        <v>-5592.4</v>
      </c>
      <c r="W175" s="14"/>
      <c r="X175" s="14">
        <v>-0.13</v>
      </c>
      <c r="Y175" s="42">
        <v>0.8</v>
      </c>
    </row>
    <row r="176" spans="1:25" x14ac:dyDescent="0.25">
      <c r="A176" s="12">
        <v>5688</v>
      </c>
      <c r="B176" s="13" t="s">
        <v>112</v>
      </c>
      <c r="C176" s="338">
        <v>279174.89</v>
      </c>
      <c r="D176" s="339">
        <v>61110.55</v>
      </c>
      <c r="E176" s="338">
        <v>0</v>
      </c>
      <c r="F176" s="338"/>
      <c r="G176" s="338">
        <v>-5784.15</v>
      </c>
      <c r="H176" s="339">
        <v>249.4</v>
      </c>
      <c r="I176" s="338"/>
      <c r="J176" s="339">
        <v>12693.46</v>
      </c>
      <c r="K176" s="338"/>
      <c r="L176" s="339">
        <v>21017.4</v>
      </c>
      <c r="M176" s="3">
        <f t="shared" si="5"/>
        <v>368461.55000000005</v>
      </c>
      <c r="N176" s="14">
        <v>115.75</v>
      </c>
      <c r="O176" s="14">
        <v>238.2</v>
      </c>
      <c r="P176" s="14">
        <v>42282.75</v>
      </c>
      <c r="Q176" s="14"/>
      <c r="R176" s="14">
        <v>515.79999999999995</v>
      </c>
      <c r="S176" s="2">
        <f t="shared" si="4"/>
        <v>411614.05000000005</v>
      </c>
      <c r="T176" s="22">
        <v>75.599999999999994</v>
      </c>
      <c r="U176" s="14">
        <v>145</v>
      </c>
      <c r="V176" s="14">
        <v>-2149.25</v>
      </c>
      <c r="W176" s="14"/>
      <c r="X176" s="14">
        <v>0</v>
      </c>
      <c r="Y176" s="42">
        <v>1</v>
      </c>
    </row>
    <row r="177" spans="1:25" x14ac:dyDescent="0.25">
      <c r="A177" s="12">
        <v>5690</v>
      </c>
      <c r="B177" s="13" t="s">
        <v>113</v>
      </c>
      <c r="C177" s="338">
        <v>197123.11</v>
      </c>
      <c r="D177" s="339">
        <v>32713.77</v>
      </c>
      <c r="E177" s="338">
        <v>0</v>
      </c>
      <c r="F177" s="338">
        <v>900</v>
      </c>
      <c r="G177" s="338">
        <v>555.6</v>
      </c>
      <c r="H177" s="339">
        <v>462.15</v>
      </c>
      <c r="I177" s="338"/>
      <c r="J177" s="339">
        <v>8.02</v>
      </c>
      <c r="K177" s="338">
        <v>184</v>
      </c>
      <c r="L177" s="339">
        <v>28288.2</v>
      </c>
      <c r="M177" s="3">
        <f t="shared" si="5"/>
        <v>260234.84999999998</v>
      </c>
      <c r="N177" s="14"/>
      <c r="O177" s="14"/>
      <c r="P177" s="14">
        <v>1017.3</v>
      </c>
      <c r="Q177" s="14"/>
      <c r="R177" s="14">
        <v>1728.95</v>
      </c>
      <c r="S177" s="2">
        <f t="shared" si="4"/>
        <v>262981.09999999998</v>
      </c>
      <c r="T177" s="22">
        <v>76</v>
      </c>
      <c r="U177" s="14">
        <v>143</v>
      </c>
      <c r="V177" s="14">
        <v>-3631.78</v>
      </c>
      <c r="W177" s="14"/>
      <c r="X177" s="14">
        <v>0</v>
      </c>
      <c r="Y177" s="42">
        <v>1.5</v>
      </c>
    </row>
    <row r="178" spans="1:25" x14ac:dyDescent="0.25">
      <c r="A178" s="12">
        <v>5692</v>
      </c>
      <c r="B178" s="13" t="s">
        <v>114</v>
      </c>
      <c r="C178" s="338">
        <v>1145350.3</v>
      </c>
      <c r="D178" s="339">
        <v>89609.3</v>
      </c>
      <c r="E178" s="338">
        <v>0</v>
      </c>
      <c r="F178" s="338"/>
      <c r="G178" s="338">
        <v>16158.4</v>
      </c>
      <c r="H178" s="339">
        <v>9.1500000000000092</v>
      </c>
      <c r="I178" s="338"/>
      <c r="J178" s="339">
        <v>6440.13</v>
      </c>
      <c r="K178" s="338">
        <v>427.5</v>
      </c>
      <c r="L178" s="339">
        <v>85438</v>
      </c>
      <c r="M178" s="3">
        <f t="shared" si="5"/>
        <v>1343432.7799999998</v>
      </c>
      <c r="N178" s="14">
        <v>5328.7</v>
      </c>
      <c r="O178" s="14">
        <v>109142.39999999999</v>
      </c>
      <c r="P178" s="14">
        <v>17542.5</v>
      </c>
      <c r="Q178" s="14">
        <v>10085.540000000001</v>
      </c>
      <c r="R178" s="14">
        <v>9543.15</v>
      </c>
      <c r="S178" s="2">
        <f t="shared" si="4"/>
        <v>1495075.0699999996</v>
      </c>
      <c r="T178" s="22">
        <v>79</v>
      </c>
      <c r="U178" s="14">
        <v>557</v>
      </c>
      <c r="V178" s="14">
        <v>-11052.96</v>
      </c>
      <c r="W178" s="14"/>
      <c r="X178" s="14">
        <v>0</v>
      </c>
      <c r="Y178" s="42">
        <v>1</v>
      </c>
    </row>
    <row r="179" spans="1:25" x14ac:dyDescent="0.25">
      <c r="A179" s="12">
        <v>5693</v>
      </c>
      <c r="B179" s="13" t="s">
        <v>455</v>
      </c>
      <c r="C179" s="338">
        <v>3685170.2</v>
      </c>
      <c r="D179" s="339">
        <v>354203.93</v>
      </c>
      <c r="E179" s="338">
        <v>0</v>
      </c>
      <c r="F179" s="338"/>
      <c r="G179" s="338">
        <v>207209.7</v>
      </c>
      <c r="H179" s="339">
        <v>1647.25</v>
      </c>
      <c r="I179" s="338"/>
      <c r="J179" s="339">
        <v>100735.82</v>
      </c>
      <c r="K179" s="338">
        <v>2802</v>
      </c>
      <c r="L179" s="339">
        <v>319027.8</v>
      </c>
      <c r="M179" s="3">
        <f t="shared" si="5"/>
        <v>4670796.7</v>
      </c>
      <c r="N179" s="14">
        <v>11101.4</v>
      </c>
      <c r="O179" s="14">
        <v>53951.1</v>
      </c>
      <c r="P179" s="14">
        <v>126289.05</v>
      </c>
      <c r="Q179" s="14">
        <v>5911.01</v>
      </c>
      <c r="R179" s="14">
        <v>106443.45</v>
      </c>
      <c r="S179" s="2">
        <f t="shared" si="4"/>
        <v>4974492.71</v>
      </c>
      <c r="T179" s="22">
        <v>72</v>
      </c>
      <c r="U179" s="14">
        <v>2500</v>
      </c>
      <c r="V179" s="14">
        <v>-98426.97</v>
      </c>
      <c r="W179" s="14"/>
      <c r="X179" s="14">
        <v>-154.87</v>
      </c>
      <c r="Y179" s="42">
        <v>1</v>
      </c>
    </row>
    <row r="180" spans="1:25" x14ac:dyDescent="0.25">
      <c r="A180" s="12">
        <v>5701</v>
      </c>
      <c r="B180" s="13" t="s">
        <v>115</v>
      </c>
      <c r="C180" s="338">
        <v>797694.36</v>
      </c>
      <c r="D180" s="339">
        <v>134528.72</v>
      </c>
      <c r="E180" s="338">
        <v>0</v>
      </c>
      <c r="F180" s="338"/>
      <c r="G180" s="338">
        <v>11071.95</v>
      </c>
      <c r="H180" s="339">
        <v>29.65</v>
      </c>
      <c r="I180" s="338">
        <v>62884.15</v>
      </c>
      <c r="J180" s="339">
        <v>12671.43</v>
      </c>
      <c r="K180" s="338">
        <v>16</v>
      </c>
      <c r="L180" s="339">
        <v>65446.400000000001</v>
      </c>
      <c r="M180" s="3">
        <f t="shared" si="5"/>
        <v>1084342.6599999999</v>
      </c>
      <c r="N180" s="14"/>
      <c r="O180" s="14"/>
      <c r="P180" s="14">
        <v>36300</v>
      </c>
      <c r="Q180" s="14"/>
      <c r="R180" s="14">
        <v>77532.350000000006</v>
      </c>
      <c r="S180" s="2">
        <f t="shared" si="4"/>
        <v>1198175.01</v>
      </c>
      <c r="T180" s="22">
        <v>70</v>
      </c>
      <c r="U180" s="14">
        <v>214</v>
      </c>
      <c r="V180" s="14">
        <v>-15399.91</v>
      </c>
      <c r="W180" s="14"/>
      <c r="X180" s="14">
        <v>0</v>
      </c>
      <c r="Y180" s="42">
        <v>1</v>
      </c>
    </row>
    <row r="181" spans="1:25" x14ac:dyDescent="0.25">
      <c r="A181" s="12">
        <v>5702</v>
      </c>
      <c r="B181" s="13" t="s">
        <v>454</v>
      </c>
      <c r="C181" s="338">
        <v>7448077.9400000004</v>
      </c>
      <c r="D181" s="339">
        <v>1038554.64</v>
      </c>
      <c r="E181" s="338">
        <v>0</v>
      </c>
      <c r="F181" s="338"/>
      <c r="G181" s="338">
        <v>160047.6</v>
      </c>
      <c r="H181" s="339">
        <v>14400.9</v>
      </c>
      <c r="I181" s="338">
        <v>463597.88</v>
      </c>
      <c r="J181" s="339">
        <v>95044.33</v>
      </c>
      <c r="K181" s="338">
        <v>11801.5</v>
      </c>
      <c r="L181" s="339">
        <v>1023782.85</v>
      </c>
      <c r="M181" s="3">
        <f t="shared" si="5"/>
        <v>10255307.640000001</v>
      </c>
      <c r="N181" s="14">
        <v>60340.95</v>
      </c>
      <c r="O181" s="14">
        <v>136333.6</v>
      </c>
      <c r="P181" s="14">
        <v>597142.6</v>
      </c>
      <c r="Q181" s="14">
        <v>13592.12</v>
      </c>
      <c r="R181" s="14">
        <v>172600.55</v>
      </c>
      <c r="S181" s="2">
        <f t="shared" si="4"/>
        <v>11235317.459999999</v>
      </c>
      <c r="T181" s="22">
        <v>64</v>
      </c>
      <c r="U181" s="14">
        <v>2565</v>
      </c>
      <c r="V181" s="14">
        <v>-74728.460000000006</v>
      </c>
      <c r="W181" s="14"/>
      <c r="X181" s="14">
        <v>-5046.3999999999996</v>
      </c>
      <c r="Y181" s="42">
        <v>1.5</v>
      </c>
    </row>
    <row r="182" spans="1:25" x14ac:dyDescent="0.25">
      <c r="A182" s="12">
        <v>5703</v>
      </c>
      <c r="B182" s="13" t="s">
        <v>116</v>
      </c>
      <c r="C182" s="338">
        <v>3001779.69</v>
      </c>
      <c r="D182" s="339">
        <v>324509.03999999998</v>
      </c>
      <c r="E182" s="338">
        <v>0</v>
      </c>
      <c r="F182" s="338"/>
      <c r="G182" s="338">
        <v>72493.149999999994</v>
      </c>
      <c r="H182" s="339">
        <v>419.95</v>
      </c>
      <c r="I182" s="338">
        <v>10517.3</v>
      </c>
      <c r="J182" s="339">
        <v>23533.01</v>
      </c>
      <c r="K182" s="338">
        <v>185.5</v>
      </c>
      <c r="L182" s="339">
        <v>343665.9</v>
      </c>
      <c r="M182" s="3">
        <f t="shared" si="5"/>
        <v>3777103.5399999996</v>
      </c>
      <c r="N182" s="14">
        <v>34704.25</v>
      </c>
      <c r="O182" s="14">
        <v>6361.8</v>
      </c>
      <c r="P182" s="14">
        <v>128623.25</v>
      </c>
      <c r="Q182" s="14">
        <v>27300.17</v>
      </c>
      <c r="R182" s="14">
        <v>54970.15</v>
      </c>
      <c r="S182" s="2">
        <f t="shared" si="4"/>
        <v>4029063.1599999992</v>
      </c>
      <c r="T182" s="22">
        <v>71</v>
      </c>
      <c r="U182" s="14">
        <v>1311</v>
      </c>
      <c r="V182" s="14">
        <v>-28188.720000000001</v>
      </c>
      <c r="W182" s="14"/>
      <c r="X182" s="14">
        <v>-510.72</v>
      </c>
      <c r="Y182" s="42">
        <v>1.2</v>
      </c>
    </row>
    <row r="183" spans="1:25" x14ac:dyDescent="0.25">
      <c r="A183" s="12">
        <v>5704</v>
      </c>
      <c r="B183" s="13" t="s">
        <v>226</v>
      </c>
      <c r="C183" s="338">
        <v>5332095.63</v>
      </c>
      <c r="D183" s="339">
        <v>1583742.74</v>
      </c>
      <c r="E183" s="338">
        <v>0</v>
      </c>
      <c r="F183" s="338"/>
      <c r="G183" s="338">
        <v>131577.45000000001</v>
      </c>
      <c r="H183" s="339">
        <v>6944.65</v>
      </c>
      <c r="I183" s="338">
        <v>384651.5</v>
      </c>
      <c r="J183" s="339">
        <v>142920.94</v>
      </c>
      <c r="K183" s="338">
        <v>1369.5</v>
      </c>
      <c r="L183" s="339">
        <v>673574.5</v>
      </c>
      <c r="M183" s="3">
        <f t="shared" si="5"/>
        <v>8256876.9100000011</v>
      </c>
      <c r="N183" s="14">
        <v>52487.1</v>
      </c>
      <c r="O183" s="14">
        <v>104803</v>
      </c>
      <c r="P183" s="14">
        <v>341186.55</v>
      </c>
      <c r="Q183" s="14">
        <v>-2184.35</v>
      </c>
      <c r="R183" s="14">
        <v>261044.95</v>
      </c>
      <c r="S183" s="2">
        <f t="shared" si="4"/>
        <v>9014214.160000002</v>
      </c>
      <c r="T183" s="22">
        <v>67</v>
      </c>
      <c r="U183" s="14">
        <v>1856</v>
      </c>
      <c r="V183" s="14">
        <v>-98455.53</v>
      </c>
      <c r="W183" s="14"/>
      <c r="X183" s="14">
        <v>-5155.2299999999996</v>
      </c>
      <c r="Y183" s="42">
        <v>1.5</v>
      </c>
    </row>
    <row r="184" spans="1:25" x14ac:dyDescent="0.25">
      <c r="A184" s="12">
        <v>5705</v>
      </c>
      <c r="B184" s="13" t="s">
        <v>227</v>
      </c>
      <c r="C184" s="338">
        <v>2745566.01</v>
      </c>
      <c r="D184" s="339">
        <v>402654.38</v>
      </c>
      <c r="E184" s="338">
        <v>0</v>
      </c>
      <c r="F184" s="338"/>
      <c r="G184" s="338">
        <v>30078.05</v>
      </c>
      <c r="H184" s="339">
        <v>848.65</v>
      </c>
      <c r="I184" s="338">
        <v>21804.9</v>
      </c>
      <c r="J184" s="339">
        <v>59299.11</v>
      </c>
      <c r="K184" s="338">
        <v>9034</v>
      </c>
      <c r="L184" s="339">
        <v>209829.3</v>
      </c>
      <c r="M184" s="3">
        <f t="shared" si="5"/>
        <v>3479114.399999999</v>
      </c>
      <c r="N184" s="14">
        <v>30724.95</v>
      </c>
      <c r="O184" s="14"/>
      <c r="P184" s="14">
        <v>80330.5</v>
      </c>
      <c r="Q184" s="14">
        <v>4314.8900000000003</v>
      </c>
      <c r="R184" s="14">
        <v>55773.8</v>
      </c>
      <c r="S184" s="2">
        <f t="shared" si="4"/>
        <v>3650258.5399999991</v>
      </c>
      <c r="T184" s="22">
        <v>70</v>
      </c>
      <c r="U184" s="14">
        <v>827</v>
      </c>
      <c r="V184" s="14">
        <v>-6225.45</v>
      </c>
      <c r="W184" s="14"/>
      <c r="X184" s="14">
        <v>-4456.5</v>
      </c>
      <c r="Y184" s="42">
        <v>1</v>
      </c>
    </row>
    <row r="185" spans="1:25" x14ac:dyDescent="0.25">
      <c r="A185" s="12">
        <v>5706</v>
      </c>
      <c r="B185" s="13" t="s">
        <v>228</v>
      </c>
      <c r="C185" s="338">
        <v>2839899.56</v>
      </c>
      <c r="D185" s="339">
        <v>566867.1</v>
      </c>
      <c r="E185" s="338">
        <v>0</v>
      </c>
      <c r="F185" s="338"/>
      <c r="G185" s="338">
        <v>20996.05</v>
      </c>
      <c r="H185" s="339">
        <v>566.79999999999995</v>
      </c>
      <c r="I185" s="338">
        <v>-17830.45</v>
      </c>
      <c r="J185" s="339">
        <v>102006.02</v>
      </c>
      <c r="K185" s="338">
        <v>1957.5</v>
      </c>
      <c r="L185" s="339">
        <v>358796.15</v>
      </c>
      <c r="M185" s="3">
        <f t="shared" si="5"/>
        <v>3873258.7299999995</v>
      </c>
      <c r="N185" s="14">
        <v>7866.85</v>
      </c>
      <c r="O185" s="14">
        <v>9871.7999999999993</v>
      </c>
      <c r="P185" s="14">
        <v>200483.85</v>
      </c>
      <c r="Q185" s="14">
        <v>3709.8</v>
      </c>
      <c r="R185" s="14">
        <v>210270.5</v>
      </c>
      <c r="S185" s="2">
        <f t="shared" si="4"/>
        <v>4305461.5299999993</v>
      </c>
      <c r="T185" s="22">
        <v>55</v>
      </c>
      <c r="U185" s="14">
        <v>1099</v>
      </c>
      <c r="V185" s="14">
        <v>-2433.25</v>
      </c>
      <c r="W185" s="14"/>
      <c r="X185" s="14">
        <v>-3323.14</v>
      </c>
      <c r="Y185" s="42">
        <v>1.5</v>
      </c>
    </row>
    <row r="186" spans="1:25" x14ac:dyDescent="0.25">
      <c r="A186" s="12">
        <v>5707</v>
      </c>
      <c r="B186" s="13" t="s">
        <v>229</v>
      </c>
      <c r="C186" s="338">
        <v>4063785.15</v>
      </c>
      <c r="D186" s="339">
        <v>573076.64</v>
      </c>
      <c r="E186" s="338">
        <v>0</v>
      </c>
      <c r="F186" s="338"/>
      <c r="G186" s="338">
        <v>577805.19999999995</v>
      </c>
      <c r="H186" s="339">
        <v>6153.5</v>
      </c>
      <c r="I186" s="338">
        <v>97054</v>
      </c>
      <c r="J186" s="339">
        <v>180783.23</v>
      </c>
      <c r="K186" s="338">
        <v>57170</v>
      </c>
      <c r="L186" s="339">
        <v>677517.4</v>
      </c>
      <c r="M186" s="3">
        <f t="shared" si="5"/>
        <v>6233345.120000001</v>
      </c>
      <c r="N186" s="14">
        <v>532120.35</v>
      </c>
      <c r="O186" s="14"/>
      <c r="P186" s="14">
        <v>243641.8</v>
      </c>
      <c r="Q186" s="14">
        <v>2470.46</v>
      </c>
      <c r="R186" s="14">
        <v>196420.35</v>
      </c>
      <c r="S186" s="2">
        <f t="shared" si="4"/>
        <v>7207998.0800000001</v>
      </c>
      <c r="T186" s="22">
        <v>59</v>
      </c>
      <c r="U186" s="14">
        <v>1153</v>
      </c>
      <c r="V186" s="14">
        <v>-34928.61</v>
      </c>
      <c r="W186" s="14"/>
      <c r="X186" s="14">
        <v>-589.27</v>
      </c>
      <c r="Y186" s="42">
        <v>1.5</v>
      </c>
    </row>
    <row r="187" spans="1:25" x14ac:dyDescent="0.25">
      <c r="A187" s="12">
        <v>5708</v>
      </c>
      <c r="B187" s="13" t="s">
        <v>230</v>
      </c>
      <c r="C187" s="338">
        <v>3369339.24</v>
      </c>
      <c r="D187" s="339">
        <v>400525.7</v>
      </c>
      <c r="E187" s="338">
        <v>0</v>
      </c>
      <c r="F187" s="338"/>
      <c r="G187" s="338">
        <v>19783.95</v>
      </c>
      <c r="H187" s="339">
        <v>10941.4</v>
      </c>
      <c r="I187" s="338">
        <v>33137.800000000003</v>
      </c>
      <c r="J187" s="339">
        <v>-51771.15</v>
      </c>
      <c r="K187" s="338">
        <v>15109.5</v>
      </c>
      <c r="L187" s="339">
        <v>371380.3</v>
      </c>
      <c r="M187" s="3">
        <f t="shared" si="5"/>
        <v>4168446.74</v>
      </c>
      <c r="N187" s="14">
        <v>1162.3499999999999</v>
      </c>
      <c r="O187" s="14"/>
      <c r="P187" s="14">
        <v>193672.65</v>
      </c>
      <c r="Q187" s="14">
        <v>3388.34</v>
      </c>
      <c r="R187" s="14">
        <v>92457</v>
      </c>
      <c r="S187" s="2">
        <f t="shared" si="4"/>
        <v>4459127.08</v>
      </c>
      <c r="T187" s="22">
        <v>61</v>
      </c>
      <c r="U187" s="14">
        <v>850</v>
      </c>
      <c r="V187" s="14">
        <v>-16731.75</v>
      </c>
      <c r="W187" s="14"/>
      <c r="X187" s="14">
        <v>-555.69000000000005</v>
      </c>
      <c r="Y187" s="42">
        <v>1.5</v>
      </c>
    </row>
    <row r="188" spans="1:25" x14ac:dyDescent="0.25">
      <c r="A188" s="12">
        <v>5709</v>
      </c>
      <c r="B188" s="13" t="s">
        <v>231</v>
      </c>
      <c r="C188" s="338">
        <v>3805451.99</v>
      </c>
      <c r="D188" s="339">
        <v>1886685.72</v>
      </c>
      <c r="E188" s="338">
        <v>0</v>
      </c>
      <c r="F188" s="338"/>
      <c r="G188" s="338">
        <v>29977.599999999999</v>
      </c>
      <c r="H188" s="339">
        <v>992471.55</v>
      </c>
      <c r="I188" s="338">
        <v>199591.6</v>
      </c>
      <c r="J188" s="339">
        <v>151909.82</v>
      </c>
      <c r="K188" s="338">
        <v>2004.5</v>
      </c>
      <c r="L188" s="339">
        <v>349357.7</v>
      </c>
      <c r="M188" s="3">
        <f t="shared" si="5"/>
        <v>7417450.4799999995</v>
      </c>
      <c r="N188" s="14">
        <v>25524.7</v>
      </c>
      <c r="O188" s="14">
        <v>307438.8</v>
      </c>
      <c r="P188" s="14">
        <v>1071483.5</v>
      </c>
      <c r="Q188" s="14"/>
      <c r="R188" s="14">
        <v>219.65</v>
      </c>
      <c r="S188" s="2">
        <f t="shared" si="4"/>
        <v>8822117.1300000008</v>
      </c>
      <c r="T188" s="22">
        <v>52</v>
      </c>
      <c r="U188" s="14">
        <v>1222</v>
      </c>
      <c r="V188" s="14">
        <v>-48437.61</v>
      </c>
      <c r="W188" s="14"/>
      <c r="X188" s="14">
        <v>-1598.55</v>
      </c>
      <c r="Y188" s="42">
        <v>1</v>
      </c>
    </row>
    <row r="189" spans="1:25" x14ac:dyDescent="0.25">
      <c r="A189" s="12">
        <v>5710</v>
      </c>
      <c r="B189" s="13" t="s">
        <v>232</v>
      </c>
      <c r="C189" s="338">
        <v>1124760.02</v>
      </c>
      <c r="D189" s="339">
        <v>204380.65</v>
      </c>
      <c r="E189" s="338">
        <v>0</v>
      </c>
      <c r="F189" s="338"/>
      <c r="G189" s="338">
        <v>862809.55</v>
      </c>
      <c r="H189" s="339">
        <v>983937.2</v>
      </c>
      <c r="I189" s="338">
        <v>133369.45000000001</v>
      </c>
      <c r="J189" s="339">
        <v>-244309.86</v>
      </c>
      <c r="K189" s="338">
        <v>5222.7</v>
      </c>
      <c r="L189" s="339">
        <v>113984.7</v>
      </c>
      <c r="M189" s="3">
        <f t="shared" si="5"/>
        <v>3184154.4100000006</v>
      </c>
      <c r="N189" s="14">
        <v>28126.3</v>
      </c>
      <c r="O189" s="14"/>
      <c r="P189" s="14">
        <v>61590.7</v>
      </c>
      <c r="Q189" s="14">
        <v>4608.95</v>
      </c>
      <c r="R189" s="14">
        <v>30537.5</v>
      </c>
      <c r="S189" s="2">
        <f t="shared" si="4"/>
        <v>3309017.8600000008</v>
      </c>
      <c r="T189" s="22">
        <v>41</v>
      </c>
      <c r="U189" s="14">
        <v>490</v>
      </c>
      <c r="V189" s="14">
        <v>-5599.43</v>
      </c>
      <c r="W189" s="14"/>
      <c r="X189" s="14">
        <v>-4741.79</v>
      </c>
      <c r="Y189" s="42">
        <v>1</v>
      </c>
    </row>
    <row r="190" spans="1:25" x14ac:dyDescent="0.25">
      <c r="A190" s="12">
        <v>5711</v>
      </c>
      <c r="B190" s="13" t="s">
        <v>233</v>
      </c>
      <c r="C190" s="338">
        <v>11353722.9</v>
      </c>
      <c r="D190" s="339">
        <v>1591052.53</v>
      </c>
      <c r="E190" s="338">
        <v>0</v>
      </c>
      <c r="F190" s="338"/>
      <c r="G190" s="338">
        <v>55862.55</v>
      </c>
      <c r="H190" s="339">
        <v>1766.4</v>
      </c>
      <c r="I190" s="338">
        <v>195836.45</v>
      </c>
      <c r="J190" s="339">
        <v>243744.22</v>
      </c>
      <c r="K190" s="338">
        <v>15835</v>
      </c>
      <c r="L190" s="339">
        <v>1043705.7</v>
      </c>
      <c r="M190" s="3">
        <f t="shared" si="5"/>
        <v>14501525.75</v>
      </c>
      <c r="N190" s="14">
        <v>30020.2</v>
      </c>
      <c r="O190" s="14">
        <v>59637</v>
      </c>
      <c r="P190" s="14">
        <v>538024.4</v>
      </c>
      <c r="Q190" s="14">
        <v>16310.84</v>
      </c>
      <c r="R190" s="14">
        <v>602661.5</v>
      </c>
      <c r="S190" s="2">
        <f t="shared" si="4"/>
        <v>15748179.689999999</v>
      </c>
      <c r="T190" s="22">
        <v>57</v>
      </c>
      <c r="U190" s="14">
        <v>2561</v>
      </c>
      <c r="V190" s="14">
        <v>-26042.27</v>
      </c>
      <c r="W190" s="14"/>
      <c r="X190" s="14">
        <v>-22496.41</v>
      </c>
      <c r="Y190" s="42">
        <v>1.3</v>
      </c>
    </row>
    <row r="191" spans="1:25" x14ac:dyDescent="0.25">
      <c r="A191" s="12">
        <v>5712</v>
      </c>
      <c r="B191" s="13" t="s">
        <v>234</v>
      </c>
      <c r="C191" s="338">
        <v>11594684.57</v>
      </c>
      <c r="D191" s="339">
        <v>2519832.73</v>
      </c>
      <c r="E191" s="338">
        <v>0</v>
      </c>
      <c r="F191" s="338"/>
      <c r="G191" s="338">
        <v>173956.85</v>
      </c>
      <c r="H191" s="339">
        <v>11996.6</v>
      </c>
      <c r="I191" s="338">
        <v>1339561.8400000001</v>
      </c>
      <c r="J191" s="339">
        <v>176292.23</v>
      </c>
      <c r="K191" s="338">
        <v>23166</v>
      </c>
      <c r="L191" s="339">
        <v>1551243.7</v>
      </c>
      <c r="M191" s="3">
        <f t="shared" si="5"/>
        <v>17390734.52</v>
      </c>
      <c r="N191" s="14">
        <v>139072.15</v>
      </c>
      <c r="O191" s="14">
        <v>633858</v>
      </c>
      <c r="P191" s="14">
        <v>945393.65</v>
      </c>
      <c r="Q191" s="14">
        <v>5853.2</v>
      </c>
      <c r="R191" s="14">
        <v>872124.45</v>
      </c>
      <c r="S191" s="2">
        <f t="shared" si="4"/>
        <v>19987035.969999995</v>
      </c>
      <c r="T191" s="22">
        <v>53</v>
      </c>
      <c r="U191" s="14">
        <v>2942</v>
      </c>
      <c r="V191" s="14">
        <v>-78327.7</v>
      </c>
      <c r="W191" s="14"/>
      <c r="X191" s="14">
        <v>-7234.7</v>
      </c>
      <c r="Y191" s="42">
        <v>1.5</v>
      </c>
    </row>
    <row r="192" spans="1:25" x14ac:dyDescent="0.25">
      <c r="A192" s="12">
        <v>5713</v>
      </c>
      <c r="B192" s="13" t="s">
        <v>235</v>
      </c>
      <c r="C192" s="338">
        <v>7681748.8499999996</v>
      </c>
      <c r="D192" s="339">
        <v>3274344.06</v>
      </c>
      <c r="E192" s="338">
        <v>0</v>
      </c>
      <c r="F192" s="338"/>
      <c r="G192" s="338">
        <v>73438.149999999994</v>
      </c>
      <c r="H192" s="339">
        <v>3600.8</v>
      </c>
      <c r="I192" s="338">
        <v>437323.1</v>
      </c>
      <c r="J192" s="339">
        <v>-53695.87</v>
      </c>
      <c r="K192" s="338">
        <v>9692</v>
      </c>
      <c r="L192" s="339">
        <v>758396.55</v>
      </c>
      <c r="M192" s="3">
        <f t="shared" si="5"/>
        <v>12184847.640000002</v>
      </c>
      <c r="N192" s="14">
        <v>31755.65</v>
      </c>
      <c r="O192" s="14">
        <v>874993.8</v>
      </c>
      <c r="P192" s="14">
        <v>424892.25</v>
      </c>
      <c r="Q192" s="14">
        <v>13579.85</v>
      </c>
      <c r="R192" s="14">
        <v>260627</v>
      </c>
      <c r="S192" s="2">
        <f t="shared" si="4"/>
        <v>13790696.190000003</v>
      </c>
      <c r="T192" s="22">
        <v>53</v>
      </c>
      <c r="U192" s="14">
        <v>2059</v>
      </c>
      <c r="V192" s="14">
        <v>-41586.51</v>
      </c>
      <c r="W192" s="14"/>
      <c r="X192" s="14">
        <v>-4697.42</v>
      </c>
      <c r="Y192" s="42">
        <v>1</v>
      </c>
    </row>
    <row r="193" spans="1:25" x14ac:dyDescent="0.25">
      <c r="A193" s="12">
        <v>5714</v>
      </c>
      <c r="B193" s="13" t="s">
        <v>236</v>
      </c>
      <c r="C193" s="338">
        <v>4135669.69</v>
      </c>
      <c r="D193" s="339">
        <v>635506.75</v>
      </c>
      <c r="E193" s="338">
        <v>0</v>
      </c>
      <c r="F193" s="338"/>
      <c r="G193" s="338">
        <v>155690.04999999999</v>
      </c>
      <c r="H193" s="339">
        <v>801.35</v>
      </c>
      <c r="I193" s="338">
        <v>27083.03</v>
      </c>
      <c r="J193" s="339">
        <v>63684.26</v>
      </c>
      <c r="K193" s="338">
        <v>4902.5</v>
      </c>
      <c r="L193" s="339">
        <v>270131.65000000002</v>
      </c>
      <c r="M193" s="3">
        <f t="shared" si="5"/>
        <v>5293469.2799999993</v>
      </c>
      <c r="N193" s="14">
        <v>77119.850000000006</v>
      </c>
      <c r="O193" s="14">
        <v>117013.2</v>
      </c>
      <c r="P193" s="14">
        <v>64350</v>
      </c>
      <c r="Q193" s="14">
        <v>6009.36</v>
      </c>
      <c r="R193" s="14">
        <v>106155.45</v>
      </c>
      <c r="S193" s="2">
        <f t="shared" si="4"/>
        <v>5664117.1399999997</v>
      </c>
      <c r="T193" s="22">
        <v>64</v>
      </c>
      <c r="U193" s="14">
        <v>1172</v>
      </c>
      <c r="V193" s="14">
        <v>-23134.2</v>
      </c>
      <c r="W193" s="14"/>
      <c r="X193" s="14">
        <v>-968.94</v>
      </c>
      <c r="Y193" s="42">
        <v>1</v>
      </c>
    </row>
    <row r="194" spans="1:25" x14ac:dyDescent="0.25">
      <c r="A194" s="12">
        <v>5715</v>
      </c>
      <c r="B194" s="13" t="s">
        <v>237</v>
      </c>
      <c r="C194" s="338">
        <v>3414207.84</v>
      </c>
      <c r="D194" s="339">
        <v>451239.89</v>
      </c>
      <c r="E194" s="338">
        <v>0</v>
      </c>
      <c r="F194" s="338"/>
      <c r="G194" s="338">
        <v>76527</v>
      </c>
      <c r="H194" s="339">
        <v>488.55</v>
      </c>
      <c r="I194" s="338">
        <v>63690.75</v>
      </c>
      <c r="J194" s="339">
        <v>-34143.61</v>
      </c>
      <c r="K194" s="338">
        <v>4233.5</v>
      </c>
      <c r="L194" s="339">
        <v>243632.6</v>
      </c>
      <c r="M194" s="3">
        <f t="shared" si="5"/>
        <v>4219876.5199999996</v>
      </c>
      <c r="N194" s="14">
        <v>37959.25</v>
      </c>
      <c r="O194" s="14">
        <v>5741.5</v>
      </c>
      <c r="P194" s="14">
        <v>194075.05</v>
      </c>
      <c r="Q194" s="14">
        <v>23796.76</v>
      </c>
      <c r="R194" s="14">
        <v>172267.4</v>
      </c>
      <c r="S194" s="2">
        <f t="shared" si="4"/>
        <v>4653716.4799999995</v>
      </c>
      <c r="T194" s="22">
        <v>66</v>
      </c>
      <c r="U194" s="14">
        <v>1039</v>
      </c>
      <c r="V194" s="14">
        <v>-11583.02</v>
      </c>
      <c r="W194" s="14"/>
      <c r="X194" s="14">
        <v>-674.96</v>
      </c>
      <c r="Y194" s="42">
        <v>1</v>
      </c>
    </row>
    <row r="195" spans="1:25" x14ac:dyDescent="0.25">
      <c r="A195" s="12">
        <v>5716</v>
      </c>
      <c r="B195" s="13" t="s">
        <v>238</v>
      </c>
      <c r="C195" s="338">
        <v>2843370.42</v>
      </c>
      <c r="D195" s="339">
        <v>256567.78</v>
      </c>
      <c r="E195" s="338">
        <v>0</v>
      </c>
      <c r="F195" s="338"/>
      <c r="G195" s="338">
        <v>1632818</v>
      </c>
      <c r="H195" s="339">
        <v>109016.3</v>
      </c>
      <c r="I195" s="338">
        <v>24162</v>
      </c>
      <c r="J195" s="339">
        <v>222138.84</v>
      </c>
      <c r="K195" s="338">
        <v>120810</v>
      </c>
      <c r="L195" s="339">
        <v>574590.80000000005</v>
      </c>
      <c r="M195" s="3">
        <f t="shared" ref="M195:M256" si="6">SUM(C195:L195)</f>
        <v>5783474.1399999987</v>
      </c>
      <c r="N195" s="14">
        <v>454385.3</v>
      </c>
      <c r="O195" s="14">
        <v>11053.6</v>
      </c>
      <c r="P195" s="14">
        <v>886060.15</v>
      </c>
      <c r="Q195" s="14">
        <v>3104.65</v>
      </c>
      <c r="R195" s="14">
        <v>338896.9</v>
      </c>
      <c r="S195" s="2">
        <f t="shared" si="4"/>
        <v>7476974.7399999993</v>
      </c>
      <c r="T195" s="22">
        <v>61</v>
      </c>
      <c r="U195" s="14">
        <v>1482</v>
      </c>
      <c r="V195" s="14">
        <v>-97506.29</v>
      </c>
      <c r="W195" s="14"/>
      <c r="X195" s="14">
        <v>-270.68</v>
      </c>
      <c r="Y195" s="42">
        <v>1</v>
      </c>
    </row>
    <row r="196" spans="1:25" x14ac:dyDescent="0.25">
      <c r="A196" s="12">
        <v>5717</v>
      </c>
      <c r="B196" s="13" t="s">
        <v>239</v>
      </c>
      <c r="C196" s="338">
        <v>14544730.24</v>
      </c>
      <c r="D196" s="339">
        <v>3404056</v>
      </c>
      <c r="E196" s="338">
        <v>0</v>
      </c>
      <c r="F196" s="338"/>
      <c r="G196" s="338">
        <v>219439.75</v>
      </c>
      <c r="H196" s="339">
        <v>8456.7999999999993</v>
      </c>
      <c r="I196" s="338">
        <v>975959.76</v>
      </c>
      <c r="J196" s="339">
        <v>182455.58</v>
      </c>
      <c r="K196" s="338">
        <v>43071</v>
      </c>
      <c r="L196" s="339">
        <v>1191666.8</v>
      </c>
      <c r="M196" s="3">
        <f t="shared" si="6"/>
        <v>20569835.930000003</v>
      </c>
      <c r="N196" s="14">
        <v>168707.25</v>
      </c>
      <c r="O196" s="14">
        <v>18986.7</v>
      </c>
      <c r="P196" s="14">
        <v>898506.7</v>
      </c>
      <c r="Q196" s="14">
        <v>20057.400000000001</v>
      </c>
      <c r="R196" s="14">
        <v>598659.85</v>
      </c>
      <c r="S196" s="2">
        <f t="shared" si="4"/>
        <v>22274753.830000002</v>
      </c>
      <c r="T196" s="22">
        <v>57</v>
      </c>
      <c r="U196" s="14">
        <v>3410</v>
      </c>
      <c r="V196" s="14">
        <v>-41045.94</v>
      </c>
      <c r="W196" s="14">
        <v>-30987</v>
      </c>
      <c r="X196" s="14">
        <v>-15729.84</v>
      </c>
      <c r="Y196" s="42">
        <v>1</v>
      </c>
    </row>
    <row r="197" spans="1:25" x14ac:dyDescent="0.25">
      <c r="A197" s="12">
        <v>5718</v>
      </c>
      <c r="B197" s="13" t="s">
        <v>240</v>
      </c>
      <c r="C197" s="338">
        <v>8364899.4699999997</v>
      </c>
      <c r="D197" s="339">
        <v>1084793.1399999999</v>
      </c>
      <c r="E197" s="338">
        <v>0</v>
      </c>
      <c r="F197" s="338"/>
      <c r="G197" s="338">
        <v>243595.6</v>
      </c>
      <c r="H197" s="339">
        <v>13162.35</v>
      </c>
      <c r="I197" s="338">
        <v>165839.31</v>
      </c>
      <c r="J197" s="339">
        <v>210976.68</v>
      </c>
      <c r="K197" s="338">
        <v>31043</v>
      </c>
      <c r="L197" s="339">
        <v>590322.80000000005</v>
      </c>
      <c r="M197" s="3">
        <f t="shared" si="6"/>
        <v>10704632.35</v>
      </c>
      <c r="N197" s="14">
        <v>364037.8</v>
      </c>
      <c r="O197" s="14">
        <v>21500</v>
      </c>
      <c r="P197" s="14">
        <v>668482.35</v>
      </c>
      <c r="Q197" s="14">
        <v>34378.92</v>
      </c>
      <c r="R197" s="14">
        <v>372543.45</v>
      </c>
      <c r="S197" s="2">
        <f t="shared" si="4"/>
        <v>12165574.869999999</v>
      </c>
      <c r="T197" s="22">
        <v>55</v>
      </c>
      <c r="U197" s="14">
        <v>1895</v>
      </c>
      <c r="V197" s="14">
        <v>-34065.5</v>
      </c>
      <c r="W197" s="14"/>
      <c r="X197" s="14">
        <v>-4607.1899999999996</v>
      </c>
      <c r="Y197" s="42">
        <v>1</v>
      </c>
    </row>
    <row r="198" spans="1:25" x14ac:dyDescent="0.25">
      <c r="A198" s="12">
        <v>5719</v>
      </c>
      <c r="B198" s="13" t="s">
        <v>241</v>
      </c>
      <c r="C198" s="338">
        <v>3165150.98</v>
      </c>
      <c r="D198" s="339">
        <v>1198322.3999999999</v>
      </c>
      <c r="E198" s="338">
        <v>0</v>
      </c>
      <c r="F198" s="338"/>
      <c r="G198" s="338">
        <v>56364.4</v>
      </c>
      <c r="H198" s="339">
        <v>625.45000000000005</v>
      </c>
      <c r="I198" s="338">
        <v>248492.38</v>
      </c>
      <c r="J198" s="339">
        <v>108628.29</v>
      </c>
      <c r="K198" s="338">
        <v>8173.5</v>
      </c>
      <c r="L198" s="339">
        <v>217810.8</v>
      </c>
      <c r="M198" s="3">
        <f t="shared" si="6"/>
        <v>5003568.2</v>
      </c>
      <c r="N198" s="14">
        <v>68663.100000000006</v>
      </c>
      <c r="O198" s="14">
        <v>107738</v>
      </c>
      <c r="P198" s="14">
        <v>309026.15000000002</v>
      </c>
      <c r="Q198" s="14">
        <v>2872.2</v>
      </c>
      <c r="R198" s="14">
        <v>581533.05000000005</v>
      </c>
      <c r="S198" s="2">
        <f t="shared" si="4"/>
        <v>6073400.7000000002</v>
      </c>
      <c r="T198" s="22">
        <v>57</v>
      </c>
      <c r="U198" s="14">
        <v>1195</v>
      </c>
      <c r="V198" s="14">
        <v>-19354.22</v>
      </c>
      <c r="W198" s="14"/>
      <c r="X198" s="14">
        <v>-1625.82</v>
      </c>
      <c r="Y198" s="42">
        <v>0.6</v>
      </c>
    </row>
    <row r="199" spans="1:25" x14ac:dyDescent="0.25">
      <c r="A199" s="12">
        <v>5720</v>
      </c>
      <c r="B199" s="13" t="s">
        <v>242</v>
      </c>
      <c r="C199" s="338">
        <v>3153379.72</v>
      </c>
      <c r="D199" s="339">
        <v>527128.14</v>
      </c>
      <c r="E199" s="338">
        <v>0</v>
      </c>
      <c r="F199" s="338"/>
      <c r="G199" s="338">
        <v>117810.65</v>
      </c>
      <c r="H199" s="339">
        <v>4740.3999999999996</v>
      </c>
      <c r="I199" s="338">
        <v>326065.3</v>
      </c>
      <c r="J199" s="339">
        <v>117959.74</v>
      </c>
      <c r="K199" s="338"/>
      <c r="L199" s="339">
        <v>249943</v>
      </c>
      <c r="M199" s="3">
        <f t="shared" si="6"/>
        <v>4497026.95</v>
      </c>
      <c r="N199" s="14">
        <v>22318.35</v>
      </c>
      <c r="O199" s="14"/>
      <c r="P199" s="14">
        <v>250676.75</v>
      </c>
      <c r="Q199" s="14">
        <v>5224.17</v>
      </c>
      <c r="R199" s="14">
        <v>17331.400000000001</v>
      </c>
      <c r="S199" s="2">
        <f t="shared" ref="S199:S238" si="7">SUM(M199:R199)</f>
        <v>4792577.62</v>
      </c>
      <c r="T199" s="22">
        <v>61</v>
      </c>
      <c r="U199" s="14">
        <v>1000</v>
      </c>
      <c r="V199" s="14">
        <v>-35111.26</v>
      </c>
      <c r="W199" s="14"/>
      <c r="X199" s="14">
        <v>-3403.11</v>
      </c>
      <c r="Y199" s="42">
        <v>0.9</v>
      </c>
    </row>
    <row r="200" spans="1:25" x14ac:dyDescent="0.25">
      <c r="A200" s="12">
        <v>5721</v>
      </c>
      <c r="B200" s="13" t="s">
        <v>243</v>
      </c>
      <c r="C200" s="338">
        <v>22851806.219999999</v>
      </c>
      <c r="D200" s="339">
        <v>3417182.03</v>
      </c>
      <c r="E200" s="338">
        <v>0</v>
      </c>
      <c r="F200" s="338"/>
      <c r="G200" s="338">
        <v>2574520.4500000002</v>
      </c>
      <c r="H200" s="339">
        <v>338195.85</v>
      </c>
      <c r="I200" s="338">
        <v>874499.92</v>
      </c>
      <c r="J200" s="339">
        <v>1231617.8500000001</v>
      </c>
      <c r="K200" s="338">
        <v>368354.5</v>
      </c>
      <c r="L200" s="339">
        <v>2478518.9</v>
      </c>
      <c r="M200" s="3">
        <f t="shared" si="6"/>
        <v>34134695.720000006</v>
      </c>
      <c r="N200" s="14">
        <v>1972526.75</v>
      </c>
      <c r="O200" s="14">
        <v>92780.6</v>
      </c>
      <c r="P200" s="14">
        <v>1383509.4</v>
      </c>
      <c r="Q200" s="14">
        <v>107284.29</v>
      </c>
      <c r="R200" s="14">
        <f>-1179606.85+2160626</f>
        <v>981019.14999999991</v>
      </c>
      <c r="S200" s="2">
        <f t="shared" si="7"/>
        <v>38671815.910000004</v>
      </c>
      <c r="T200" s="22">
        <v>62.5</v>
      </c>
      <c r="U200" s="14">
        <v>12829</v>
      </c>
      <c r="V200" s="14">
        <v>-407988.22</v>
      </c>
      <c r="W200" s="14"/>
      <c r="X200" s="14">
        <v>-12174.17</v>
      </c>
      <c r="Y200" s="42">
        <v>1</v>
      </c>
    </row>
    <row r="201" spans="1:25" x14ac:dyDescent="0.25">
      <c r="A201" s="12">
        <v>5722</v>
      </c>
      <c r="B201" s="13" t="s">
        <v>244</v>
      </c>
      <c r="C201" s="338">
        <v>995930.09</v>
      </c>
      <c r="D201" s="339">
        <v>144636.29</v>
      </c>
      <c r="E201" s="338">
        <v>0</v>
      </c>
      <c r="F201" s="338"/>
      <c r="G201" s="338">
        <v>19727.75</v>
      </c>
      <c r="H201" s="339">
        <v>1879.6</v>
      </c>
      <c r="I201" s="338"/>
      <c r="J201" s="339">
        <v>36297.14</v>
      </c>
      <c r="K201" s="338">
        <v>-6555</v>
      </c>
      <c r="L201" s="339">
        <v>79478.399999999994</v>
      </c>
      <c r="M201" s="3">
        <f t="shared" si="6"/>
        <v>1271394.2699999998</v>
      </c>
      <c r="N201" s="14">
        <v>7421.2</v>
      </c>
      <c r="O201" s="14"/>
      <c r="P201" s="14">
        <v>308778.75</v>
      </c>
      <c r="Q201" s="14"/>
      <c r="R201" s="14">
        <v>63027.55</v>
      </c>
      <c r="S201" s="2">
        <f t="shared" si="7"/>
        <v>1650621.7699999998</v>
      </c>
      <c r="T201" s="22">
        <v>62</v>
      </c>
      <c r="U201" s="14">
        <v>377</v>
      </c>
      <c r="V201" s="14">
        <v>-126.18</v>
      </c>
      <c r="W201" s="14"/>
      <c r="X201" s="14">
        <v>-308.87</v>
      </c>
      <c r="Y201" s="42">
        <v>1</v>
      </c>
    </row>
    <row r="202" spans="1:25" x14ac:dyDescent="0.25">
      <c r="A202" s="12">
        <v>5723</v>
      </c>
      <c r="B202" s="13" t="s">
        <v>245</v>
      </c>
      <c r="C202" s="343">
        <v>22267536.07</v>
      </c>
      <c r="D202" s="341">
        <v>6341302.1600000001</v>
      </c>
      <c r="E202" s="338">
        <v>0</v>
      </c>
      <c r="F202" s="343"/>
      <c r="G202" s="343">
        <v>170005.65</v>
      </c>
      <c r="H202" s="341">
        <v>6827</v>
      </c>
      <c r="I202" s="343">
        <v>823292.43</v>
      </c>
      <c r="J202" s="341">
        <v>81012.95</v>
      </c>
      <c r="K202" s="343">
        <v>32016</v>
      </c>
      <c r="L202" s="341">
        <v>721205.9</v>
      </c>
      <c r="M202" s="3">
        <f t="shared" si="6"/>
        <v>30443198.159999996</v>
      </c>
      <c r="N202" s="14">
        <v>148394.4</v>
      </c>
      <c r="O202" s="14">
        <v>102650.4</v>
      </c>
      <c r="P202" s="14">
        <v>799458.9</v>
      </c>
      <c r="Q202" s="14">
        <v>41101.83</v>
      </c>
      <c r="R202" s="14">
        <v>922300.55</v>
      </c>
      <c r="S202" s="2">
        <f t="shared" si="7"/>
        <v>32457104.239999991</v>
      </c>
      <c r="T202" s="22">
        <v>49</v>
      </c>
      <c r="U202" s="14">
        <v>1791</v>
      </c>
      <c r="V202" s="14">
        <v>-13661.87</v>
      </c>
      <c r="W202" s="14"/>
      <c r="X202" s="14">
        <v>-14255.57</v>
      </c>
      <c r="Y202" s="42">
        <v>1</v>
      </c>
    </row>
    <row r="203" spans="1:25" x14ac:dyDescent="0.25">
      <c r="A203" s="12">
        <v>5724</v>
      </c>
      <c r="B203" s="13" t="s">
        <v>74</v>
      </c>
      <c r="C203" s="338">
        <v>49726880.939999998</v>
      </c>
      <c r="D203" s="339">
        <v>8094634.9199999999</v>
      </c>
      <c r="E203" s="338">
        <v>0</v>
      </c>
      <c r="F203" s="338"/>
      <c r="G203" s="338">
        <v>16614370.75</v>
      </c>
      <c r="H203" s="339">
        <v>1548731.3</v>
      </c>
      <c r="I203" s="338">
        <v>1942992.82</v>
      </c>
      <c r="J203" s="339">
        <v>3827768.36</v>
      </c>
      <c r="K203" s="338">
        <v>706050.5</v>
      </c>
      <c r="L203" s="339">
        <v>5983938</v>
      </c>
      <c r="M203" s="3">
        <f t="shared" si="6"/>
        <v>88445367.589999989</v>
      </c>
      <c r="N203" s="14">
        <v>4000000</v>
      </c>
      <c r="O203" s="14">
        <v>1668002</v>
      </c>
      <c r="P203" s="14">
        <v>3555979.25</v>
      </c>
      <c r="Q203" s="14">
        <v>251041.81</v>
      </c>
      <c r="R203" s="14">
        <v>3395873</v>
      </c>
      <c r="S203" s="2">
        <f t="shared" si="7"/>
        <v>101316263.64999999</v>
      </c>
      <c r="T203" s="22">
        <v>61</v>
      </c>
      <c r="U203" s="14">
        <v>20047</v>
      </c>
      <c r="V203" s="14">
        <v>-724451.93</v>
      </c>
      <c r="W203" s="14"/>
      <c r="X203" s="14">
        <v>-51850.48</v>
      </c>
      <c r="Y203" s="42">
        <v>1.3</v>
      </c>
    </row>
    <row r="204" spans="1:25" x14ac:dyDescent="0.25">
      <c r="A204" s="12">
        <v>5725</v>
      </c>
      <c r="B204" s="13" t="s">
        <v>75</v>
      </c>
      <c r="C204" s="338">
        <v>11306362.050000001</v>
      </c>
      <c r="D204" s="339">
        <v>3249671.38</v>
      </c>
      <c r="E204" s="338">
        <v>0</v>
      </c>
      <c r="F204" s="338"/>
      <c r="G204" s="338">
        <v>1184347.5</v>
      </c>
      <c r="H204" s="339">
        <v>12074.15</v>
      </c>
      <c r="I204" s="338">
        <v>654103.87</v>
      </c>
      <c r="J204" s="339">
        <v>453719.89</v>
      </c>
      <c r="K204" s="338">
        <v>53981</v>
      </c>
      <c r="L204" s="339">
        <v>1508244.4</v>
      </c>
      <c r="M204" s="3">
        <f t="shared" si="6"/>
        <v>18422504.239999998</v>
      </c>
      <c r="N204" s="14">
        <v>1232272.8999999999</v>
      </c>
      <c r="O204" s="14">
        <v>91222.5</v>
      </c>
      <c r="P204" s="14">
        <v>384390.25</v>
      </c>
      <c r="Q204" s="14">
        <v>4727.22</v>
      </c>
      <c r="R204" s="14">
        <v>451521.25</v>
      </c>
      <c r="S204" s="2">
        <f t="shared" si="7"/>
        <v>20586638.359999996</v>
      </c>
      <c r="T204" s="22">
        <v>56</v>
      </c>
      <c r="U204" s="14">
        <v>4011</v>
      </c>
      <c r="V204" s="14">
        <v>-50998.71</v>
      </c>
      <c r="W204" s="14"/>
      <c r="X204" s="14">
        <v>-34234.550000000003</v>
      </c>
      <c r="Y204" s="42">
        <v>1.4</v>
      </c>
    </row>
    <row r="205" spans="1:25" x14ac:dyDescent="0.25">
      <c r="A205" s="12">
        <v>5726</v>
      </c>
      <c r="B205" s="13" t="s">
        <v>325</v>
      </c>
      <c r="C205" s="338">
        <v>3029315.75</v>
      </c>
      <c r="D205" s="339">
        <v>672139.39</v>
      </c>
      <c r="E205" s="338">
        <v>0</v>
      </c>
      <c r="F205" s="338"/>
      <c r="G205" s="338">
        <v>34435.5</v>
      </c>
      <c r="H205" s="339">
        <v>39323.300000000003</v>
      </c>
      <c r="I205" s="338">
        <v>11455.45</v>
      </c>
      <c r="J205" s="339">
        <v>92128.98</v>
      </c>
      <c r="K205" s="338">
        <v>3647</v>
      </c>
      <c r="L205" s="339">
        <v>239452.79999999999</v>
      </c>
      <c r="M205" s="3">
        <f t="shared" si="6"/>
        <v>4121898.17</v>
      </c>
      <c r="N205" s="14">
        <v>22619.15</v>
      </c>
      <c r="O205" s="14">
        <v>20723.5</v>
      </c>
      <c r="P205" s="14">
        <v>96553.2</v>
      </c>
      <c r="Q205" s="14">
        <v>1016.2</v>
      </c>
      <c r="R205" s="14">
        <v>111017.7</v>
      </c>
      <c r="S205" s="2">
        <f t="shared" si="7"/>
        <v>4373827.92</v>
      </c>
      <c r="T205" s="22">
        <v>65</v>
      </c>
      <c r="U205" s="14">
        <v>1120</v>
      </c>
      <c r="V205" s="14">
        <v>-65367.01</v>
      </c>
      <c r="W205" s="14"/>
      <c r="X205" s="14">
        <v>-192.39</v>
      </c>
      <c r="Y205" s="42">
        <v>1</v>
      </c>
    </row>
    <row r="206" spans="1:25" x14ac:dyDescent="0.25">
      <c r="A206" s="12">
        <v>5727</v>
      </c>
      <c r="B206" s="13" t="s">
        <v>326</v>
      </c>
      <c r="C206" s="338">
        <v>4626755.4000000004</v>
      </c>
      <c r="D206" s="339">
        <v>720412.36</v>
      </c>
      <c r="E206" s="338">
        <v>0</v>
      </c>
      <c r="F206" s="338"/>
      <c r="G206" s="338">
        <v>100502.25</v>
      </c>
      <c r="H206" s="339">
        <v>17078.55</v>
      </c>
      <c r="I206" s="338">
        <v>125954.15</v>
      </c>
      <c r="J206" s="339">
        <v>246871.72</v>
      </c>
      <c r="K206" s="338">
        <v>7021.5</v>
      </c>
      <c r="L206" s="339">
        <v>698711.65</v>
      </c>
      <c r="M206" s="3">
        <f t="shared" si="6"/>
        <v>6543307.580000001</v>
      </c>
      <c r="N206" s="14">
        <v>142442.29999999999</v>
      </c>
      <c r="O206" s="14">
        <v>73962.2</v>
      </c>
      <c r="P206" s="14">
        <v>366864.1</v>
      </c>
      <c r="Q206" s="14">
        <v>48404.57</v>
      </c>
      <c r="R206" s="14">
        <v>203178.95</v>
      </c>
      <c r="S206" s="2">
        <f t="shared" si="7"/>
        <v>7378159.7000000011</v>
      </c>
      <c r="T206" s="22">
        <v>66</v>
      </c>
      <c r="U206" s="14">
        <v>2481</v>
      </c>
      <c r="V206" s="14">
        <v>-146049.70000000001</v>
      </c>
      <c r="W206" s="14"/>
      <c r="X206" s="14">
        <v>-441.26</v>
      </c>
      <c r="Y206" s="42">
        <v>1.5</v>
      </c>
    </row>
    <row r="207" spans="1:25" x14ac:dyDescent="0.25">
      <c r="A207" s="12">
        <v>5728</v>
      </c>
      <c r="B207" s="13" t="s">
        <v>327</v>
      </c>
      <c r="C207" s="338">
        <v>1299579.6499999999</v>
      </c>
      <c r="D207" s="339">
        <v>147473.96</v>
      </c>
      <c r="E207" s="338">
        <v>0</v>
      </c>
      <c r="F207" s="338"/>
      <c r="G207" s="338">
        <v>175115.25</v>
      </c>
      <c r="H207" s="339">
        <v>11243.15</v>
      </c>
      <c r="I207" s="338">
        <v>246.099999999999</v>
      </c>
      <c r="J207" s="339">
        <v>4448.92</v>
      </c>
      <c r="K207" s="338">
        <v>50269</v>
      </c>
      <c r="L207" s="339">
        <v>201233.3</v>
      </c>
      <c r="M207" s="3">
        <f t="shared" si="6"/>
        <v>1889609.3299999998</v>
      </c>
      <c r="N207" s="14">
        <v>231020.6</v>
      </c>
      <c r="O207" s="14"/>
      <c r="P207" s="14">
        <v>230393.75</v>
      </c>
      <c r="Q207" s="14">
        <v>9785.91</v>
      </c>
      <c r="R207" s="14">
        <v>85296.1</v>
      </c>
      <c r="S207" s="2">
        <f t="shared" si="7"/>
        <v>2446105.69</v>
      </c>
      <c r="T207" s="22">
        <v>56</v>
      </c>
      <c r="U207" s="14">
        <v>516</v>
      </c>
      <c r="V207" s="14">
        <v>-15954.12</v>
      </c>
      <c r="W207" s="14">
        <v>-4676.3500000000004</v>
      </c>
      <c r="X207" s="14">
        <v>-98.4</v>
      </c>
      <c r="Y207" s="42">
        <v>1</v>
      </c>
    </row>
    <row r="208" spans="1:25" x14ac:dyDescent="0.25">
      <c r="A208" s="12">
        <v>5729</v>
      </c>
      <c r="B208" s="13" t="s">
        <v>328</v>
      </c>
      <c r="C208" s="338">
        <v>6527407.3099999996</v>
      </c>
      <c r="D208" s="339">
        <v>1230409.17</v>
      </c>
      <c r="E208" s="338">
        <v>0</v>
      </c>
      <c r="F208" s="338"/>
      <c r="G208" s="338">
        <v>366921.7</v>
      </c>
      <c r="H208" s="339">
        <v>-2660.25</v>
      </c>
      <c r="I208" s="338">
        <v>69981.8</v>
      </c>
      <c r="J208" s="339">
        <v>-58110.6</v>
      </c>
      <c r="K208" s="338">
        <v>4459</v>
      </c>
      <c r="L208" s="339">
        <v>778219.9</v>
      </c>
      <c r="M208" s="3">
        <f t="shared" si="6"/>
        <v>8916628.0299999993</v>
      </c>
      <c r="N208" s="14">
        <v>16008.55</v>
      </c>
      <c r="O208" s="14">
        <v>19364.3</v>
      </c>
      <c r="P208" s="14">
        <v>237996</v>
      </c>
      <c r="Q208" s="14">
        <v>4188.88</v>
      </c>
      <c r="R208" s="14">
        <v>158764.79999999999</v>
      </c>
      <c r="S208" s="2">
        <f t="shared" si="7"/>
        <v>9352950.5600000024</v>
      </c>
      <c r="T208" s="22">
        <v>61</v>
      </c>
      <c r="U208" s="14">
        <v>1430</v>
      </c>
      <c r="V208" s="14">
        <v>-5601.86</v>
      </c>
      <c r="W208" s="14"/>
      <c r="X208" s="14">
        <v>-16032.15</v>
      </c>
      <c r="Y208" s="42">
        <v>1.5</v>
      </c>
    </row>
    <row r="209" spans="1:25" x14ac:dyDescent="0.25">
      <c r="A209" s="12">
        <v>5730</v>
      </c>
      <c r="B209" s="13" t="s">
        <v>329</v>
      </c>
      <c r="C209" s="338">
        <v>4955473.6399999997</v>
      </c>
      <c r="D209" s="339">
        <v>1617089.77</v>
      </c>
      <c r="E209" s="338">
        <v>0</v>
      </c>
      <c r="F209" s="338"/>
      <c r="G209" s="338">
        <v>55487.1</v>
      </c>
      <c r="H209" s="339">
        <v>1812.7</v>
      </c>
      <c r="I209" s="338">
        <v>29655.599999999999</v>
      </c>
      <c r="J209" s="339">
        <v>24458.48</v>
      </c>
      <c r="K209" s="338">
        <v>3981</v>
      </c>
      <c r="L209" s="339">
        <v>408338</v>
      </c>
      <c r="M209" s="3">
        <f t="shared" si="6"/>
        <v>7096296.29</v>
      </c>
      <c r="N209" s="14">
        <v>8092.75</v>
      </c>
      <c r="O209" s="14">
        <v>26536.400000000001</v>
      </c>
      <c r="P209" s="14">
        <v>193358.5</v>
      </c>
      <c r="Q209" s="14">
        <v>3392.65</v>
      </c>
      <c r="R209" s="14">
        <v>115088.05</v>
      </c>
      <c r="S209" s="2">
        <f t="shared" si="7"/>
        <v>7442764.6400000006</v>
      </c>
      <c r="T209" s="22">
        <v>57</v>
      </c>
      <c r="U209" s="14">
        <v>1414</v>
      </c>
      <c r="V209" s="14">
        <v>-6144.12</v>
      </c>
      <c r="W209" s="14"/>
      <c r="X209" s="14">
        <v>-4374.75</v>
      </c>
      <c r="Y209" s="42">
        <v>0.9</v>
      </c>
    </row>
    <row r="210" spans="1:25" x14ac:dyDescent="0.25">
      <c r="A210" s="12">
        <v>5731</v>
      </c>
      <c r="B210" s="13" t="s">
        <v>330</v>
      </c>
      <c r="C210" s="338">
        <v>2952253.75</v>
      </c>
      <c r="D210" s="339">
        <v>378377</v>
      </c>
      <c r="E210" s="338">
        <v>0</v>
      </c>
      <c r="F210" s="338"/>
      <c r="G210" s="338">
        <v>24432.2</v>
      </c>
      <c r="H210" s="339">
        <v>498.45</v>
      </c>
      <c r="I210" s="338">
        <v>-72618.7</v>
      </c>
      <c r="J210" s="339">
        <v>25184.13</v>
      </c>
      <c r="K210" s="338">
        <v>4294.5</v>
      </c>
      <c r="L210" s="339">
        <v>354284.1</v>
      </c>
      <c r="M210" s="3">
        <f t="shared" si="6"/>
        <v>3666705.43</v>
      </c>
      <c r="N210" s="14">
        <v>24199.599999999999</v>
      </c>
      <c r="O210" s="14"/>
      <c r="P210" s="14">
        <v>166043.1</v>
      </c>
      <c r="Q210" s="14">
        <v>27489.59</v>
      </c>
      <c r="R210" s="14">
        <v>99206.7</v>
      </c>
      <c r="S210" s="2">
        <f t="shared" si="7"/>
        <v>3983644.4200000004</v>
      </c>
      <c r="T210" s="22">
        <v>75</v>
      </c>
      <c r="U210" s="14">
        <v>1260</v>
      </c>
      <c r="V210" s="14">
        <v>-30975.64</v>
      </c>
      <c r="W210" s="14"/>
      <c r="X210" s="14">
        <v>-101.62</v>
      </c>
      <c r="Y210" s="42">
        <v>1.5</v>
      </c>
    </row>
    <row r="211" spans="1:25" x14ac:dyDescent="0.25">
      <c r="A211" s="12">
        <v>5732</v>
      </c>
      <c r="B211" s="13" t="s">
        <v>331</v>
      </c>
      <c r="C211" s="338">
        <v>3254748.96</v>
      </c>
      <c r="D211" s="339">
        <v>481098.96</v>
      </c>
      <c r="E211" s="338">
        <v>0</v>
      </c>
      <c r="F211" s="338"/>
      <c r="G211" s="338">
        <v>1183212.3</v>
      </c>
      <c r="H211" s="339">
        <v>-8443.4500000000007</v>
      </c>
      <c r="I211" s="338">
        <v>43199.25</v>
      </c>
      <c r="J211" s="339">
        <v>71077.39</v>
      </c>
      <c r="K211" s="338">
        <v>-61349.5</v>
      </c>
      <c r="L211" s="339">
        <v>257836.7</v>
      </c>
      <c r="M211" s="3">
        <f t="shared" si="6"/>
        <v>5221380.6099999994</v>
      </c>
      <c r="N211" s="14">
        <v>95066.75</v>
      </c>
      <c r="O211" s="14"/>
      <c r="P211" s="14">
        <v>268211.55</v>
      </c>
      <c r="Q211" s="14">
        <v>2145</v>
      </c>
      <c r="R211" s="14">
        <v>25058.25</v>
      </c>
      <c r="S211" s="2">
        <f t="shared" si="7"/>
        <v>5611862.1599999992</v>
      </c>
      <c r="T211" s="22">
        <v>68</v>
      </c>
      <c r="U211" s="14">
        <v>958</v>
      </c>
      <c r="V211" s="14">
        <v>-31183.13</v>
      </c>
      <c r="W211" s="14"/>
      <c r="X211" s="14">
        <v>-962.84</v>
      </c>
      <c r="Y211" s="42">
        <v>1</v>
      </c>
    </row>
    <row r="212" spans="1:25" x14ac:dyDescent="0.25">
      <c r="A212" s="12">
        <v>5741</v>
      </c>
      <c r="B212" s="13" t="s">
        <v>332</v>
      </c>
      <c r="C212" s="338">
        <v>435442.39</v>
      </c>
      <c r="D212" s="339">
        <v>57209.52</v>
      </c>
      <c r="E212" s="338">
        <v>0</v>
      </c>
      <c r="F212" s="338">
        <v>1380</v>
      </c>
      <c r="G212" s="338">
        <v>8636.6</v>
      </c>
      <c r="H212" s="339">
        <v>65.05</v>
      </c>
      <c r="I212" s="338"/>
      <c r="J212" s="339">
        <v>2142.16</v>
      </c>
      <c r="K212" s="338"/>
      <c r="L212" s="339">
        <v>41629.85</v>
      </c>
      <c r="M212" s="3">
        <f t="shared" si="6"/>
        <v>546505.56999999995</v>
      </c>
      <c r="N212" s="14">
        <v>10260.85</v>
      </c>
      <c r="O212" s="14">
        <v>9.6999999999999993</v>
      </c>
      <c r="P212" s="14">
        <v>20108</v>
      </c>
      <c r="Q212" s="14"/>
      <c r="R212" s="14">
        <v>12618.6</v>
      </c>
      <c r="S212" s="2">
        <f t="shared" si="7"/>
        <v>589502.71999999986</v>
      </c>
      <c r="T212" s="22">
        <v>81</v>
      </c>
      <c r="U212" s="14">
        <v>240</v>
      </c>
      <c r="V212" s="14">
        <v>-15135.89</v>
      </c>
      <c r="W212" s="14"/>
      <c r="X212" s="14">
        <v>-6.14</v>
      </c>
      <c r="Y212" s="42">
        <v>1.2</v>
      </c>
    </row>
    <row r="213" spans="1:25" x14ac:dyDescent="0.25">
      <c r="A213" s="12">
        <v>5742</v>
      </c>
      <c r="B213" s="13" t="s">
        <v>333</v>
      </c>
      <c r="C213" s="338">
        <v>551366.07999999996</v>
      </c>
      <c r="D213" s="339">
        <v>45524.02</v>
      </c>
      <c r="E213" s="338">
        <v>0</v>
      </c>
      <c r="F213" s="338"/>
      <c r="G213" s="338">
        <v>10251.25</v>
      </c>
      <c r="H213" s="339">
        <v>212.75</v>
      </c>
      <c r="I213" s="338"/>
      <c r="J213" s="339">
        <v>-12609.61</v>
      </c>
      <c r="K213" s="338">
        <v>798</v>
      </c>
      <c r="L213" s="339">
        <v>23403.3</v>
      </c>
      <c r="M213" s="3">
        <f t="shared" si="6"/>
        <v>618945.79</v>
      </c>
      <c r="N213" s="14"/>
      <c r="O213" s="14">
        <v>9503.4</v>
      </c>
      <c r="P213" s="14">
        <v>40601.550000000003</v>
      </c>
      <c r="Q213" s="14"/>
      <c r="R213" s="14">
        <v>46148.800000000003</v>
      </c>
      <c r="S213" s="2">
        <f t="shared" si="7"/>
        <v>715199.54000000015</v>
      </c>
      <c r="T213" s="22">
        <v>76</v>
      </c>
      <c r="U213" s="14">
        <v>293</v>
      </c>
      <c r="V213" s="14">
        <v>-3484.55</v>
      </c>
      <c r="W213" s="14"/>
      <c r="X213" s="14">
        <v>-6.86</v>
      </c>
      <c r="Y213" s="42">
        <v>0.5</v>
      </c>
    </row>
    <row r="214" spans="1:25" x14ac:dyDescent="0.25">
      <c r="A214" s="12">
        <v>5743</v>
      </c>
      <c r="B214" s="13" t="s">
        <v>270</v>
      </c>
      <c r="C214" s="338">
        <v>948302.16</v>
      </c>
      <c r="D214" s="339">
        <v>119328.12</v>
      </c>
      <c r="E214" s="338">
        <v>0</v>
      </c>
      <c r="F214" s="338">
        <v>3390</v>
      </c>
      <c r="G214" s="338">
        <v>13937.95</v>
      </c>
      <c r="H214" s="339">
        <v>431.6</v>
      </c>
      <c r="I214" s="338"/>
      <c r="J214" s="339">
        <v>24998.799999999999</v>
      </c>
      <c r="K214" s="338"/>
      <c r="L214" s="339">
        <v>58957.7</v>
      </c>
      <c r="M214" s="3">
        <f t="shared" si="6"/>
        <v>1169346.33</v>
      </c>
      <c r="N214" s="14">
        <v>27032.1</v>
      </c>
      <c r="O214" s="14">
        <v>13738.9</v>
      </c>
      <c r="P214" s="14">
        <v>6716.6</v>
      </c>
      <c r="Q214" s="14">
        <v>2167.3000000000002</v>
      </c>
      <c r="R214" s="14">
        <v>8504.6</v>
      </c>
      <c r="S214" s="2">
        <f t="shared" si="7"/>
        <v>1227505.8300000003</v>
      </c>
      <c r="T214" s="22">
        <v>73</v>
      </c>
      <c r="U214" s="14">
        <v>632</v>
      </c>
      <c r="V214" s="14">
        <v>-6633.2</v>
      </c>
      <c r="W214" s="14"/>
      <c r="X214" s="14">
        <v>-136.16</v>
      </c>
      <c r="Y214" s="42">
        <v>0.8</v>
      </c>
    </row>
    <row r="215" spans="1:25" x14ac:dyDescent="0.25">
      <c r="A215" s="12">
        <v>5744</v>
      </c>
      <c r="B215" s="13" t="s">
        <v>271</v>
      </c>
      <c r="C215" s="338">
        <v>1269966.82</v>
      </c>
      <c r="D215" s="339">
        <v>199052.47</v>
      </c>
      <c r="E215" s="338">
        <v>0</v>
      </c>
      <c r="F215" s="338">
        <v>6090</v>
      </c>
      <c r="G215" s="338">
        <v>2605484.1</v>
      </c>
      <c r="H215" s="339">
        <v>216519.55</v>
      </c>
      <c r="I215" s="338"/>
      <c r="J215" s="339">
        <v>66215.399999999994</v>
      </c>
      <c r="K215" s="338"/>
      <c r="L215" s="339">
        <v>151494.04999999999</v>
      </c>
      <c r="M215" s="3">
        <f t="shared" si="6"/>
        <v>4514822.3900000006</v>
      </c>
      <c r="N215" s="14">
        <v>1408983.5</v>
      </c>
      <c r="O215" s="14">
        <v>31511.200000000001</v>
      </c>
      <c r="P215" s="14">
        <v>68458.149999999994</v>
      </c>
      <c r="Q215" s="14">
        <v>4375.12</v>
      </c>
      <c r="R215" s="14">
        <v>14109.55</v>
      </c>
      <c r="S215" s="2">
        <f t="shared" si="7"/>
        <v>6042259.9100000011</v>
      </c>
      <c r="T215" s="22">
        <v>66</v>
      </c>
      <c r="U215" s="14">
        <v>1101</v>
      </c>
      <c r="V215" s="14">
        <v>-38314.26</v>
      </c>
      <c r="W215" s="14"/>
      <c r="X215" s="14">
        <v>-1014.44</v>
      </c>
      <c r="Y215" s="42">
        <v>1</v>
      </c>
    </row>
    <row r="216" spans="1:25" x14ac:dyDescent="0.25">
      <c r="A216" s="12">
        <v>5745</v>
      </c>
      <c r="B216" s="13" t="s">
        <v>272</v>
      </c>
      <c r="C216" s="338">
        <v>1632655.78</v>
      </c>
      <c r="D216" s="339">
        <v>202461.98</v>
      </c>
      <c r="E216" s="338">
        <v>0</v>
      </c>
      <c r="F216" s="338"/>
      <c r="G216" s="338">
        <v>137614</v>
      </c>
      <c r="H216" s="339">
        <v>824.05</v>
      </c>
      <c r="I216" s="338"/>
      <c r="J216" s="339">
        <v>22501.74</v>
      </c>
      <c r="K216" s="338"/>
      <c r="L216" s="339">
        <v>121829.3</v>
      </c>
      <c r="M216" s="3">
        <f t="shared" si="6"/>
        <v>2117886.85</v>
      </c>
      <c r="N216" s="14">
        <v>182094.5</v>
      </c>
      <c r="O216" s="14"/>
      <c r="P216" s="14">
        <v>22160.6</v>
      </c>
      <c r="Q216" s="14">
        <v>2239.1799999999998</v>
      </c>
      <c r="R216" s="14">
        <v>35042.15</v>
      </c>
      <c r="S216" s="2">
        <f t="shared" si="7"/>
        <v>2359423.2800000003</v>
      </c>
      <c r="T216" s="22">
        <v>78</v>
      </c>
      <c r="U216" s="14">
        <v>1055</v>
      </c>
      <c r="V216" s="14">
        <v>-36740.32</v>
      </c>
      <c r="W216" s="14"/>
      <c r="X216" s="14">
        <v>-142.66</v>
      </c>
      <c r="Y216" s="42">
        <v>1</v>
      </c>
    </row>
    <row r="217" spans="1:25" x14ac:dyDescent="0.25">
      <c r="A217" s="12">
        <v>5746</v>
      </c>
      <c r="B217" s="13" t="s">
        <v>273</v>
      </c>
      <c r="C217" s="338">
        <v>1559239.1</v>
      </c>
      <c r="D217" s="339">
        <v>125610.76</v>
      </c>
      <c r="E217" s="338">
        <v>0</v>
      </c>
      <c r="F217" s="338"/>
      <c r="G217" s="338">
        <v>65769.350000000006</v>
      </c>
      <c r="H217" s="339">
        <v>512.95000000000005</v>
      </c>
      <c r="I217" s="338"/>
      <c r="J217" s="339">
        <v>50615.91</v>
      </c>
      <c r="K217" s="338"/>
      <c r="L217" s="339">
        <v>189858.2</v>
      </c>
      <c r="M217" s="3">
        <f t="shared" si="6"/>
        <v>1991606.27</v>
      </c>
      <c r="N217" s="14">
        <v>20529.7</v>
      </c>
      <c r="O217" s="14">
        <v>927.1</v>
      </c>
      <c r="P217" s="14">
        <v>71792.399999999994</v>
      </c>
      <c r="Q217" s="14"/>
      <c r="R217" s="14">
        <v>29029.7</v>
      </c>
      <c r="S217" s="2">
        <f t="shared" si="7"/>
        <v>2113885.17</v>
      </c>
      <c r="T217" s="22">
        <v>73</v>
      </c>
      <c r="U217" s="14">
        <v>939</v>
      </c>
      <c r="V217" s="14">
        <v>-19866.03</v>
      </c>
      <c r="W217" s="14"/>
      <c r="X217" s="14">
        <v>-68.55</v>
      </c>
      <c r="Y217" s="42">
        <v>1.2</v>
      </c>
    </row>
    <row r="218" spans="1:25" x14ac:dyDescent="0.25">
      <c r="A218" s="12">
        <v>5747</v>
      </c>
      <c r="B218" s="13" t="s">
        <v>274</v>
      </c>
      <c r="C218" s="338">
        <v>276503.96999999997</v>
      </c>
      <c r="D218" s="339">
        <v>39853.14</v>
      </c>
      <c r="E218" s="338">
        <v>0</v>
      </c>
      <c r="F218" s="338"/>
      <c r="G218" s="338">
        <v>22350.400000000001</v>
      </c>
      <c r="H218" s="339">
        <v>464.2</v>
      </c>
      <c r="I218" s="338"/>
      <c r="J218" s="339">
        <v>1635.94</v>
      </c>
      <c r="K218" s="338"/>
      <c r="L218" s="339">
        <v>26067.7</v>
      </c>
      <c r="M218" s="3">
        <f t="shared" si="6"/>
        <v>366875.35000000003</v>
      </c>
      <c r="N218" s="14"/>
      <c r="O218" s="14"/>
      <c r="P218" s="14">
        <v>8489.75</v>
      </c>
      <c r="Q218" s="14"/>
      <c r="R218" s="14">
        <v>6374.9</v>
      </c>
      <c r="S218" s="2">
        <f t="shared" si="7"/>
        <v>381740.00000000006</v>
      </c>
      <c r="T218" s="22">
        <v>69</v>
      </c>
      <c r="U218" s="14">
        <v>188</v>
      </c>
      <c r="V218" s="14">
        <v>-635.38</v>
      </c>
      <c r="W218" s="14"/>
      <c r="X218" s="14">
        <v>-0.04</v>
      </c>
      <c r="Y218" s="42">
        <v>1</v>
      </c>
    </row>
    <row r="219" spans="1:25" x14ac:dyDescent="0.25">
      <c r="A219" s="12">
        <v>5748</v>
      </c>
      <c r="B219" s="13" t="s">
        <v>275</v>
      </c>
      <c r="C219" s="338">
        <v>436247.79</v>
      </c>
      <c r="D219" s="339">
        <v>45125.07</v>
      </c>
      <c r="E219" s="338">
        <v>0</v>
      </c>
      <c r="F219" s="338">
        <v>2140</v>
      </c>
      <c r="G219" s="338">
        <v>4413.6000000000004</v>
      </c>
      <c r="H219" s="339">
        <v>21.5</v>
      </c>
      <c r="I219" s="338"/>
      <c r="J219" s="339">
        <v>6005.43</v>
      </c>
      <c r="K219" s="338"/>
      <c r="L219" s="339">
        <v>19572</v>
      </c>
      <c r="M219" s="3">
        <f t="shared" si="6"/>
        <v>513525.38999999996</v>
      </c>
      <c r="N219" s="14">
        <v>7947.3</v>
      </c>
      <c r="O219" s="14"/>
      <c r="P219" s="14">
        <v>33933.5</v>
      </c>
      <c r="Q219" s="14"/>
      <c r="R219" s="14">
        <v>15340.9</v>
      </c>
      <c r="S219" s="2">
        <f t="shared" si="7"/>
        <v>570747.09</v>
      </c>
      <c r="T219" s="22">
        <v>72</v>
      </c>
      <c r="U219" s="14">
        <v>258</v>
      </c>
      <c r="V219" s="14">
        <v>-3782.01</v>
      </c>
      <c r="W219" s="14"/>
      <c r="X219" s="14">
        <v>0</v>
      </c>
      <c r="Y219" s="42">
        <v>0.6</v>
      </c>
    </row>
    <row r="220" spans="1:25" x14ac:dyDescent="0.25">
      <c r="A220" s="12">
        <v>5749</v>
      </c>
      <c r="B220" s="13" t="s">
        <v>276</v>
      </c>
      <c r="C220" s="338">
        <v>7491366.7300000004</v>
      </c>
      <c r="D220" s="338">
        <v>718051.5</v>
      </c>
      <c r="E220" s="338">
        <v>74959.5</v>
      </c>
      <c r="F220" s="338">
        <v>0</v>
      </c>
      <c r="G220" s="338">
        <v>401565.3</v>
      </c>
      <c r="H220" s="338">
        <v>10647.900000000001</v>
      </c>
      <c r="I220" s="338">
        <v>53462.9</v>
      </c>
      <c r="J220" s="338">
        <v>253975.25</v>
      </c>
      <c r="K220" s="338">
        <v>51608</v>
      </c>
      <c r="L220" s="338">
        <v>703939.15</v>
      </c>
      <c r="M220" s="3">
        <f t="shared" si="6"/>
        <v>9759576.2300000023</v>
      </c>
      <c r="N220" s="14">
        <v>639903.55000000005</v>
      </c>
      <c r="O220" s="14">
        <v>37559.300000000003</v>
      </c>
      <c r="P220" s="14">
        <v>441129.39999999997</v>
      </c>
      <c r="Q220" s="14">
        <v>43985.98</v>
      </c>
      <c r="R220" s="14">
        <v>293759.40000000002</v>
      </c>
      <c r="S220" s="2">
        <f t="shared" si="7"/>
        <v>11215913.860000005</v>
      </c>
      <c r="T220" s="22">
        <v>72.36</v>
      </c>
      <c r="U220" s="14">
        <v>4817</v>
      </c>
      <c r="V220" s="14">
        <v>-206911</v>
      </c>
      <c r="W220" s="14">
        <v>0</v>
      </c>
      <c r="X220" s="14">
        <v>-562.86</v>
      </c>
      <c r="Y220" s="392">
        <v>1</v>
      </c>
    </row>
    <row r="221" spans="1:25" x14ac:dyDescent="0.25">
      <c r="A221" s="12">
        <v>5750</v>
      </c>
      <c r="B221" s="13" t="s">
        <v>277</v>
      </c>
      <c r="C221" s="338">
        <v>319566.03999999998</v>
      </c>
      <c r="D221" s="339">
        <v>45732.27</v>
      </c>
      <c r="E221" s="338">
        <v>0</v>
      </c>
      <c r="F221" s="338">
        <v>1050</v>
      </c>
      <c r="G221" s="338">
        <v>2764.6</v>
      </c>
      <c r="H221" s="339">
        <v>72.55</v>
      </c>
      <c r="I221" s="338"/>
      <c r="J221" s="339">
        <v>1599.76</v>
      </c>
      <c r="K221" s="338">
        <v>230.5</v>
      </c>
      <c r="L221" s="339">
        <v>12346.25</v>
      </c>
      <c r="M221" s="3">
        <f t="shared" si="6"/>
        <v>383361.97</v>
      </c>
      <c r="N221" s="14">
        <v>7714.9</v>
      </c>
      <c r="O221" s="14"/>
      <c r="P221" s="14">
        <v>13860</v>
      </c>
      <c r="Q221" s="14"/>
      <c r="R221" s="14">
        <v>4044.3</v>
      </c>
      <c r="S221" s="2">
        <f t="shared" si="7"/>
        <v>408981.17</v>
      </c>
      <c r="T221" s="22">
        <v>80</v>
      </c>
      <c r="U221" s="14">
        <v>176</v>
      </c>
      <c r="V221" s="14">
        <v>-8266.9500000000007</v>
      </c>
      <c r="W221" s="14"/>
      <c r="X221" s="14">
        <v>-120.03</v>
      </c>
      <c r="Y221" s="42">
        <v>0.6</v>
      </c>
    </row>
    <row r="222" spans="1:25" x14ac:dyDescent="0.25">
      <c r="A222" s="12">
        <v>5752</v>
      </c>
      <c r="B222" s="13" t="s">
        <v>338</v>
      </c>
      <c r="C222" s="338">
        <v>538588.22</v>
      </c>
      <c r="D222" s="339">
        <v>87445.78</v>
      </c>
      <c r="E222" s="338">
        <v>0</v>
      </c>
      <c r="F222" s="338"/>
      <c r="G222" s="338">
        <v>9631.9</v>
      </c>
      <c r="H222" s="339">
        <v>442.85</v>
      </c>
      <c r="I222" s="338"/>
      <c r="J222" s="339">
        <v>3009.7</v>
      </c>
      <c r="K222" s="338">
        <v>725.7</v>
      </c>
      <c r="L222" s="339">
        <v>30496.65</v>
      </c>
      <c r="M222" s="3">
        <f t="shared" si="6"/>
        <v>670340.79999999993</v>
      </c>
      <c r="N222" s="14">
        <v>14784.85</v>
      </c>
      <c r="O222" s="14">
        <v>2008.1</v>
      </c>
      <c r="P222" s="14">
        <v>15605.05</v>
      </c>
      <c r="Q222" s="14">
        <v>647.57000000000005</v>
      </c>
      <c r="R222" s="14">
        <v>20054.05</v>
      </c>
      <c r="S222" s="2">
        <f t="shared" si="7"/>
        <v>723440.41999999993</v>
      </c>
      <c r="T222" s="22">
        <v>74</v>
      </c>
      <c r="U222" s="14">
        <v>344</v>
      </c>
      <c r="V222" s="14">
        <v>-2258.91</v>
      </c>
      <c r="W222" s="14"/>
      <c r="X222" s="14">
        <v>0</v>
      </c>
      <c r="Y222" s="42">
        <v>0.7</v>
      </c>
    </row>
    <row r="223" spans="1:25" x14ac:dyDescent="0.25">
      <c r="A223" s="12">
        <v>5754</v>
      </c>
      <c r="B223" s="13" t="s">
        <v>339</v>
      </c>
      <c r="C223" s="338">
        <v>493597.46</v>
      </c>
      <c r="D223" s="339">
        <v>27104.52</v>
      </c>
      <c r="E223" s="338">
        <v>0</v>
      </c>
      <c r="F223" s="338"/>
      <c r="G223" s="338">
        <v>-1525.75</v>
      </c>
      <c r="H223" s="339">
        <v>442</v>
      </c>
      <c r="I223" s="338"/>
      <c r="J223" s="339">
        <v>27513.62</v>
      </c>
      <c r="K223" s="338">
        <v>931</v>
      </c>
      <c r="L223" s="339">
        <v>36627.1</v>
      </c>
      <c r="M223" s="3">
        <f t="shared" si="6"/>
        <v>584689.95000000007</v>
      </c>
      <c r="N223" s="14">
        <v>3752.9</v>
      </c>
      <c r="O223" s="14"/>
      <c r="P223" s="14">
        <v>11394.75</v>
      </c>
      <c r="Q223" s="14"/>
      <c r="R223" s="14">
        <v>18157</v>
      </c>
      <c r="S223" s="2">
        <f t="shared" si="7"/>
        <v>617994.60000000009</v>
      </c>
      <c r="T223" s="22">
        <v>79</v>
      </c>
      <c r="U223" s="14">
        <v>302</v>
      </c>
      <c r="V223" s="14">
        <v>-15657.89</v>
      </c>
      <c r="W223" s="14"/>
      <c r="X223" s="14">
        <v>-29.4</v>
      </c>
      <c r="Y223" s="42">
        <v>1</v>
      </c>
    </row>
    <row r="224" spans="1:25" x14ac:dyDescent="0.25">
      <c r="A224" s="12">
        <v>5755</v>
      </c>
      <c r="B224" s="13" t="s">
        <v>340</v>
      </c>
      <c r="C224" s="338">
        <v>611349.63</v>
      </c>
      <c r="D224" s="339">
        <v>69153.919999999998</v>
      </c>
      <c r="E224" s="338">
        <v>0</v>
      </c>
      <c r="F224" s="338"/>
      <c r="G224" s="338">
        <v>20573.900000000001</v>
      </c>
      <c r="H224" s="339">
        <v>176.35</v>
      </c>
      <c r="I224" s="338">
        <v>-29898.3</v>
      </c>
      <c r="J224" s="339">
        <v>5492.47</v>
      </c>
      <c r="K224" s="338">
        <v>1039</v>
      </c>
      <c r="L224" s="339">
        <v>35105.800000000003</v>
      </c>
      <c r="M224" s="3">
        <f t="shared" si="6"/>
        <v>712992.77</v>
      </c>
      <c r="N224" s="14">
        <v>22958.75</v>
      </c>
      <c r="O224" s="14"/>
      <c r="P224" s="14">
        <v>45552.35</v>
      </c>
      <c r="Q224" s="14">
        <v>11789.77</v>
      </c>
      <c r="R224" s="14">
        <v>19944.849999999999</v>
      </c>
      <c r="S224" s="2">
        <f t="shared" si="7"/>
        <v>813238.49</v>
      </c>
      <c r="T224" s="22">
        <v>80</v>
      </c>
      <c r="U224" s="14">
        <v>405</v>
      </c>
      <c r="V224" s="14">
        <v>-10531.9</v>
      </c>
      <c r="W224" s="14"/>
      <c r="X224" s="14">
        <v>-0.15</v>
      </c>
      <c r="Y224" s="42">
        <v>0.7</v>
      </c>
    </row>
    <row r="225" spans="1:25" x14ac:dyDescent="0.25">
      <c r="A225" s="12">
        <v>5756</v>
      </c>
      <c r="B225" s="13" t="s">
        <v>341</v>
      </c>
      <c r="C225" s="338">
        <v>812587.27</v>
      </c>
      <c r="D225" s="339">
        <v>90814.1</v>
      </c>
      <c r="E225" s="338">
        <v>0</v>
      </c>
      <c r="F225" s="338"/>
      <c r="G225" s="338">
        <v>67923.3</v>
      </c>
      <c r="H225" s="339">
        <v>2142.6999999999998</v>
      </c>
      <c r="I225" s="338"/>
      <c r="J225" s="339">
        <v>9940.91</v>
      </c>
      <c r="K225" s="338">
        <v>370.5</v>
      </c>
      <c r="L225" s="339">
        <v>80685.899999999994</v>
      </c>
      <c r="M225" s="3">
        <f t="shared" si="6"/>
        <v>1064464.68</v>
      </c>
      <c r="N225" s="14">
        <v>20534.8</v>
      </c>
      <c r="O225" s="14">
        <v>80296.2</v>
      </c>
      <c r="P225" s="14">
        <v>14379.2</v>
      </c>
      <c r="Q225" s="14"/>
      <c r="R225" s="14">
        <v>19684.349999999999</v>
      </c>
      <c r="S225" s="2">
        <f t="shared" si="7"/>
        <v>1199359.23</v>
      </c>
      <c r="T225" s="22">
        <v>72</v>
      </c>
      <c r="U225" s="14">
        <v>469</v>
      </c>
      <c r="V225" s="14">
        <v>-9705.57</v>
      </c>
      <c r="W225" s="14"/>
      <c r="X225" s="14">
        <v>-395.43</v>
      </c>
      <c r="Y225" s="42">
        <v>1</v>
      </c>
    </row>
    <row r="226" spans="1:25" x14ac:dyDescent="0.25">
      <c r="A226" s="12">
        <v>5757</v>
      </c>
      <c r="B226" s="13" t="s">
        <v>342</v>
      </c>
      <c r="C226" s="338">
        <v>10930358.75</v>
      </c>
      <c r="D226" s="339">
        <v>1174445.8</v>
      </c>
      <c r="E226" s="338">
        <v>0</v>
      </c>
      <c r="F226" s="338"/>
      <c r="G226" s="338">
        <v>2519991.6</v>
      </c>
      <c r="H226" s="339">
        <v>10859.9</v>
      </c>
      <c r="I226" s="338"/>
      <c r="J226" s="339">
        <v>455342.07</v>
      </c>
      <c r="K226" s="338">
        <v>84751</v>
      </c>
      <c r="L226" s="339">
        <v>1098522.8999999999</v>
      </c>
      <c r="M226" s="3">
        <f t="shared" si="6"/>
        <v>16274272.020000001</v>
      </c>
      <c r="N226" s="14">
        <v>2683850.4</v>
      </c>
      <c r="O226" s="14">
        <v>47480.6</v>
      </c>
      <c r="P226" s="14">
        <v>300855.65000000002</v>
      </c>
      <c r="Q226" s="14">
        <v>190285.58</v>
      </c>
      <c r="R226" s="14">
        <v>120895.2</v>
      </c>
      <c r="S226" s="2">
        <f t="shared" si="7"/>
        <v>19617639.449999999</v>
      </c>
      <c r="T226" s="22">
        <v>74</v>
      </c>
      <c r="U226" s="14">
        <v>6805</v>
      </c>
      <c r="V226" s="14">
        <v>-224072.02</v>
      </c>
      <c r="W226" s="14"/>
      <c r="X226" s="14">
        <v>-511.19</v>
      </c>
      <c r="Y226" s="42">
        <v>1</v>
      </c>
    </row>
    <row r="227" spans="1:25" x14ac:dyDescent="0.25">
      <c r="A227" s="12">
        <v>5758</v>
      </c>
      <c r="B227" s="13" t="s">
        <v>222</v>
      </c>
      <c r="C227" s="338">
        <v>257876.52</v>
      </c>
      <c r="D227" s="339">
        <v>35509.339999999997</v>
      </c>
      <c r="E227" s="338">
        <v>0</v>
      </c>
      <c r="F227" s="338">
        <v>920</v>
      </c>
      <c r="G227" s="338">
        <v>-78.799999999999699</v>
      </c>
      <c r="H227" s="339">
        <v>453.35</v>
      </c>
      <c r="I227" s="338"/>
      <c r="J227" s="339">
        <v>-2825.54</v>
      </c>
      <c r="K227" s="338"/>
      <c r="L227" s="339">
        <v>20713.099999999999</v>
      </c>
      <c r="M227" s="3">
        <f t="shared" si="6"/>
        <v>312567.96999999997</v>
      </c>
      <c r="N227" s="14"/>
      <c r="O227" s="14"/>
      <c r="P227" s="14">
        <v>3861</v>
      </c>
      <c r="Q227" s="14"/>
      <c r="R227" s="14">
        <v>7807.45</v>
      </c>
      <c r="S227" s="2">
        <f t="shared" si="7"/>
        <v>324236.42</v>
      </c>
      <c r="T227" s="22">
        <v>83</v>
      </c>
      <c r="U227" s="14">
        <v>159</v>
      </c>
      <c r="V227" s="14">
        <v>-76.84</v>
      </c>
      <c r="W227" s="14"/>
      <c r="X227" s="14">
        <v>0</v>
      </c>
      <c r="Y227" s="42">
        <v>0.9</v>
      </c>
    </row>
    <row r="228" spans="1:25" x14ac:dyDescent="0.25">
      <c r="A228" s="12">
        <v>5759</v>
      </c>
      <c r="B228" s="13" t="s">
        <v>223</v>
      </c>
      <c r="C228" s="338">
        <v>316476.24</v>
      </c>
      <c r="D228" s="339">
        <v>49155.33</v>
      </c>
      <c r="E228" s="338">
        <v>0</v>
      </c>
      <c r="F228" s="338"/>
      <c r="G228" s="338">
        <v>-5284.5</v>
      </c>
      <c r="H228" s="339">
        <v>114.8</v>
      </c>
      <c r="I228" s="338"/>
      <c r="J228" s="339">
        <v>947.47</v>
      </c>
      <c r="K228" s="338">
        <v>242</v>
      </c>
      <c r="L228" s="339">
        <v>25883.5</v>
      </c>
      <c r="M228" s="3">
        <f t="shared" si="6"/>
        <v>387534.83999999997</v>
      </c>
      <c r="N228" s="14">
        <v>1507.6</v>
      </c>
      <c r="O228" s="14"/>
      <c r="P228" s="14">
        <v>5390</v>
      </c>
      <c r="Q228" s="14"/>
      <c r="R228" s="14"/>
      <c r="S228" s="2">
        <f t="shared" si="7"/>
        <v>394432.43999999994</v>
      </c>
      <c r="T228" s="22">
        <v>81</v>
      </c>
      <c r="U228" s="14">
        <v>196</v>
      </c>
      <c r="V228" s="14">
        <v>-7678.44</v>
      </c>
      <c r="W228" s="14"/>
      <c r="X228" s="14">
        <v>-4.91</v>
      </c>
      <c r="Y228" s="42">
        <v>1</v>
      </c>
    </row>
    <row r="229" spans="1:25" x14ac:dyDescent="0.25">
      <c r="A229" s="12">
        <v>5760</v>
      </c>
      <c r="B229" s="13" t="s">
        <v>224</v>
      </c>
      <c r="C229" s="338">
        <v>853451.88</v>
      </c>
      <c r="D229" s="339">
        <v>74404.67</v>
      </c>
      <c r="E229" s="338">
        <v>0</v>
      </c>
      <c r="F229" s="338">
        <v>2280</v>
      </c>
      <c r="G229" s="338">
        <v>14074.7</v>
      </c>
      <c r="H229" s="339">
        <v>533.29999999999995</v>
      </c>
      <c r="I229" s="338"/>
      <c r="J229" s="339">
        <v>6831.59</v>
      </c>
      <c r="K229" s="338"/>
      <c r="L229" s="339">
        <v>92437.9</v>
      </c>
      <c r="M229" s="3">
        <f t="shared" si="6"/>
        <v>1044014.04</v>
      </c>
      <c r="N229" s="14">
        <v>13661.85</v>
      </c>
      <c r="O229" s="14">
        <v>119259.4</v>
      </c>
      <c r="P229" s="14">
        <v>44102.5</v>
      </c>
      <c r="Q229" s="14">
        <v>32676.61</v>
      </c>
      <c r="R229" s="14">
        <v>43102.7</v>
      </c>
      <c r="S229" s="2">
        <f t="shared" si="7"/>
        <v>1296817.1000000001</v>
      </c>
      <c r="T229" s="22">
        <v>78</v>
      </c>
      <c r="U229" s="14">
        <v>473</v>
      </c>
      <c r="V229" s="14">
        <v>-13467.97</v>
      </c>
      <c r="W229" s="14"/>
      <c r="X229" s="14">
        <v>-656.5</v>
      </c>
      <c r="Y229" s="42">
        <v>1.5</v>
      </c>
    </row>
    <row r="230" spans="1:25" x14ac:dyDescent="0.25">
      <c r="A230" s="12">
        <v>5761</v>
      </c>
      <c r="B230" s="13" t="s">
        <v>140</v>
      </c>
      <c r="C230" s="338">
        <v>747163.33</v>
      </c>
      <c r="D230" s="339">
        <v>92590.06</v>
      </c>
      <c r="E230" s="338">
        <v>0</v>
      </c>
      <c r="F230" s="338"/>
      <c r="G230" s="338">
        <v>15611.4</v>
      </c>
      <c r="H230" s="339">
        <v>791.55</v>
      </c>
      <c r="I230" s="338"/>
      <c r="J230" s="339">
        <v>14912.64</v>
      </c>
      <c r="K230" s="338">
        <v>3851</v>
      </c>
      <c r="L230" s="339">
        <v>59068.5</v>
      </c>
      <c r="M230" s="3">
        <f t="shared" si="6"/>
        <v>933988.48</v>
      </c>
      <c r="N230" s="14">
        <v>41030.199999999997</v>
      </c>
      <c r="O230" s="14">
        <v>1301.9000000000001</v>
      </c>
      <c r="P230" s="14">
        <v>52633.55</v>
      </c>
      <c r="Q230" s="14">
        <v>10576.04</v>
      </c>
      <c r="R230" s="14">
        <v>69521.149999999994</v>
      </c>
      <c r="S230" s="2">
        <f t="shared" si="7"/>
        <v>1109051.32</v>
      </c>
      <c r="T230" s="22">
        <v>76</v>
      </c>
      <c r="U230" s="14">
        <v>546</v>
      </c>
      <c r="V230" s="14">
        <v>-34722.06</v>
      </c>
      <c r="W230" s="14"/>
      <c r="X230" s="14">
        <v>0</v>
      </c>
      <c r="Y230" s="42">
        <v>0.8</v>
      </c>
    </row>
    <row r="231" spans="1:25" x14ac:dyDescent="0.25">
      <c r="A231" s="12">
        <v>5762</v>
      </c>
      <c r="B231" s="13" t="s">
        <v>141</v>
      </c>
      <c r="C231" s="338">
        <v>226603.88</v>
      </c>
      <c r="D231" s="339">
        <v>21444.34</v>
      </c>
      <c r="E231" s="338">
        <v>0</v>
      </c>
      <c r="F231" s="338"/>
      <c r="G231" s="338">
        <v>7904.45</v>
      </c>
      <c r="H231" s="339">
        <v>70.599999999999994</v>
      </c>
      <c r="I231" s="338"/>
      <c r="J231" s="339">
        <v>4710.6099999999997</v>
      </c>
      <c r="K231" s="338"/>
      <c r="L231" s="339">
        <v>19093.099999999999</v>
      </c>
      <c r="M231" s="3">
        <f t="shared" si="6"/>
        <v>279826.98</v>
      </c>
      <c r="N231" s="14">
        <v>7814.8</v>
      </c>
      <c r="O231" s="14">
        <v>3564</v>
      </c>
      <c r="P231" s="14"/>
      <c r="Q231" s="14"/>
      <c r="R231" s="14"/>
      <c r="S231" s="2">
        <f t="shared" si="7"/>
        <v>291205.77999999997</v>
      </c>
      <c r="T231" s="22">
        <v>78</v>
      </c>
      <c r="U231" s="14">
        <v>140</v>
      </c>
      <c r="V231" s="14">
        <v>-76.19</v>
      </c>
      <c r="W231" s="14"/>
      <c r="X231" s="14">
        <v>0</v>
      </c>
      <c r="Y231" s="42">
        <v>1</v>
      </c>
    </row>
    <row r="232" spans="1:25" x14ac:dyDescent="0.25">
      <c r="A232" s="12">
        <v>5763</v>
      </c>
      <c r="B232" s="13" t="s">
        <v>142</v>
      </c>
      <c r="C232" s="338">
        <v>853614.46</v>
      </c>
      <c r="D232" s="339">
        <v>56998.86</v>
      </c>
      <c r="E232" s="338">
        <v>0</v>
      </c>
      <c r="F232" s="338">
        <v>3300</v>
      </c>
      <c r="G232" s="338">
        <v>38087.25</v>
      </c>
      <c r="H232" s="339">
        <v>636.5</v>
      </c>
      <c r="I232" s="338"/>
      <c r="J232" s="339">
        <v>16747.099999999999</v>
      </c>
      <c r="K232" s="338">
        <v>3517.5</v>
      </c>
      <c r="L232" s="339">
        <v>77003.7</v>
      </c>
      <c r="M232" s="3">
        <f t="shared" si="6"/>
        <v>1049905.3699999999</v>
      </c>
      <c r="N232" s="14">
        <v>40770.949999999997</v>
      </c>
      <c r="O232" s="14"/>
      <c r="P232" s="14">
        <v>31427</v>
      </c>
      <c r="Q232" s="14">
        <v>4227.13</v>
      </c>
      <c r="R232" s="14">
        <v>43820.800000000003</v>
      </c>
      <c r="S232" s="2">
        <f t="shared" si="7"/>
        <v>1170151.2499999998</v>
      </c>
      <c r="T232" s="22">
        <v>65</v>
      </c>
      <c r="U232" s="14">
        <v>623</v>
      </c>
      <c r="V232" s="14">
        <v>-8511.08</v>
      </c>
      <c r="W232" s="14"/>
      <c r="X232" s="14">
        <v>-41.12</v>
      </c>
      <c r="Y232" s="42">
        <v>1</v>
      </c>
    </row>
    <row r="233" spans="1:25" x14ac:dyDescent="0.25">
      <c r="A233" s="12">
        <v>5764</v>
      </c>
      <c r="B233" s="13" t="s">
        <v>343</v>
      </c>
      <c r="C233" s="338">
        <v>4722497.46</v>
      </c>
      <c r="D233" s="339">
        <v>357283.24</v>
      </c>
      <c r="E233" s="338">
        <v>0</v>
      </c>
      <c r="F233" s="338"/>
      <c r="G233" s="338">
        <v>596842.15</v>
      </c>
      <c r="H233" s="339">
        <v>23391.200000000001</v>
      </c>
      <c r="I233" s="338"/>
      <c r="J233" s="339">
        <v>286961.02</v>
      </c>
      <c r="K233" s="338">
        <v>3384</v>
      </c>
      <c r="L233" s="339">
        <v>390652.05</v>
      </c>
      <c r="M233" s="3">
        <f t="shared" si="6"/>
        <v>6381011.1200000001</v>
      </c>
      <c r="N233" s="14">
        <v>2204983.65</v>
      </c>
      <c r="O233" s="14">
        <v>57956.4</v>
      </c>
      <c r="P233" s="14">
        <v>227876.5</v>
      </c>
      <c r="Q233" s="14">
        <v>81130.69</v>
      </c>
      <c r="R233" s="14">
        <v>104286.65</v>
      </c>
      <c r="S233" s="2">
        <f t="shared" si="7"/>
        <v>9057245.0099999998</v>
      </c>
      <c r="T233" s="22">
        <v>74</v>
      </c>
      <c r="U233" s="14">
        <v>3747</v>
      </c>
      <c r="V233" s="14">
        <v>-207572.22</v>
      </c>
      <c r="W233" s="14"/>
      <c r="X233" s="14">
        <v>-562.57000000000005</v>
      </c>
      <c r="Y233" s="42">
        <v>1</v>
      </c>
    </row>
    <row r="234" spans="1:25" x14ac:dyDescent="0.25">
      <c r="A234" s="12">
        <v>5765</v>
      </c>
      <c r="B234" s="13" t="s">
        <v>344</v>
      </c>
      <c r="C234" s="338">
        <v>671818.84</v>
      </c>
      <c r="D234" s="339">
        <v>71160</v>
      </c>
      <c r="E234" s="338">
        <v>0</v>
      </c>
      <c r="F234" s="338"/>
      <c r="G234" s="338">
        <v>12862.2</v>
      </c>
      <c r="H234" s="339">
        <v>609.85</v>
      </c>
      <c r="I234" s="338"/>
      <c r="J234" s="339">
        <v>19020.47</v>
      </c>
      <c r="K234" s="338"/>
      <c r="L234" s="339">
        <v>28752.2</v>
      </c>
      <c r="M234" s="3">
        <f t="shared" si="6"/>
        <v>804223.55999999982</v>
      </c>
      <c r="N234" s="14">
        <v>44930.85</v>
      </c>
      <c r="O234" s="14"/>
      <c r="P234" s="14">
        <v>7370</v>
      </c>
      <c r="Q234" s="14">
        <v>11813.98</v>
      </c>
      <c r="R234" s="14">
        <v>4882.5</v>
      </c>
      <c r="S234" s="2">
        <f t="shared" si="7"/>
        <v>873220.88999999978</v>
      </c>
      <c r="T234" s="22">
        <v>81</v>
      </c>
      <c r="U234" s="14">
        <v>494</v>
      </c>
      <c r="V234" s="14">
        <v>-18656.490000000002</v>
      </c>
      <c r="W234" s="14"/>
      <c r="X234" s="14">
        <v>-12.05</v>
      </c>
      <c r="Y234" s="42">
        <v>0.5</v>
      </c>
    </row>
    <row r="235" spans="1:25" x14ac:dyDescent="0.25">
      <c r="A235" s="12">
        <v>5766</v>
      </c>
      <c r="B235" s="13" t="s">
        <v>345</v>
      </c>
      <c r="C235" s="338">
        <v>793813.11</v>
      </c>
      <c r="D235" s="339">
        <v>80323.38</v>
      </c>
      <c r="E235" s="338">
        <v>0</v>
      </c>
      <c r="F235" s="338"/>
      <c r="G235" s="338">
        <v>28305.05</v>
      </c>
      <c r="H235" s="339">
        <v>411.65</v>
      </c>
      <c r="I235" s="338"/>
      <c r="J235" s="339">
        <v>33944.629999999997</v>
      </c>
      <c r="K235" s="338">
        <v>3614.5</v>
      </c>
      <c r="L235" s="339">
        <v>48934.7</v>
      </c>
      <c r="M235" s="3">
        <f t="shared" si="6"/>
        <v>989347.02</v>
      </c>
      <c r="N235" s="14">
        <v>21712.6</v>
      </c>
      <c r="O235" s="14"/>
      <c r="P235" s="14">
        <v>22954.799999999999</v>
      </c>
      <c r="Q235" s="14">
        <v>1657.98</v>
      </c>
      <c r="R235" s="14">
        <v>20706.45</v>
      </c>
      <c r="S235" s="2">
        <f t="shared" si="7"/>
        <v>1056378.8500000001</v>
      </c>
      <c r="T235" s="22">
        <v>77</v>
      </c>
      <c r="U235" s="14">
        <v>556</v>
      </c>
      <c r="V235" s="14">
        <v>-9069.74</v>
      </c>
      <c r="W235" s="14"/>
      <c r="X235" s="14">
        <v>-62.31</v>
      </c>
      <c r="Y235" s="42">
        <v>0.7</v>
      </c>
    </row>
    <row r="236" spans="1:25" x14ac:dyDescent="0.25">
      <c r="A236" s="12">
        <v>5785</v>
      </c>
      <c r="B236" s="13" t="s">
        <v>284</v>
      </c>
      <c r="C236" s="338">
        <v>729793.86</v>
      </c>
      <c r="D236" s="339">
        <v>146963.07</v>
      </c>
      <c r="E236" s="338">
        <v>0</v>
      </c>
      <c r="F236" s="338"/>
      <c r="G236" s="338">
        <v>-4974.4499999999798</v>
      </c>
      <c r="H236" s="339">
        <v>393.95</v>
      </c>
      <c r="I236" s="338"/>
      <c r="J236" s="339">
        <v>13055.7</v>
      </c>
      <c r="K236" s="338">
        <v>1403.5</v>
      </c>
      <c r="L236" s="339">
        <v>66036.100000000006</v>
      </c>
      <c r="M236" s="3">
        <f t="shared" si="6"/>
        <v>952671.72999999986</v>
      </c>
      <c r="N236" s="14"/>
      <c r="O236" s="14">
        <v>5612.5</v>
      </c>
      <c r="P236" s="14">
        <v>18446.55</v>
      </c>
      <c r="Q236" s="14">
        <v>413.5</v>
      </c>
      <c r="R236" s="14">
        <v>15446.45</v>
      </c>
      <c r="S236" s="2">
        <f t="shared" si="7"/>
        <v>992590.72999999986</v>
      </c>
      <c r="T236" s="22">
        <v>77</v>
      </c>
      <c r="U236" s="14">
        <v>425</v>
      </c>
      <c r="V236" s="14">
        <v>-7687.99</v>
      </c>
      <c r="W236" s="14"/>
      <c r="X236" s="14">
        <v>-204.66</v>
      </c>
      <c r="Y236" s="42">
        <v>1</v>
      </c>
    </row>
    <row r="237" spans="1:25" x14ac:dyDescent="0.25">
      <c r="A237" s="12">
        <v>5788</v>
      </c>
      <c r="B237" s="13" t="s">
        <v>285</v>
      </c>
      <c r="C237" s="338">
        <v>544814.73</v>
      </c>
      <c r="D237" s="339">
        <v>80142.850000000006</v>
      </c>
      <c r="E237" s="338">
        <v>0</v>
      </c>
      <c r="F237" s="338"/>
      <c r="G237" s="338">
        <v>5588.7</v>
      </c>
      <c r="H237" s="339">
        <v>-19.45</v>
      </c>
      <c r="I237" s="338"/>
      <c r="J237" s="339">
        <v>15559.01</v>
      </c>
      <c r="K237" s="338">
        <v>585</v>
      </c>
      <c r="L237" s="339">
        <v>67933.850000000006</v>
      </c>
      <c r="M237" s="3">
        <f t="shared" si="6"/>
        <v>714604.69</v>
      </c>
      <c r="N237" s="14"/>
      <c r="O237" s="14"/>
      <c r="P237" s="14">
        <v>17991.650000000001</v>
      </c>
      <c r="Q237" s="14"/>
      <c r="R237" s="14">
        <v>9437.65</v>
      </c>
      <c r="S237" s="2">
        <f t="shared" si="7"/>
        <v>742033.99</v>
      </c>
      <c r="T237" s="22">
        <v>72</v>
      </c>
      <c r="U237" s="14">
        <v>335</v>
      </c>
      <c r="V237" s="14">
        <v>-5266.42</v>
      </c>
      <c r="W237" s="14"/>
      <c r="X237" s="14">
        <v>0</v>
      </c>
      <c r="Y237" s="42">
        <v>1.25</v>
      </c>
    </row>
    <row r="238" spans="1:25" x14ac:dyDescent="0.25">
      <c r="A238" s="12">
        <v>5790</v>
      </c>
      <c r="B238" s="13" t="s">
        <v>286</v>
      </c>
      <c r="C238" s="338">
        <v>727596.09</v>
      </c>
      <c r="D238" s="339">
        <v>107127.1</v>
      </c>
      <c r="E238" s="338">
        <v>0</v>
      </c>
      <c r="F238" s="338"/>
      <c r="G238" s="338">
        <v>3133</v>
      </c>
      <c r="H238" s="339">
        <v>627.9</v>
      </c>
      <c r="I238" s="338"/>
      <c r="J238" s="339">
        <v>4682.62</v>
      </c>
      <c r="K238" s="338">
        <v>2169.5</v>
      </c>
      <c r="L238" s="339">
        <v>71397.8</v>
      </c>
      <c r="M238" s="3">
        <f t="shared" si="6"/>
        <v>916734.01</v>
      </c>
      <c r="N238" s="14"/>
      <c r="O238" s="14"/>
      <c r="P238" s="14">
        <v>35235.25</v>
      </c>
      <c r="Q238" s="14">
        <v>1853.44</v>
      </c>
      <c r="R238" s="14">
        <v>25058.75</v>
      </c>
      <c r="S238" s="2">
        <f t="shared" si="7"/>
        <v>978881.45</v>
      </c>
      <c r="T238" s="22">
        <v>76</v>
      </c>
      <c r="U238" s="14">
        <v>449</v>
      </c>
      <c r="V238" s="14">
        <v>-366.17</v>
      </c>
      <c r="W238" s="14"/>
      <c r="X238" s="14">
        <v>-312.48</v>
      </c>
      <c r="Y238" s="42">
        <v>1</v>
      </c>
    </row>
    <row r="239" spans="1:25" x14ac:dyDescent="0.25">
      <c r="A239" s="12">
        <v>5792</v>
      </c>
      <c r="B239" s="13" t="s">
        <v>287</v>
      </c>
      <c r="C239" s="338">
        <v>974092.11</v>
      </c>
      <c r="D239" s="339">
        <v>101075.61</v>
      </c>
      <c r="E239" s="338">
        <v>0</v>
      </c>
      <c r="F239" s="338"/>
      <c r="G239" s="338">
        <v>27658.05</v>
      </c>
      <c r="H239" s="339">
        <v>866.7</v>
      </c>
      <c r="I239" s="338"/>
      <c r="J239" s="339">
        <v>20530.310000000001</v>
      </c>
      <c r="K239" s="338">
        <v>2260.5</v>
      </c>
      <c r="L239" s="339">
        <v>102498.3</v>
      </c>
      <c r="M239" s="3">
        <f t="shared" si="6"/>
        <v>1228981.58</v>
      </c>
      <c r="N239" s="14">
        <v>244.75</v>
      </c>
      <c r="O239" s="14"/>
      <c r="P239" s="14">
        <v>57819.3</v>
      </c>
      <c r="Q239" s="14"/>
      <c r="R239" s="14">
        <v>76814.3</v>
      </c>
      <c r="S239" s="2">
        <f t="shared" ref="S239:S271" si="8">SUM(M239:R239)</f>
        <v>1363859.9300000002</v>
      </c>
      <c r="T239" s="22">
        <v>77</v>
      </c>
      <c r="U239" s="14">
        <v>621</v>
      </c>
      <c r="V239" s="14">
        <v>-17364.48</v>
      </c>
      <c r="W239" s="14">
        <v>-4938.6000000000004</v>
      </c>
      <c r="X239" s="14">
        <v>-21.51</v>
      </c>
      <c r="Y239" s="42">
        <v>1</v>
      </c>
    </row>
    <row r="240" spans="1:25" x14ac:dyDescent="0.25">
      <c r="A240" s="12">
        <v>5798</v>
      </c>
      <c r="B240" s="13" t="s">
        <v>288</v>
      </c>
      <c r="C240" s="338">
        <v>666814.41</v>
      </c>
      <c r="D240" s="339">
        <v>82359.13</v>
      </c>
      <c r="E240" s="338">
        <v>0</v>
      </c>
      <c r="F240" s="338"/>
      <c r="G240" s="338">
        <v>57483.65</v>
      </c>
      <c r="H240" s="339">
        <v>1598.8</v>
      </c>
      <c r="I240" s="338"/>
      <c r="J240" s="339">
        <v>25220.89</v>
      </c>
      <c r="K240" s="338">
        <v>3908</v>
      </c>
      <c r="L240" s="341">
        <v>34007.65</v>
      </c>
      <c r="M240" s="3">
        <f t="shared" si="6"/>
        <v>871392.53000000014</v>
      </c>
      <c r="N240" s="14"/>
      <c r="O240" s="14">
        <v>24775.200000000001</v>
      </c>
      <c r="P240" s="14">
        <v>17465.55</v>
      </c>
      <c r="Q240" s="14"/>
      <c r="R240" s="14"/>
      <c r="S240" s="2">
        <f t="shared" si="8"/>
        <v>913633.28000000014</v>
      </c>
      <c r="T240" s="22">
        <v>77.5</v>
      </c>
      <c r="U240" s="14">
        <v>438</v>
      </c>
      <c r="V240" s="14">
        <v>-20944.759999999998</v>
      </c>
      <c r="W240" s="14"/>
      <c r="X240" s="14">
        <v>-118.55</v>
      </c>
      <c r="Y240" s="42">
        <v>1</v>
      </c>
    </row>
    <row r="241" spans="1:25" x14ac:dyDescent="0.25">
      <c r="A241" s="12">
        <v>5799</v>
      </c>
      <c r="B241" s="13" t="s">
        <v>289</v>
      </c>
      <c r="C241" s="338">
        <v>3391873.06</v>
      </c>
      <c r="D241" s="339">
        <v>386386.19</v>
      </c>
      <c r="E241" s="338">
        <v>0</v>
      </c>
      <c r="F241" s="338"/>
      <c r="G241" s="338">
        <v>66939</v>
      </c>
      <c r="H241" s="339">
        <v>1900.6</v>
      </c>
      <c r="I241" s="338">
        <v>-33796.300000000003</v>
      </c>
      <c r="J241" s="339">
        <v>49231.16</v>
      </c>
      <c r="K241" s="338">
        <v>13591</v>
      </c>
      <c r="L241" s="339">
        <v>338724.25</v>
      </c>
      <c r="M241" s="3">
        <f t="shared" si="6"/>
        <v>4214848.9600000009</v>
      </c>
      <c r="N241" s="14">
        <v>18179.400000000001</v>
      </c>
      <c r="O241" s="14">
        <v>24294.400000000001</v>
      </c>
      <c r="P241" s="14">
        <v>139549.85</v>
      </c>
      <c r="Q241" s="14">
        <v>20713.79</v>
      </c>
      <c r="R241" s="14">
        <v>76608.25</v>
      </c>
      <c r="S241" s="2">
        <f t="shared" si="8"/>
        <v>4494194.6500000013</v>
      </c>
      <c r="T241" s="22">
        <v>69</v>
      </c>
      <c r="U241" s="14">
        <v>1918</v>
      </c>
      <c r="V241" s="14">
        <v>-54186.42</v>
      </c>
      <c r="W241" s="14"/>
      <c r="X241" s="14">
        <v>-68.930000000000007</v>
      </c>
      <c r="Y241" s="42">
        <v>1</v>
      </c>
    </row>
    <row r="242" spans="1:25" x14ac:dyDescent="0.25">
      <c r="A242" s="12">
        <v>5803</v>
      </c>
      <c r="B242" s="13" t="s">
        <v>392</v>
      </c>
      <c r="C242" s="338">
        <v>899212.13</v>
      </c>
      <c r="D242" s="339">
        <v>100427.02</v>
      </c>
      <c r="E242" s="338">
        <v>0</v>
      </c>
      <c r="F242" s="338"/>
      <c r="G242" s="338">
        <v>26541.25</v>
      </c>
      <c r="H242" s="339">
        <v>49.5</v>
      </c>
      <c r="I242" s="338"/>
      <c r="J242" s="339">
        <v>16064.15</v>
      </c>
      <c r="K242" s="338"/>
      <c r="L242" s="339">
        <v>75226.95</v>
      </c>
      <c r="M242" s="3">
        <f t="shared" si="6"/>
        <v>1117521</v>
      </c>
      <c r="N242" s="14"/>
      <c r="O242" s="14">
        <v>63737.599999999999</v>
      </c>
      <c r="P242" s="14">
        <v>66069.95</v>
      </c>
      <c r="Q242" s="14">
        <v>3184.24</v>
      </c>
      <c r="R242" s="14">
        <v>27578.5</v>
      </c>
      <c r="S242" s="2">
        <f t="shared" si="8"/>
        <v>1278091.29</v>
      </c>
      <c r="T242" s="22">
        <v>78</v>
      </c>
      <c r="U242" s="14">
        <v>466</v>
      </c>
      <c r="V242" s="14">
        <v>-11815.42</v>
      </c>
      <c r="W242" s="14"/>
      <c r="X242" s="14">
        <v>-113.14</v>
      </c>
      <c r="Y242" s="42">
        <v>1</v>
      </c>
    </row>
    <row r="243" spans="1:25" x14ac:dyDescent="0.25">
      <c r="A243" s="12">
        <v>5804</v>
      </c>
      <c r="B243" s="13" t="s">
        <v>443</v>
      </c>
      <c r="C243" s="338">
        <v>2801933.24</v>
      </c>
      <c r="D243" s="339">
        <v>332210.46000000002</v>
      </c>
      <c r="E243" s="338">
        <v>0</v>
      </c>
      <c r="F243" s="338"/>
      <c r="G243" s="338">
        <v>67532.5</v>
      </c>
      <c r="H243" s="339">
        <v>972.5</v>
      </c>
      <c r="I243" s="338"/>
      <c r="J243" s="339">
        <v>62346.63</v>
      </c>
      <c r="K243" s="338">
        <v>3083</v>
      </c>
      <c r="L243" s="339">
        <v>240675.35</v>
      </c>
      <c r="M243" s="3">
        <f t="shared" si="6"/>
        <v>3508753.68</v>
      </c>
      <c r="N243" s="14">
        <v>12944.9</v>
      </c>
      <c r="O243" s="14">
        <v>61</v>
      </c>
      <c r="P243" s="14">
        <v>75507.5</v>
      </c>
      <c r="Q243" s="14">
        <v>4467.1000000000004</v>
      </c>
      <c r="R243" s="14">
        <v>50504.15</v>
      </c>
      <c r="S243" s="2">
        <f t="shared" si="8"/>
        <v>3652238.33</v>
      </c>
      <c r="T243" s="22">
        <v>72</v>
      </c>
      <c r="U243" s="14">
        <v>1545</v>
      </c>
      <c r="V243" s="14">
        <v>-17228.8</v>
      </c>
      <c r="W243" s="14"/>
      <c r="X243" s="14">
        <v>-67.180000000000007</v>
      </c>
      <c r="Y243" s="42">
        <v>1</v>
      </c>
    </row>
    <row r="244" spans="1:25" x14ac:dyDescent="0.25">
      <c r="A244" s="12">
        <v>5805</v>
      </c>
      <c r="B244" s="13" t="s">
        <v>445</v>
      </c>
      <c r="C244" s="338">
        <v>7385447.5</v>
      </c>
      <c r="D244" s="339">
        <v>928197.02</v>
      </c>
      <c r="E244" s="338">
        <v>0</v>
      </c>
      <c r="F244" s="338"/>
      <c r="G244" s="338">
        <v>755064.4</v>
      </c>
      <c r="H244" s="339">
        <v>82643.850000000006</v>
      </c>
      <c r="I244" s="338">
        <v>-35137.35</v>
      </c>
      <c r="J244" s="339">
        <v>312393.52</v>
      </c>
      <c r="K244" s="338">
        <v>54178</v>
      </c>
      <c r="L244" s="339">
        <v>891879.05</v>
      </c>
      <c r="M244" s="3">
        <f t="shared" si="6"/>
        <v>10374665.99</v>
      </c>
      <c r="N244" s="14">
        <v>78868.399999999994</v>
      </c>
      <c r="O244" s="14">
        <v>282952.90000000002</v>
      </c>
      <c r="P244" s="14">
        <v>286626.45</v>
      </c>
      <c r="Q244" s="14">
        <v>93648.61</v>
      </c>
      <c r="R244" s="14">
        <v>229060</v>
      </c>
      <c r="S244" s="2">
        <f t="shared" si="8"/>
        <v>11345822.35</v>
      </c>
      <c r="T244" s="22">
        <v>69</v>
      </c>
      <c r="U244" s="14">
        <v>5397</v>
      </c>
      <c r="V244" s="14">
        <v>-235199.94</v>
      </c>
      <c r="W244" s="14"/>
      <c r="X244" s="14">
        <v>-1840.63</v>
      </c>
      <c r="Y244" s="42">
        <v>1.1000000000000001</v>
      </c>
    </row>
    <row r="245" spans="1:25" x14ac:dyDescent="0.25">
      <c r="A245" s="12">
        <v>5806</v>
      </c>
      <c r="B245" s="13" t="s">
        <v>554</v>
      </c>
      <c r="C245" s="338">
        <v>5306513.21</v>
      </c>
      <c r="D245" s="338">
        <v>643089.05000000005</v>
      </c>
      <c r="E245" s="338">
        <v>0</v>
      </c>
      <c r="F245" s="338">
        <v>0</v>
      </c>
      <c r="G245" s="338">
        <v>266329.05</v>
      </c>
      <c r="H245" s="338">
        <v>3707.8</v>
      </c>
      <c r="I245" s="338">
        <v>54947.5</v>
      </c>
      <c r="J245" s="338">
        <v>106751.93</v>
      </c>
      <c r="K245" s="338">
        <v>13735</v>
      </c>
      <c r="L245" s="338">
        <v>554859.5</v>
      </c>
      <c r="M245" s="3">
        <f t="shared" ref="M245" si="9">SUM(C245:L245)</f>
        <v>6949933.0399999991</v>
      </c>
      <c r="N245" s="14">
        <v>9421.5</v>
      </c>
      <c r="O245" s="14">
        <v>58268.200000000004</v>
      </c>
      <c r="P245" s="14">
        <v>370131.5</v>
      </c>
      <c r="Q245" s="14">
        <v>7966.0700000000006</v>
      </c>
      <c r="R245" s="14">
        <v>202833.8</v>
      </c>
      <c r="S245" s="2">
        <f t="shared" si="8"/>
        <v>7598554.1099999994</v>
      </c>
      <c r="T245" s="22">
        <v>76</v>
      </c>
      <c r="U245" s="14">
        <v>2814</v>
      </c>
      <c r="V245" s="14">
        <v>-43257.81</v>
      </c>
      <c r="W245" s="14">
        <v>0</v>
      </c>
      <c r="X245" s="14">
        <v>-148.38</v>
      </c>
      <c r="Y245" s="42">
        <v>1</v>
      </c>
    </row>
    <row r="246" spans="1:25" x14ac:dyDescent="0.25">
      <c r="A246" s="12">
        <v>5812</v>
      </c>
      <c r="B246" s="13" t="s">
        <v>393</v>
      </c>
      <c r="C246" s="338">
        <v>155775.9</v>
      </c>
      <c r="D246" s="339">
        <v>11315.98</v>
      </c>
      <c r="E246" s="338">
        <v>0</v>
      </c>
      <c r="F246" s="338"/>
      <c r="G246" s="338">
        <v>1276.5</v>
      </c>
      <c r="H246" s="339">
        <v>149.69999999999999</v>
      </c>
      <c r="I246" s="338"/>
      <c r="J246" s="339">
        <v>-633.63</v>
      </c>
      <c r="K246" s="338">
        <v>522</v>
      </c>
      <c r="L246" s="341">
        <v>12397.7</v>
      </c>
      <c r="M246" s="3">
        <f t="shared" si="6"/>
        <v>180804.15000000002</v>
      </c>
      <c r="N246" s="14"/>
      <c r="O246" s="14"/>
      <c r="P246" s="14">
        <v>12100</v>
      </c>
      <c r="Q246" s="14">
        <v>74.95</v>
      </c>
      <c r="R246" s="14">
        <v>7317.2</v>
      </c>
      <c r="S246" s="2">
        <f t="shared" si="8"/>
        <v>200296.30000000005</v>
      </c>
      <c r="T246" s="22">
        <v>77</v>
      </c>
      <c r="U246" s="14">
        <v>130</v>
      </c>
      <c r="V246" s="14">
        <v>-4832.17</v>
      </c>
      <c r="W246" s="14"/>
      <c r="X246" s="14">
        <v>0</v>
      </c>
      <c r="Y246" s="392">
        <v>0.8</v>
      </c>
    </row>
    <row r="247" spans="1:25" x14ac:dyDescent="0.25">
      <c r="A247" s="12">
        <v>5813</v>
      </c>
      <c r="B247" s="13" t="s">
        <v>394</v>
      </c>
      <c r="C247" s="338">
        <v>621837.18999999994</v>
      </c>
      <c r="D247" s="339">
        <v>92743.75</v>
      </c>
      <c r="E247" s="338">
        <v>0</v>
      </c>
      <c r="F247" s="338">
        <v>2770</v>
      </c>
      <c r="G247" s="338">
        <v>15879.15</v>
      </c>
      <c r="H247" s="339">
        <v>393.4</v>
      </c>
      <c r="I247" s="338"/>
      <c r="J247" s="339">
        <v>10789.56</v>
      </c>
      <c r="K247" s="338"/>
      <c r="L247" s="339">
        <v>84790.75</v>
      </c>
      <c r="M247" s="3">
        <f t="shared" si="6"/>
        <v>829203.8</v>
      </c>
      <c r="N247" s="14"/>
      <c r="O247" s="14">
        <v>10378.1</v>
      </c>
      <c r="P247" s="14">
        <v>20020</v>
      </c>
      <c r="Q247" s="14">
        <v>131.54</v>
      </c>
      <c r="R247" s="14">
        <v>34091.35</v>
      </c>
      <c r="S247" s="2">
        <f t="shared" si="8"/>
        <v>893824.79</v>
      </c>
      <c r="T247" s="22">
        <v>70</v>
      </c>
      <c r="U247" s="14">
        <v>446</v>
      </c>
      <c r="V247" s="14">
        <v>-9968.73</v>
      </c>
      <c r="W247" s="14"/>
      <c r="X247" s="14">
        <v>-1.72</v>
      </c>
      <c r="Y247" s="42">
        <v>1.2</v>
      </c>
    </row>
    <row r="248" spans="1:25" x14ac:dyDescent="0.25">
      <c r="A248" s="12">
        <v>5816</v>
      </c>
      <c r="B248" s="13" t="s">
        <v>10</v>
      </c>
      <c r="C248" s="338">
        <v>3065381.94</v>
      </c>
      <c r="D248" s="339">
        <v>319488.03999999998</v>
      </c>
      <c r="E248" s="338">
        <v>0</v>
      </c>
      <c r="F248" s="338"/>
      <c r="G248" s="338">
        <v>216538.55</v>
      </c>
      <c r="H248" s="339">
        <v>13962</v>
      </c>
      <c r="I248" s="338"/>
      <c r="J248" s="339">
        <v>188760.21</v>
      </c>
      <c r="K248" s="338">
        <v>22613.5</v>
      </c>
      <c r="L248" s="339">
        <v>208184.3</v>
      </c>
      <c r="M248" s="3">
        <f t="shared" si="6"/>
        <v>4034928.5399999996</v>
      </c>
      <c r="N248" s="14">
        <v>9123.2000000000007</v>
      </c>
      <c r="O248" s="14">
        <v>1261.2</v>
      </c>
      <c r="P248" s="14">
        <v>120484.85</v>
      </c>
      <c r="Q248" s="14">
        <v>18297.8</v>
      </c>
      <c r="R248" s="14">
        <v>125314.9</v>
      </c>
      <c r="S248" s="2">
        <f t="shared" si="8"/>
        <v>4309410.49</v>
      </c>
      <c r="T248" s="22">
        <v>72</v>
      </c>
      <c r="U248" s="14">
        <v>2393</v>
      </c>
      <c r="V248" s="14">
        <v>-64163.8</v>
      </c>
      <c r="W248" s="14"/>
      <c r="X248" s="14">
        <v>-127.57</v>
      </c>
      <c r="Y248" s="42">
        <v>0.7</v>
      </c>
    </row>
    <row r="249" spans="1:25" x14ac:dyDescent="0.25">
      <c r="A249" s="12">
        <v>5817</v>
      </c>
      <c r="B249" s="13" t="s">
        <v>11</v>
      </c>
      <c r="C249" s="338">
        <v>1356615.49</v>
      </c>
      <c r="D249" s="339">
        <v>147676.95000000001</v>
      </c>
      <c r="E249" s="338">
        <v>0</v>
      </c>
      <c r="F249" s="338">
        <v>4740</v>
      </c>
      <c r="G249" s="338">
        <v>30385.5</v>
      </c>
      <c r="H249" s="339">
        <v>713.05</v>
      </c>
      <c r="I249" s="338"/>
      <c r="J249" s="339">
        <v>43441.94</v>
      </c>
      <c r="K249" s="338">
        <v>3544.5</v>
      </c>
      <c r="L249" s="339">
        <v>103011.9</v>
      </c>
      <c r="M249" s="3">
        <f t="shared" si="6"/>
        <v>1690129.3299999998</v>
      </c>
      <c r="N249" s="14">
        <v>254.85</v>
      </c>
      <c r="O249" s="14">
        <v>8052</v>
      </c>
      <c r="P249" s="14">
        <v>42546.75</v>
      </c>
      <c r="Q249" s="14"/>
      <c r="R249" s="14">
        <v>25765.45</v>
      </c>
      <c r="S249" s="2">
        <f t="shared" si="8"/>
        <v>1766748.38</v>
      </c>
      <c r="T249" s="22">
        <v>79.5</v>
      </c>
      <c r="U249" s="14">
        <v>885</v>
      </c>
      <c r="V249" s="14">
        <v>-21376.25</v>
      </c>
      <c r="W249" s="14"/>
      <c r="X249" s="14">
        <v>-4.33</v>
      </c>
      <c r="Y249" s="42">
        <v>1</v>
      </c>
    </row>
    <row r="250" spans="1:25" x14ac:dyDescent="0.25">
      <c r="A250" s="12">
        <v>5819</v>
      </c>
      <c r="B250" s="13" t="s">
        <v>12</v>
      </c>
      <c r="C250" s="338">
        <v>337793.55</v>
      </c>
      <c r="D250" s="339">
        <v>97351.35</v>
      </c>
      <c r="E250" s="338">
        <v>0</v>
      </c>
      <c r="F250" s="338"/>
      <c r="G250" s="338">
        <v>453566.05</v>
      </c>
      <c r="H250" s="339">
        <v>852.05000000000098</v>
      </c>
      <c r="I250" s="338"/>
      <c r="J250" s="339">
        <v>44083.09</v>
      </c>
      <c r="K250" s="338">
        <v>1413.3</v>
      </c>
      <c r="L250" s="339">
        <v>73951.850000000006</v>
      </c>
      <c r="M250" s="3">
        <f t="shared" si="6"/>
        <v>1009011.24</v>
      </c>
      <c r="N250" s="14">
        <v>18513.650000000001</v>
      </c>
      <c r="O250" s="14">
        <v>287.8</v>
      </c>
      <c r="P250" s="14">
        <v>24893</v>
      </c>
      <c r="Q250" s="14">
        <v>1270.77</v>
      </c>
      <c r="R250" s="14">
        <v>11659.3</v>
      </c>
      <c r="S250" s="2">
        <f t="shared" si="8"/>
        <v>1065635.76</v>
      </c>
      <c r="T250" s="22">
        <v>67</v>
      </c>
      <c r="U250" s="14">
        <v>338</v>
      </c>
      <c r="V250" s="14">
        <v>-8398.57</v>
      </c>
      <c r="W250" s="14"/>
      <c r="X250" s="14">
        <v>-250.6</v>
      </c>
      <c r="Y250" s="42">
        <v>1</v>
      </c>
    </row>
    <row r="251" spans="1:25" x14ac:dyDescent="0.25">
      <c r="A251" s="12">
        <v>5821</v>
      </c>
      <c r="B251" s="13" t="s">
        <v>13</v>
      </c>
      <c r="C251" s="338">
        <v>415874.12</v>
      </c>
      <c r="D251" s="339">
        <v>56273.96</v>
      </c>
      <c r="E251" s="338">
        <v>0</v>
      </c>
      <c r="F251" s="338"/>
      <c r="G251" s="338">
        <v>5337.05</v>
      </c>
      <c r="H251" s="339">
        <v>182.75</v>
      </c>
      <c r="I251" s="338"/>
      <c r="J251" s="339">
        <v>32243.17</v>
      </c>
      <c r="K251" s="338">
        <v>1306.5</v>
      </c>
      <c r="L251" s="339">
        <v>45578.3</v>
      </c>
      <c r="M251" s="3">
        <f t="shared" si="6"/>
        <v>556795.85</v>
      </c>
      <c r="N251" s="14"/>
      <c r="O251" s="14"/>
      <c r="P251" s="14">
        <v>24211</v>
      </c>
      <c r="Q251" s="14">
        <v>15611.6</v>
      </c>
      <c r="R251" s="14">
        <v>14385.1</v>
      </c>
      <c r="S251" s="2">
        <f t="shared" si="8"/>
        <v>611003.54999999993</v>
      </c>
      <c r="T251" s="22">
        <v>72</v>
      </c>
      <c r="U251" s="14">
        <v>361</v>
      </c>
      <c r="V251" s="14">
        <v>-12516.84</v>
      </c>
      <c r="W251" s="14"/>
      <c r="X251" s="14">
        <v>0</v>
      </c>
      <c r="Y251" s="42">
        <v>1</v>
      </c>
    </row>
    <row r="252" spans="1:25" x14ac:dyDescent="0.25">
      <c r="A252" s="12">
        <v>5822</v>
      </c>
      <c r="B252" s="13" t="s">
        <v>14</v>
      </c>
      <c r="C252" s="338">
        <v>12433186.33</v>
      </c>
      <c r="D252" s="339">
        <v>1248529.02</v>
      </c>
      <c r="E252" s="338">
        <v>0</v>
      </c>
      <c r="F252" s="338"/>
      <c r="G252" s="338">
        <v>1861535.1</v>
      </c>
      <c r="H252" s="339">
        <v>47458.5</v>
      </c>
      <c r="I252" s="338"/>
      <c r="J252" s="339">
        <v>789087.44</v>
      </c>
      <c r="K252" s="338">
        <v>155208.70000000001</v>
      </c>
      <c r="L252" s="339">
        <v>1218963.6499999999</v>
      </c>
      <c r="M252" s="3">
        <f t="shared" si="6"/>
        <v>17753968.739999998</v>
      </c>
      <c r="N252" s="14">
        <v>64714.25</v>
      </c>
      <c r="O252" s="14">
        <f>1531872.7-1000000</f>
        <v>531872.69999999995</v>
      </c>
      <c r="P252" s="14">
        <v>548393.9</v>
      </c>
      <c r="Q252" s="14">
        <v>122624.91</v>
      </c>
      <c r="R252" s="14">
        <v>372110.4</v>
      </c>
      <c r="S252" s="2">
        <f t="shared" si="8"/>
        <v>19393684.899999995</v>
      </c>
      <c r="T252" s="22">
        <v>75</v>
      </c>
      <c r="U252" s="14">
        <v>9301</v>
      </c>
      <c r="V252" s="14">
        <v>-513437</v>
      </c>
      <c r="W252" s="14"/>
      <c r="X252" s="14">
        <v>-1131.3</v>
      </c>
      <c r="Y252" s="42">
        <v>1</v>
      </c>
    </row>
    <row r="253" spans="1:25" x14ac:dyDescent="0.25">
      <c r="A253" s="12">
        <v>5827</v>
      </c>
      <c r="B253" s="13" t="s">
        <v>15</v>
      </c>
      <c r="C253" s="338">
        <v>391207.92</v>
      </c>
      <c r="D253" s="339">
        <v>43871.43</v>
      </c>
      <c r="E253" s="338">
        <v>0</v>
      </c>
      <c r="F253" s="338">
        <v>1370</v>
      </c>
      <c r="G253" s="338">
        <v>20223.3</v>
      </c>
      <c r="H253" s="339">
        <v>103.3</v>
      </c>
      <c r="I253" s="338"/>
      <c r="J253" s="339">
        <v>16416.759999999998</v>
      </c>
      <c r="K253" s="338">
        <v>112</v>
      </c>
      <c r="L253" s="339">
        <v>33800.050000000003</v>
      </c>
      <c r="M253" s="3">
        <f t="shared" si="6"/>
        <v>507104.75999999995</v>
      </c>
      <c r="N253" s="14">
        <v>24264.25</v>
      </c>
      <c r="O253" s="14"/>
      <c r="P253" s="14">
        <v>25635.4</v>
      </c>
      <c r="Q253" s="14">
        <v>-5530.66</v>
      </c>
      <c r="R253" s="14">
        <v>33020.9</v>
      </c>
      <c r="S253" s="2">
        <f t="shared" si="8"/>
        <v>584494.65</v>
      </c>
      <c r="T253" s="22">
        <v>80</v>
      </c>
      <c r="U253" s="14">
        <v>260</v>
      </c>
      <c r="V253" s="14">
        <v>-5180.71</v>
      </c>
      <c r="W253" s="14"/>
      <c r="X253" s="14">
        <v>0</v>
      </c>
      <c r="Y253" s="42">
        <v>1</v>
      </c>
    </row>
    <row r="254" spans="1:25" x14ac:dyDescent="0.25">
      <c r="A254" s="12">
        <v>5828</v>
      </c>
      <c r="B254" s="13" t="s">
        <v>538</v>
      </c>
      <c r="C254" s="338">
        <v>162710.98000000001</v>
      </c>
      <c r="D254" s="339">
        <v>16754.740000000002</v>
      </c>
      <c r="E254" s="338">
        <v>0</v>
      </c>
      <c r="F254" s="338"/>
      <c r="G254" s="338">
        <v>1295.4000000000001</v>
      </c>
      <c r="H254" s="339">
        <v>-45.95</v>
      </c>
      <c r="I254" s="338"/>
      <c r="J254" s="339">
        <v>1499.69</v>
      </c>
      <c r="K254" s="338"/>
      <c r="L254" s="339">
        <v>20473.8</v>
      </c>
      <c r="M254" s="3">
        <f t="shared" si="6"/>
        <v>202688.65999999997</v>
      </c>
      <c r="N254" s="14"/>
      <c r="O254" s="14">
        <v>892.6</v>
      </c>
      <c r="P254" s="14">
        <v>4015.9</v>
      </c>
      <c r="Q254" s="14">
        <v>5785.05</v>
      </c>
      <c r="R254" s="14">
        <v>5391.1</v>
      </c>
      <c r="S254" s="2">
        <f t="shared" si="8"/>
        <v>218773.30999999997</v>
      </c>
      <c r="T254" s="22">
        <v>84</v>
      </c>
      <c r="U254" s="14">
        <v>131</v>
      </c>
      <c r="V254" s="14">
        <v>-4036</v>
      </c>
      <c r="W254" s="14"/>
      <c r="X254" s="14">
        <v>-0.13</v>
      </c>
      <c r="Y254" s="42">
        <v>1.5</v>
      </c>
    </row>
    <row r="255" spans="1:25" x14ac:dyDescent="0.25">
      <c r="A255" s="12">
        <v>5830</v>
      </c>
      <c r="B255" s="13" t="s">
        <v>16</v>
      </c>
      <c r="C255" s="338">
        <v>623477.31000000006</v>
      </c>
      <c r="D255" s="339">
        <v>83711.37</v>
      </c>
      <c r="E255" s="338">
        <v>0</v>
      </c>
      <c r="F255" s="338">
        <v>2490</v>
      </c>
      <c r="G255" s="338">
        <v>7127.5</v>
      </c>
      <c r="H255" s="339">
        <v>257.05</v>
      </c>
      <c r="I255" s="338"/>
      <c r="J255" s="339">
        <v>10967.04</v>
      </c>
      <c r="K255" s="338">
        <v>1360.5</v>
      </c>
      <c r="L255" s="339">
        <v>53467.85</v>
      </c>
      <c r="M255" s="3">
        <f t="shared" si="6"/>
        <v>782858.62000000011</v>
      </c>
      <c r="N255" s="14"/>
      <c r="O255" s="14"/>
      <c r="P255" s="14">
        <v>28417.85</v>
      </c>
      <c r="Q255" s="14"/>
      <c r="R255" s="14">
        <v>28796.7</v>
      </c>
      <c r="S255" s="2">
        <f t="shared" si="8"/>
        <v>840073.17</v>
      </c>
      <c r="T255" s="22">
        <v>79</v>
      </c>
      <c r="U255" s="14">
        <v>424</v>
      </c>
      <c r="V255" s="14">
        <v>-13598.79</v>
      </c>
      <c r="W255" s="14"/>
      <c r="X255" s="14">
        <v>-6.08</v>
      </c>
      <c r="Y255" s="42">
        <v>1</v>
      </c>
    </row>
    <row r="256" spans="1:25" x14ac:dyDescent="0.25">
      <c r="A256" s="12">
        <v>5831</v>
      </c>
      <c r="B256" s="13" t="s">
        <v>444</v>
      </c>
      <c r="C256" s="338">
        <v>3959395.75</v>
      </c>
      <c r="D256" s="339">
        <v>634342.12</v>
      </c>
      <c r="E256" s="338">
        <v>0</v>
      </c>
      <c r="F256" s="338"/>
      <c r="G256" s="338">
        <v>415940.7</v>
      </c>
      <c r="H256" s="339">
        <v>507.99999999999801</v>
      </c>
      <c r="I256" s="338"/>
      <c r="J256" s="339">
        <v>157629.22</v>
      </c>
      <c r="K256" s="338">
        <v>15634.5</v>
      </c>
      <c r="L256" s="339">
        <v>232271.3</v>
      </c>
      <c r="M256" s="3">
        <f t="shared" si="6"/>
        <v>5415721.5899999999</v>
      </c>
      <c r="N256" s="14">
        <v>31674.95</v>
      </c>
      <c r="O256" s="14">
        <v>109325.7</v>
      </c>
      <c r="P256" s="14">
        <v>128402.45</v>
      </c>
      <c r="Q256" s="14">
        <v>-1331.71</v>
      </c>
      <c r="R256" s="14">
        <v>84098.85</v>
      </c>
      <c r="S256" s="2">
        <f t="shared" si="8"/>
        <v>5767891.8300000001</v>
      </c>
      <c r="T256" s="22">
        <v>73</v>
      </c>
      <c r="U256" s="14">
        <v>2974</v>
      </c>
      <c r="V256" s="14">
        <v>-83670.2</v>
      </c>
      <c r="W256" s="14"/>
      <c r="X256" s="14">
        <v>-150.69</v>
      </c>
      <c r="Y256" s="42">
        <v>0.6</v>
      </c>
    </row>
    <row r="257" spans="1:25" x14ac:dyDescent="0.25">
      <c r="A257" s="12">
        <v>5841</v>
      </c>
      <c r="B257" s="13" t="s">
        <v>17</v>
      </c>
      <c r="C257" s="338">
        <v>5350351.17</v>
      </c>
      <c r="D257" s="339">
        <v>1483151.41</v>
      </c>
      <c r="E257" s="338">
        <v>0</v>
      </c>
      <c r="F257" s="338"/>
      <c r="G257" s="338">
        <v>356418.2</v>
      </c>
      <c r="H257" s="339">
        <v>53019.85</v>
      </c>
      <c r="I257" s="338">
        <v>448662.6</v>
      </c>
      <c r="J257" s="339">
        <v>394498.73</v>
      </c>
      <c r="K257" s="338">
        <v>32864</v>
      </c>
      <c r="L257" s="339">
        <v>1331758.3799999999</v>
      </c>
      <c r="M257" s="3">
        <f t="shared" ref="M257:M315" si="10">SUM(C257:L257)</f>
        <v>9450724.3399999999</v>
      </c>
      <c r="N257" s="14"/>
      <c r="O257" s="14">
        <v>316487.7</v>
      </c>
      <c r="P257" s="14">
        <v>445879.5</v>
      </c>
      <c r="Q257" s="14">
        <v>17982.62</v>
      </c>
      <c r="R257" s="14">
        <v>405446.1</v>
      </c>
      <c r="S257" s="2">
        <f t="shared" si="8"/>
        <v>10636520.259999998</v>
      </c>
      <c r="T257" s="22">
        <v>83</v>
      </c>
      <c r="U257" s="14">
        <v>3477</v>
      </c>
      <c r="V257" s="14">
        <v>-188026.66</v>
      </c>
      <c r="W257" s="14"/>
      <c r="X257" s="14">
        <v>-800.02</v>
      </c>
      <c r="Y257" s="42">
        <v>1.5</v>
      </c>
    </row>
    <row r="258" spans="1:25" x14ac:dyDescent="0.25">
      <c r="A258" s="12">
        <v>5842</v>
      </c>
      <c r="B258" s="13" t="s">
        <v>18</v>
      </c>
      <c r="C258" s="338">
        <v>764693.45</v>
      </c>
      <c r="D258" s="339">
        <v>203437</v>
      </c>
      <c r="E258" s="338">
        <v>0</v>
      </c>
      <c r="F258" s="338"/>
      <c r="G258" s="338">
        <v>11930.35</v>
      </c>
      <c r="H258" s="339">
        <v>260.8</v>
      </c>
      <c r="I258" s="338">
        <v>20833.599999999999</v>
      </c>
      <c r="J258" s="339">
        <v>16773.27</v>
      </c>
      <c r="K258" s="338">
        <v>387.5</v>
      </c>
      <c r="L258" s="339">
        <v>126156.6</v>
      </c>
      <c r="M258" s="3">
        <f t="shared" si="10"/>
        <v>1144472.57</v>
      </c>
      <c r="N258" s="14"/>
      <c r="O258" s="14">
        <v>160449.20000000001</v>
      </c>
      <c r="P258" s="14">
        <v>26405.35</v>
      </c>
      <c r="Q258" s="14"/>
      <c r="R258" s="14">
        <v>25996.2</v>
      </c>
      <c r="S258" s="2">
        <f t="shared" si="8"/>
        <v>1357323.32</v>
      </c>
      <c r="T258" s="22">
        <v>81</v>
      </c>
      <c r="U258" s="14">
        <v>546</v>
      </c>
      <c r="V258" s="14">
        <v>-6930.42</v>
      </c>
      <c r="W258" s="14"/>
      <c r="X258" s="14">
        <v>-418.58</v>
      </c>
      <c r="Y258" s="42">
        <v>1.5</v>
      </c>
    </row>
    <row r="259" spans="1:25" x14ac:dyDescent="0.25">
      <c r="A259" s="12">
        <v>5843</v>
      </c>
      <c r="B259" s="13" t="s">
        <v>19</v>
      </c>
      <c r="C259" s="338">
        <v>2113070.58</v>
      </c>
      <c r="D259" s="339">
        <v>1286464.44</v>
      </c>
      <c r="E259" s="338">
        <v>0</v>
      </c>
      <c r="F259" s="338"/>
      <c r="G259" s="338">
        <v>243979.95</v>
      </c>
      <c r="H259" s="339">
        <v>10929.2</v>
      </c>
      <c r="I259" s="338">
        <v>1593270.22</v>
      </c>
      <c r="J259" s="339">
        <v>100403.79</v>
      </c>
      <c r="K259" s="338">
        <v>28267</v>
      </c>
      <c r="L259" s="339">
        <v>1075412</v>
      </c>
      <c r="M259" s="3">
        <f t="shared" si="10"/>
        <v>6451797.1800000006</v>
      </c>
      <c r="N259" s="14"/>
      <c r="O259" s="14">
        <v>589253.9</v>
      </c>
      <c r="P259" s="14">
        <v>215426.9</v>
      </c>
      <c r="Q259" s="14">
        <v>6126.52</v>
      </c>
      <c r="R259" s="14">
        <v>876013.55</v>
      </c>
      <c r="S259" s="2">
        <f t="shared" si="8"/>
        <v>8138618.0500000007</v>
      </c>
      <c r="T259" s="22">
        <v>69</v>
      </c>
      <c r="U259" s="14">
        <v>892</v>
      </c>
      <c r="V259" s="14">
        <v>-6623.46</v>
      </c>
      <c r="W259" s="14"/>
      <c r="X259" s="14">
        <v>-6102.86</v>
      </c>
      <c r="Y259" s="42">
        <v>1.5</v>
      </c>
    </row>
    <row r="260" spans="1:25" x14ac:dyDescent="0.25">
      <c r="A260" s="12">
        <v>5851</v>
      </c>
      <c r="B260" s="13" t="s">
        <v>20</v>
      </c>
      <c r="C260" s="338">
        <v>894766.63</v>
      </c>
      <c r="D260" s="339">
        <v>130468.59</v>
      </c>
      <c r="E260" s="338">
        <v>0</v>
      </c>
      <c r="F260" s="338"/>
      <c r="G260" s="338">
        <v>288264.09999999998</v>
      </c>
      <c r="H260" s="339">
        <v>4468.95</v>
      </c>
      <c r="I260" s="338">
        <v>77283.350000000006</v>
      </c>
      <c r="J260" s="339">
        <v>53521.59</v>
      </c>
      <c r="K260" s="338">
        <v>27171</v>
      </c>
      <c r="L260" s="339">
        <v>222037.5</v>
      </c>
      <c r="M260" s="3">
        <f t="shared" si="10"/>
        <v>1697981.71</v>
      </c>
      <c r="N260" s="14">
        <v>34609.599999999999</v>
      </c>
      <c r="O260" s="14">
        <v>10856.9</v>
      </c>
      <c r="P260" s="14">
        <v>10333.200000000001</v>
      </c>
      <c r="Q260" s="14">
        <v>254.33</v>
      </c>
      <c r="R260" s="14">
        <v>855188.45</v>
      </c>
      <c r="S260" s="2">
        <f t="shared" si="8"/>
        <v>2609224.19</v>
      </c>
      <c r="T260" s="22">
        <v>62</v>
      </c>
      <c r="U260" s="14">
        <v>432</v>
      </c>
      <c r="V260" s="14">
        <v>-9934.33</v>
      </c>
      <c r="W260" s="14"/>
      <c r="X260" s="14">
        <v>-277.47000000000003</v>
      </c>
      <c r="Y260" s="42">
        <v>1.1000000000000001</v>
      </c>
    </row>
    <row r="261" spans="1:25" x14ac:dyDescent="0.25">
      <c r="A261" s="12">
        <v>5852</v>
      </c>
      <c r="B261" s="13" t="s">
        <v>21</v>
      </c>
      <c r="C261" s="338">
        <v>1058540.44</v>
      </c>
      <c r="D261" s="339">
        <v>374118.98</v>
      </c>
      <c r="E261" s="338">
        <v>0</v>
      </c>
      <c r="F261" s="338"/>
      <c r="G261" s="338">
        <v>12825.05</v>
      </c>
      <c r="H261" s="339">
        <v>4504.3999999999996</v>
      </c>
      <c r="I261" s="338">
        <v>321122</v>
      </c>
      <c r="J261" s="339">
        <v>42172.88</v>
      </c>
      <c r="K261" s="338">
        <v>7815</v>
      </c>
      <c r="L261" s="339">
        <v>169734.6</v>
      </c>
      <c r="M261" s="3">
        <f t="shared" si="10"/>
        <v>1990833.3499999999</v>
      </c>
      <c r="N261" s="14">
        <v>8097.2</v>
      </c>
      <c r="O261" s="14"/>
      <c r="P261" s="14">
        <v>21175</v>
      </c>
      <c r="Q261" s="14">
        <v>4877.99</v>
      </c>
      <c r="R261" s="14">
        <v>6166.7</v>
      </c>
      <c r="S261" s="2">
        <f t="shared" si="8"/>
        <v>2031150.2399999998</v>
      </c>
      <c r="T261" s="22">
        <v>65.5</v>
      </c>
      <c r="U261" s="14">
        <v>485</v>
      </c>
      <c r="V261" s="14">
        <v>-35588.120000000003</v>
      </c>
      <c r="W261" s="14"/>
      <c r="X261" s="14">
        <v>-213.14</v>
      </c>
      <c r="Y261" s="42">
        <v>1</v>
      </c>
    </row>
    <row r="262" spans="1:25" x14ac:dyDescent="0.25">
      <c r="A262" s="12">
        <v>5853</v>
      </c>
      <c r="B262" s="13" t="s">
        <v>22</v>
      </c>
      <c r="C262" s="338">
        <v>2071956.26</v>
      </c>
      <c r="D262" s="339">
        <v>304468.64</v>
      </c>
      <c r="E262" s="338">
        <v>0</v>
      </c>
      <c r="F262" s="338"/>
      <c r="G262" s="338">
        <v>87396.75</v>
      </c>
      <c r="H262" s="339">
        <v>7365.5</v>
      </c>
      <c r="I262" s="338">
        <v>184424.35</v>
      </c>
      <c r="J262" s="339">
        <v>65180.06</v>
      </c>
      <c r="K262" s="338">
        <v>-20837</v>
      </c>
      <c r="L262" s="339">
        <v>188350.3</v>
      </c>
      <c r="M262" s="3">
        <f t="shared" si="10"/>
        <v>2888304.86</v>
      </c>
      <c r="N262" s="14">
        <v>56250.6</v>
      </c>
      <c r="O262" s="14">
        <v>230659</v>
      </c>
      <c r="P262" s="14">
        <v>102437.6</v>
      </c>
      <c r="Q262" s="14">
        <v>31512.02</v>
      </c>
      <c r="R262" s="14">
        <v>14094.95</v>
      </c>
      <c r="S262" s="2">
        <f t="shared" si="8"/>
        <v>3323259.0300000003</v>
      </c>
      <c r="T262" s="22">
        <v>71</v>
      </c>
      <c r="U262" s="14">
        <v>766</v>
      </c>
      <c r="V262" s="14">
        <v>-41098.03</v>
      </c>
      <c r="W262" s="14"/>
      <c r="X262" s="14">
        <v>-149.99</v>
      </c>
      <c r="Y262" s="42">
        <v>1</v>
      </c>
    </row>
    <row r="263" spans="1:25" x14ac:dyDescent="0.25">
      <c r="A263" s="12">
        <v>5854</v>
      </c>
      <c r="B263" s="13" t="s">
        <v>23</v>
      </c>
      <c r="C263" s="338">
        <v>652616.85</v>
      </c>
      <c r="D263" s="339">
        <v>112052.6</v>
      </c>
      <c r="E263" s="338">
        <v>0</v>
      </c>
      <c r="F263" s="338"/>
      <c r="G263" s="338">
        <v>50568.15</v>
      </c>
      <c r="H263" s="339">
        <v>431.3</v>
      </c>
      <c r="I263" s="338"/>
      <c r="J263" s="339">
        <v>1689.25</v>
      </c>
      <c r="K263" s="338">
        <v>1269</v>
      </c>
      <c r="L263" s="339">
        <v>92355.85</v>
      </c>
      <c r="M263" s="3">
        <f t="shared" si="10"/>
        <v>910983</v>
      </c>
      <c r="N263" s="14">
        <v>21571.65</v>
      </c>
      <c r="O263" s="14">
        <v>0</v>
      </c>
      <c r="P263" s="14">
        <v>34948.699999999997</v>
      </c>
      <c r="Q263" s="14"/>
      <c r="R263" s="14">
        <v>6362.45</v>
      </c>
      <c r="S263" s="2">
        <f t="shared" si="8"/>
        <v>973865.79999999993</v>
      </c>
      <c r="T263" s="22">
        <v>80</v>
      </c>
      <c r="U263" s="14">
        <v>359</v>
      </c>
      <c r="V263" s="14">
        <v>-33869.4</v>
      </c>
      <c r="W263" s="14"/>
      <c r="X263" s="14">
        <v>-105.29</v>
      </c>
      <c r="Y263" s="42">
        <v>1.5</v>
      </c>
    </row>
    <row r="264" spans="1:25" x14ac:dyDescent="0.25">
      <c r="A264" s="12">
        <v>5855</v>
      </c>
      <c r="B264" s="13" t="s">
        <v>24</v>
      </c>
      <c r="C264" s="338">
        <v>2297763.8399999999</v>
      </c>
      <c r="D264" s="339">
        <v>555837.66</v>
      </c>
      <c r="E264" s="338">
        <v>0</v>
      </c>
      <c r="F264" s="338"/>
      <c r="G264" s="338">
        <v>63903.6</v>
      </c>
      <c r="H264" s="339">
        <v>20380.900000000001</v>
      </c>
      <c r="I264" s="338">
        <v>692574.78</v>
      </c>
      <c r="J264" s="339">
        <v>-82534.73</v>
      </c>
      <c r="K264" s="338">
        <v>23822.5</v>
      </c>
      <c r="L264" s="339">
        <v>162231.70000000001</v>
      </c>
      <c r="M264" s="3">
        <f t="shared" si="10"/>
        <v>3733980.2500000005</v>
      </c>
      <c r="N264" s="14">
        <v>1937.3</v>
      </c>
      <c r="O264" s="14"/>
      <c r="P264" s="14">
        <v>438117.7</v>
      </c>
      <c r="Q264" s="14">
        <v>1530.17</v>
      </c>
      <c r="R264" s="14">
        <v>481664.6</v>
      </c>
      <c r="S264" s="2">
        <f t="shared" si="8"/>
        <v>4657230.0200000005</v>
      </c>
      <c r="T264" s="22">
        <v>49</v>
      </c>
      <c r="U264" s="14">
        <v>633</v>
      </c>
      <c r="V264" s="14">
        <v>-6243.07</v>
      </c>
      <c r="W264" s="14"/>
      <c r="X264" s="14">
        <v>-1498.19</v>
      </c>
      <c r="Y264" s="42">
        <v>0.5</v>
      </c>
    </row>
    <row r="265" spans="1:25" x14ac:dyDescent="0.25">
      <c r="A265" s="12">
        <v>5856</v>
      </c>
      <c r="B265" s="13" t="s">
        <v>25</v>
      </c>
      <c r="C265" s="338">
        <v>1535196.41</v>
      </c>
      <c r="D265" s="339">
        <v>242786.95</v>
      </c>
      <c r="E265" s="338">
        <v>0</v>
      </c>
      <c r="F265" s="338"/>
      <c r="G265" s="338">
        <v>3513.95</v>
      </c>
      <c r="H265" s="339">
        <v>731.3</v>
      </c>
      <c r="I265" s="338">
        <v>167155.5</v>
      </c>
      <c r="J265" s="339">
        <v>49515.54</v>
      </c>
      <c r="K265" s="338">
        <v>1786</v>
      </c>
      <c r="L265" s="339">
        <v>220515.9</v>
      </c>
      <c r="M265" s="3">
        <f t="shared" si="10"/>
        <v>2221201.5499999998</v>
      </c>
      <c r="N265" s="14">
        <v>20042.849999999999</v>
      </c>
      <c r="O265" s="14">
        <v>9973.2999999999993</v>
      </c>
      <c r="P265" s="14">
        <v>51810</v>
      </c>
      <c r="Q265" s="14"/>
      <c r="R265" s="14">
        <v>41026.050000000003</v>
      </c>
      <c r="S265" s="2">
        <f t="shared" si="8"/>
        <v>2344053.7499999995</v>
      </c>
      <c r="T265" s="22">
        <v>68</v>
      </c>
      <c r="U265" s="14">
        <v>695</v>
      </c>
      <c r="V265" s="14">
        <v>-3398.75</v>
      </c>
      <c r="W265" s="14"/>
      <c r="X265" s="14">
        <v>-243.96</v>
      </c>
      <c r="Y265" s="42">
        <v>1.3</v>
      </c>
    </row>
    <row r="266" spans="1:25" x14ac:dyDescent="0.25">
      <c r="A266" s="12">
        <v>5857</v>
      </c>
      <c r="B266" s="13" t="s">
        <v>26</v>
      </c>
      <c r="C266" s="338">
        <v>3081745.5</v>
      </c>
      <c r="D266" s="339">
        <v>565020.09</v>
      </c>
      <c r="E266" s="338">
        <v>0</v>
      </c>
      <c r="F266" s="338"/>
      <c r="G266" s="338">
        <v>68127.649999999994</v>
      </c>
      <c r="H266" s="339">
        <v>1387.8</v>
      </c>
      <c r="I266" s="338">
        <v>-27111.55</v>
      </c>
      <c r="J266" s="339">
        <v>103071.4</v>
      </c>
      <c r="K266" s="338">
        <v>8805.5</v>
      </c>
      <c r="L266" s="339">
        <v>327264.5</v>
      </c>
      <c r="M266" s="3">
        <f t="shared" si="10"/>
        <v>4128310.8899999997</v>
      </c>
      <c r="N266" s="14">
        <v>85888.1</v>
      </c>
      <c r="O266" s="14">
        <v>319661.3</v>
      </c>
      <c r="P266" s="14">
        <v>484278.3</v>
      </c>
      <c r="Q266" s="14">
        <v>11008.25</v>
      </c>
      <c r="R266" s="14">
        <v>173847.65</v>
      </c>
      <c r="S266" s="2">
        <f t="shared" si="8"/>
        <v>5202994.4899999993</v>
      </c>
      <c r="T266" s="22">
        <v>66</v>
      </c>
      <c r="U266" s="14">
        <v>1230</v>
      </c>
      <c r="V266" s="14">
        <v>-10552.96</v>
      </c>
      <c r="W266" s="14"/>
      <c r="X266" s="14">
        <v>-1096.77</v>
      </c>
      <c r="Y266" s="42">
        <v>1</v>
      </c>
    </row>
    <row r="267" spans="1:25" x14ac:dyDescent="0.25">
      <c r="A267" s="12">
        <v>5858</v>
      </c>
      <c r="B267" s="13" t="s">
        <v>27</v>
      </c>
      <c r="C267" s="338">
        <v>1352187.64</v>
      </c>
      <c r="D267" s="339">
        <v>408944.3</v>
      </c>
      <c r="E267" s="338">
        <v>0</v>
      </c>
      <c r="F267" s="338"/>
      <c r="G267" s="338">
        <v>17213.599999999999</v>
      </c>
      <c r="H267" s="339">
        <v>1801.25</v>
      </c>
      <c r="I267" s="338">
        <v>108430.2</v>
      </c>
      <c r="J267" s="339">
        <v>91937.61</v>
      </c>
      <c r="K267" s="338">
        <v>1042.2</v>
      </c>
      <c r="L267" s="339">
        <v>214900.6</v>
      </c>
      <c r="M267" s="3">
        <f t="shared" si="10"/>
        <v>2196457.4</v>
      </c>
      <c r="N267" s="14">
        <v>13569.15</v>
      </c>
      <c r="O267" s="14">
        <v>1419</v>
      </c>
      <c r="P267" s="14">
        <v>14172.85</v>
      </c>
      <c r="Q267" s="14">
        <v>6913.24</v>
      </c>
      <c r="R267" s="14">
        <v>-21957.200000000001</v>
      </c>
      <c r="S267" s="2">
        <f t="shared" si="8"/>
        <v>2210574.44</v>
      </c>
      <c r="T267" s="22">
        <v>60</v>
      </c>
      <c r="U267" s="14">
        <v>625</v>
      </c>
      <c r="V267" s="14">
        <v>-28553.16</v>
      </c>
      <c r="W267" s="14"/>
      <c r="X267" s="14">
        <v>-465.83</v>
      </c>
      <c r="Y267" s="42">
        <v>1.5</v>
      </c>
    </row>
    <row r="268" spans="1:25" x14ac:dyDescent="0.25">
      <c r="A268" s="12">
        <v>5859</v>
      </c>
      <c r="B268" s="13" t="s">
        <v>28</v>
      </c>
      <c r="C268" s="338">
        <v>5963548.1100000003</v>
      </c>
      <c r="D268" s="339">
        <v>1253366.25</v>
      </c>
      <c r="E268" s="338">
        <v>0</v>
      </c>
      <c r="F268" s="338"/>
      <c r="G268" s="338">
        <v>85446.2</v>
      </c>
      <c r="H268" s="339">
        <v>7008.95</v>
      </c>
      <c r="I268" s="338">
        <v>219514.5</v>
      </c>
      <c r="J268" s="339">
        <v>246685.91</v>
      </c>
      <c r="K268" s="338">
        <v>21259.200000000001</v>
      </c>
      <c r="L268" s="339">
        <v>596007.9</v>
      </c>
      <c r="M268" s="3">
        <f t="shared" si="10"/>
        <v>8392837.0200000014</v>
      </c>
      <c r="N268" s="14">
        <v>70477.75</v>
      </c>
      <c r="O268" s="14">
        <v>43011</v>
      </c>
      <c r="P268" s="14">
        <v>347015.55</v>
      </c>
      <c r="Q268" s="14">
        <v>16566.48</v>
      </c>
      <c r="R268" s="14">
        <v>269391.55</v>
      </c>
      <c r="S268" s="2">
        <f t="shared" si="8"/>
        <v>9139299.3500000034</v>
      </c>
      <c r="T268" s="22">
        <v>64</v>
      </c>
      <c r="U268" s="14">
        <v>2660</v>
      </c>
      <c r="V268" s="14">
        <v>-59709.2</v>
      </c>
      <c r="W268" s="14"/>
      <c r="X268" s="14">
        <v>-2149.92</v>
      </c>
      <c r="Y268" s="42">
        <v>1</v>
      </c>
    </row>
    <row r="269" spans="1:25" x14ac:dyDescent="0.25">
      <c r="A269" s="12">
        <v>5860</v>
      </c>
      <c r="B269" s="13" t="s">
        <v>29</v>
      </c>
      <c r="C269" s="338">
        <v>3765531.08</v>
      </c>
      <c r="D269" s="339">
        <v>804091.78</v>
      </c>
      <c r="E269" s="338">
        <v>0</v>
      </c>
      <c r="F269" s="338"/>
      <c r="G269" s="338">
        <v>30683.95</v>
      </c>
      <c r="H269" s="339">
        <v>3467.6</v>
      </c>
      <c r="I269" s="338">
        <v>429344.07</v>
      </c>
      <c r="J269" s="339">
        <v>70110.52</v>
      </c>
      <c r="K269" s="338">
        <v>26589</v>
      </c>
      <c r="L269" s="339">
        <v>592457.05000000005</v>
      </c>
      <c r="M269" s="3">
        <f t="shared" si="10"/>
        <v>5722275.0499999998</v>
      </c>
      <c r="N269" s="14">
        <v>16298.85</v>
      </c>
      <c r="O269" s="14">
        <v>15030</v>
      </c>
      <c r="P269" s="14">
        <v>318433.95</v>
      </c>
      <c r="Q269" s="14">
        <v>28406.86</v>
      </c>
      <c r="R269" s="14">
        <v>156397.04999999999</v>
      </c>
      <c r="S269" s="2">
        <f t="shared" si="8"/>
        <v>6256841.7599999998</v>
      </c>
      <c r="T269" s="22">
        <v>60</v>
      </c>
      <c r="U269" s="14">
        <v>1453</v>
      </c>
      <c r="V269" s="14">
        <v>-46635.53</v>
      </c>
      <c r="W269" s="14"/>
      <c r="X269" s="14">
        <v>-2338.84</v>
      </c>
      <c r="Y269" s="42">
        <v>1.3</v>
      </c>
    </row>
    <row r="270" spans="1:25" x14ac:dyDescent="0.25">
      <c r="A270" s="12">
        <v>5861</v>
      </c>
      <c r="B270" s="13" t="s">
        <v>30</v>
      </c>
      <c r="C270" s="338">
        <v>11090342.15</v>
      </c>
      <c r="D270" s="339">
        <v>2409582.91</v>
      </c>
      <c r="E270" s="338">
        <v>0</v>
      </c>
      <c r="F270" s="338"/>
      <c r="G270" s="338">
        <v>30011429.649999999</v>
      </c>
      <c r="H270" s="339">
        <v>1216981.05</v>
      </c>
      <c r="I270" s="338">
        <v>997451.13</v>
      </c>
      <c r="J270" s="339">
        <v>2088099.43</v>
      </c>
      <c r="K270" s="338">
        <v>282657.5</v>
      </c>
      <c r="L270" s="339">
        <v>1691636.05</v>
      </c>
      <c r="M270" s="3">
        <f t="shared" si="10"/>
        <v>49788179.869999997</v>
      </c>
      <c r="N270" s="14">
        <v>709686.45</v>
      </c>
      <c r="O270" s="14">
        <v>808467.1</v>
      </c>
      <c r="P270" s="14">
        <v>493965.65</v>
      </c>
      <c r="Q270" s="14">
        <v>58722.47</v>
      </c>
      <c r="R270" s="14">
        <v>239195.75</v>
      </c>
      <c r="S270" s="2">
        <f t="shared" si="8"/>
        <v>52098217.289999999</v>
      </c>
      <c r="T270" s="22">
        <v>59.5</v>
      </c>
      <c r="U270" s="14">
        <v>6142</v>
      </c>
      <c r="V270" s="14">
        <v>-168541.72</v>
      </c>
      <c r="W270" s="14"/>
      <c r="X270" s="14">
        <v>-8450.23</v>
      </c>
      <c r="Y270" s="42">
        <v>1</v>
      </c>
    </row>
    <row r="271" spans="1:25" x14ac:dyDescent="0.25">
      <c r="A271" s="12">
        <v>5862</v>
      </c>
      <c r="B271" s="13" t="s">
        <v>31</v>
      </c>
      <c r="C271" s="338">
        <v>561618.56000000006</v>
      </c>
      <c r="D271" s="339">
        <v>77860.509999999995</v>
      </c>
      <c r="E271" s="338">
        <v>0</v>
      </c>
      <c r="F271" s="338"/>
      <c r="G271" s="338">
        <v>2423.4</v>
      </c>
      <c r="H271" s="339">
        <v>1752.55</v>
      </c>
      <c r="I271" s="338"/>
      <c r="J271" s="339">
        <v>15914.58</v>
      </c>
      <c r="K271" s="338"/>
      <c r="L271" s="339">
        <v>40725.75</v>
      </c>
      <c r="M271" s="3">
        <f t="shared" si="10"/>
        <v>700295.35000000009</v>
      </c>
      <c r="N271" s="14">
        <v>8135.4</v>
      </c>
      <c r="O271" s="14">
        <v>27268.799999999999</v>
      </c>
      <c r="P271" s="14">
        <v>13200</v>
      </c>
      <c r="Q271" s="14"/>
      <c r="R271" s="14">
        <v>9618.7999999999993</v>
      </c>
      <c r="S271" s="2">
        <f t="shared" si="8"/>
        <v>758518.35000000021</v>
      </c>
      <c r="T271" s="22">
        <v>84</v>
      </c>
      <c r="U271" s="14">
        <v>236</v>
      </c>
      <c r="V271" s="14">
        <v>-7337.61</v>
      </c>
      <c r="W271" s="14"/>
      <c r="X271" s="14">
        <v>-163.41</v>
      </c>
      <c r="Y271" s="42">
        <v>0.9</v>
      </c>
    </row>
    <row r="272" spans="1:25" x14ac:dyDescent="0.25">
      <c r="A272" s="12">
        <v>5863</v>
      </c>
      <c r="B272" s="13" t="s">
        <v>32</v>
      </c>
      <c r="C272" s="338">
        <v>1509289.47</v>
      </c>
      <c r="D272" s="339">
        <v>146847.76999999999</v>
      </c>
      <c r="E272" s="338">
        <v>0</v>
      </c>
      <c r="F272" s="338"/>
      <c r="G272" s="338">
        <v>-6363.05</v>
      </c>
      <c r="H272" s="339">
        <v>1716.15</v>
      </c>
      <c r="I272" s="338"/>
      <c r="J272" s="339">
        <v>-3175.02</v>
      </c>
      <c r="K272" s="338">
        <v>507</v>
      </c>
      <c r="L272" s="339">
        <v>73798.2</v>
      </c>
      <c r="M272" s="3">
        <f t="shared" si="10"/>
        <v>1722620.5199999998</v>
      </c>
      <c r="N272" s="14">
        <v>15799.95</v>
      </c>
      <c r="O272" s="14"/>
      <c r="P272" s="14">
        <v>17588.150000000001</v>
      </c>
      <c r="Q272" s="14"/>
      <c r="R272" s="14"/>
      <c r="S272" s="2">
        <f t="shared" ref="S272:S303" si="11">SUM(M272:R272)</f>
        <v>1756008.6199999996</v>
      </c>
      <c r="T272" s="22">
        <v>70</v>
      </c>
      <c r="U272" s="14">
        <v>352</v>
      </c>
      <c r="V272" s="14">
        <v>-5536.93</v>
      </c>
      <c r="W272" s="14"/>
      <c r="X272" s="14">
        <v>-97.62</v>
      </c>
      <c r="Y272" s="42">
        <v>1</v>
      </c>
    </row>
    <row r="273" spans="1:25" x14ac:dyDescent="0.25">
      <c r="A273" s="12">
        <v>5871</v>
      </c>
      <c r="B273" s="13" t="s">
        <v>33</v>
      </c>
      <c r="C273" s="338">
        <v>2782779.2800000003</v>
      </c>
      <c r="D273" s="339">
        <v>494784.89</v>
      </c>
      <c r="E273" s="338">
        <v>0</v>
      </c>
      <c r="F273" s="338"/>
      <c r="G273" s="338">
        <f>-391690.6+593771</f>
        <v>202080.40000000002</v>
      </c>
      <c r="H273" s="339">
        <v>3326.4</v>
      </c>
      <c r="I273" s="338"/>
      <c r="J273" s="339">
        <v>85515.43</v>
      </c>
      <c r="K273" s="338">
        <v>1827.5</v>
      </c>
      <c r="L273" s="339">
        <v>239271.1</v>
      </c>
      <c r="M273" s="3">
        <f t="shared" si="10"/>
        <v>3809585.0000000005</v>
      </c>
      <c r="N273" s="14">
        <v>637314</v>
      </c>
      <c r="O273" s="14">
        <v>26165</v>
      </c>
      <c r="P273" s="14">
        <v>91019.35</v>
      </c>
      <c r="Q273" s="14">
        <v>3839.56</v>
      </c>
      <c r="R273" s="14">
        <v>87370.2</v>
      </c>
      <c r="S273" s="2">
        <f t="shared" si="11"/>
        <v>4655293.1099999994</v>
      </c>
      <c r="T273" s="22">
        <v>77.23</v>
      </c>
      <c r="U273" s="14">
        <v>1439</v>
      </c>
      <c r="V273" s="14">
        <v>-29337.68</v>
      </c>
      <c r="W273" s="14"/>
      <c r="X273" s="14">
        <v>-96.6</v>
      </c>
      <c r="Y273" s="42">
        <v>1</v>
      </c>
    </row>
    <row r="274" spans="1:25" x14ac:dyDescent="0.25">
      <c r="A274" s="12">
        <v>5872</v>
      </c>
      <c r="B274" s="13" t="s">
        <v>209</v>
      </c>
      <c r="C274" s="338">
        <v>6795048.1699999999</v>
      </c>
      <c r="D274" s="339">
        <v>946249.21</v>
      </c>
      <c r="E274" s="338">
        <v>0</v>
      </c>
      <c r="F274" s="338"/>
      <c r="G274" s="338">
        <v>11866524.449999999</v>
      </c>
      <c r="H274" s="339">
        <v>439084.1</v>
      </c>
      <c r="I274" s="338"/>
      <c r="J274" s="339">
        <v>1343658.41</v>
      </c>
      <c r="K274" s="338">
        <v>16760.5</v>
      </c>
      <c r="L274" s="339">
        <v>455209.45</v>
      </c>
      <c r="M274" s="3">
        <f t="shared" si="10"/>
        <v>21862534.289999999</v>
      </c>
      <c r="N274" s="14">
        <v>5100792.1500000004</v>
      </c>
      <c r="O274" s="14">
        <v>18221.8</v>
      </c>
      <c r="P274" s="14">
        <v>171905.9</v>
      </c>
      <c r="Q274" s="14">
        <v>29015.99</v>
      </c>
      <c r="R274" s="14">
        <v>219957.3</v>
      </c>
      <c r="S274" s="2">
        <f t="shared" si="11"/>
        <v>27402427.429999996</v>
      </c>
      <c r="T274" s="22">
        <v>69.7</v>
      </c>
      <c r="U274" s="14">
        <v>4608</v>
      </c>
      <c r="V274" s="14">
        <v>-94200.98</v>
      </c>
      <c r="W274" s="14"/>
      <c r="X274" s="14">
        <v>-416.92</v>
      </c>
      <c r="Y274" s="42">
        <v>0.7</v>
      </c>
    </row>
    <row r="275" spans="1:25" x14ac:dyDescent="0.25">
      <c r="A275" s="12">
        <v>5873</v>
      </c>
      <c r="B275" s="13" t="s">
        <v>210</v>
      </c>
      <c r="C275" s="338">
        <v>1295669.74</v>
      </c>
      <c r="D275" s="339">
        <v>313381.48</v>
      </c>
      <c r="E275" s="338">
        <v>0</v>
      </c>
      <c r="F275" s="338"/>
      <c r="G275" s="338">
        <v>198501</v>
      </c>
      <c r="H275" s="339">
        <v>7755.3</v>
      </c>
      <c r="I275" s="338"/>
      <c r="J275" s="339">
        <v>54999.93</v>
      </c>
      <c r="K275" s="338"/>
      <c r="L275" s="339">
        <v>81163</v>
      </c>
      <c r="M275" s="3">
        <f t="shared" si="10"/>
        <v>1951470.45</v>
      </c>
      <c r="N275" s="14">
        <v>806704.85</v>
      </c>
      <c r="O275" s="14">
        <v>7167.6</v>
      </c>
      <c r="P275" s="14">
        <v>58272.5</v>
      </c>
      <c r="Q275" s="14">
        <v>2372.81</v>
      </c>
      <c r="R275" s="14">
        <v>51373.85</v>
      </c>
      <c r="S275" s="2">
        <f t="shared" si="11"/>
        <v>2877362.06</v>
      </c>
      <c r="T275" s="22">
        <v>65</v>
      </c>
      <c r="U275" s="14">
        <v>873</v>
      </c>
      <c r="V275" s="14">
        <v>-19656.509999999998</v>
      </c>
      <c r="W275" s="14"/>
      <c r="X275" s="14">
        <v>-136.06</v>
      </c>
      <c r="Y275" s="42">
        <v>0.6</v>
      </c>
    </row>
    <row r="276" spans="1:25" x14ac:dyDescent="0.25">
      <c r="A276" s="12">
        <v>5881</v>
      </c>
      <c r="B276" s="13" t="s">
        <v>211</v>
      </c>
      <c r="C276" s="338">
        <v>16959573.609999999</v>
      </c>
      <c r="D276" s="339">
        <v>3242526.13</v>
      </c>
      <c r="E276" s="338">
        <v>0</v>
      </c>
      <c r="F276" s="338"/>
      <c r="G276" s="338">
        <v>593912.19999999995</v>
      </c>
      <c r="H276" s="339">
        <v>20325.05</v>
      </c>
      <c r="I276" s="338">
        <v>639726.47</v>
      </c>
      <c r="J276" s="339">
        <v>257478.04</v>
      </c>
      <c r="K276" s="338">
        <v>56274</v>
      </c>
      <c r="L276" s="339">
        <v>1550001.6</v>
      </c>
      <c r="M276" s="3">
        <f t="shared" si="10"/>
        <v>23319817.099999998</v>
      </c>
      <c r="N276" s="14">
        <v>78289.55</v>
      </c>
      <c r="O276" s="14">
        <v>1055691.7</v>
      </c>
      <c r="P276" s="14">
        <v>1006294.55</v>
      </c>
      <c r="Q276" s="14">
        <v>126992.67</v>
      </c>
      <c r="R276" s="14">
        <v>741092.65</v>
      </c>
      <c r="S276" s="2">
        <f t="shared" si="11"/>
        <v>26328178.219999999</v>
      </c>
      <c r="T276" s="22">
        <v>70</v>
      </c>
      <c r="U276" s="14">
        <v>6116</v>
      </c>
      <c r="V276" s="14">
        <v>-143524.78</v>
      </c>
      <c r="W276" s="14"/>
      <c r="X276" s="14">
        <v>-34734.68</v>
      </c>
      <c r="Y276" s="42">
        <v>1</v>
      </c>
    </row>
    <row r="277" spans="1:25" x14ac:dyDescent="0.25">
      <c r="A277" s="12">
        <v>5882</v>
      </c>
      <c r="B277" s="13" t="s">
        <v>212</v>
      </c>
      <c r="C277" s="338">
        <v>7117644.9100000001</v>
      </c>
      <c r="D277" s="339">
        <v>1598048.34</v>
      </c>
      <c r="E277" s="338">
        <v>0</v>
      </c>
      <c r="F277" s="338"/>
      <c r="G277" s="338">
        <v>249340.7</v>
      </c>
      <c r="H277" s="339">
        <v>15716.25</v>
      </c>
      <c r="I277" s="338">
        <v>371642.95</v>
      </c>
      <c r="J277" s="339">
        <v>148507.79</v>
      </c>
      <c r="K277" s="338">
        <v>31313</v>
      </c>
      <c r="L277" s="339">
        <v>818902.27</v>
      </c>
      <c r="M277" s="3">
        <f t="shared" si="10"/>
        <v>10351116.209999997</v>
      </c>
      <c r="N277" s="14">
        <v>10525.4</v>
      </c>
      <c r="O277" s="14">
        <v>543857.30000000005</v>
      </c>
      <c r="P277" s="14">
        <v>369527.8</v>
      </c>
      <c r="Q277" s="14">
        <v>4039.25</v>
      </c>
      <c r="R277" s="14">
        <v>285968.7</v>
      </c>
      <c r="S277" s="2">
        <f t="shared" si="11"/>
        <v>11565034.659999998</v>
      </c>
      <c r="T277" s="22">
        <v>68</v>
      </c>
      <c r="U277" s="14">
        <v>2916</v>
      </c>
      <c r="V277" s="14">
        <v>-78409.47</v>
      </c>
      <c r="W277" s="14"/>
      <c r="X277" s="14">
        <v>-2662.29</v>
      </c>
      <c r="Y277" s="42">
        <v>1</v>
      </c>
    </row>
    <row r="278" spans="1:25" x14ac:dyDescent="0.25">
      <c r="A278" s="12">
        <v>5883</v>
      </c>
      <c r="B278" s="13" t="s">
        <v>213</v>
      </c>
      <c r="C278" s="338">
        <v>6973998.8399999999</v>
      </c>
      <c r="D278" s="339">
        <v>1530636.93</v>
      </c>
      <c r="E278" s="338">
        <v>0</v>
      </c>
      <c r="F278" s="338"/>
      <c r="G278" s="338">
        <v>237728.35</v>
      </c>
      <c r="H278" s="339">
        <v>8255.2999999999993</v>
      </c>
      <c r="I278" s="338">
        <v>359460.3</v>
      </c>
      <c r="J278" s="339">
        <v>164316.44</v>
      </c>
      <c r="K278" s="338">
        <v>15641.5</v>
      </c>
      <c r="L278" s="339">
        <v>619679.9</v>
      </c>
      <c r="M278" s="3">
        <f t="shared" si="10"/>
        <v>9909717.5600000005</v>
      </c>
      <c r="N278" s="14">
        <v>3263.25</v>
      </c>
      <c r="O278" s="14">
        <v>130046.3</v>
      </c>
      <c r="P278" s="14">
        <v>415281.65</v>
      </c>
      <c r="Q278" s="14">
        <v>32502.52</v>
      </c>
      <c r="R278" s="14">
        <v>400764.15</v>
      </c>
      <c r="S278" s="2">
        <f t="shared" si="11"/>
        <v>10891575.430000002</v>
      </c>
      <c r="T278" s="22">
        <v>64</v>
      </c>
      <c r="U278" s="14">
        <v>2212</v>
      </c>
      <c r="V278" s="14">
        <v>-266742.76</v>
      </c>
      <c r="W278" s="14"/>
      <c r="X278" s="14">
        <v>-3948.99</v>
      </c>
      <c r="Y278" s="42">
        <v>1</v>
      </c>
    </row>
    <row r="279" spans="1:25" x14ac:dyDescent="0.25">
      <c r="A279" s="12">
        <v>5884</v>
      </c>
      <c r="B279" s="13" t="s">
        <v>53</v>
      </c>
      <c r="C279" s="338">
        <v>5120817.09</v>
      </c>
      <c r="D279" s="339">
        <v>712082.24</v>
      </c>
      <c r="E279" s="338">
        <v>0</v>
      </c>
      <c r="F279" s="338"/>
      <c r="G279" s="338">
        <v>839895.2</v>
      </c>
      <c r="H279" s="339">
        <v>17500.900000000001</v>
      </c>
      <c r="I279" s="338">
        <v>20731.150000000001</v>
      </c>
      <c r="J279" s="339">
        <v>173633.26</v>
      </c>
      <c r="K279" s="338">
        <v>135645.5</v>
      </c>
      <c r="L279" s="339">
        <v>907818.1</v>
      </c>
      <c r="M279" s="3">
        <f t="shared" si="10"/>
        <v>7928123.4400000004</v>
      </c>
      <c r="N279" s="14">
        <v>361450.95</v>
      </c>
      <c r="O279" s="14">
        <v>109453.9</v>
      </c>
      <c r="P279" s="14">
        <v>156607.9</v>
      </c>
      <c r="Q279" s="14">
        <v>61180.95</v>
      </c>
      <c r="R279" s="14">
        <v>191471.6</v>
      </c>
      <c r="S279" s="2">
        <f t="shared" si="11"/>
        <v>8808288.7400000002</v>
      </c>
      <c r="T279" s="22">
        <v>66</v>
      </c>
      <c r="U279" s="14">
        <v>3403</v>
      </c>
      <c r="V279" s="14">
        <v>-152496.71</v>
      </c>
      <c r="W279" s="14"/>
      <c r="X279" s="14">
        <v>-423.67</v>
      </c>
      <c r="Y279" s="42">
        <v>1.2</v>
      </c>
    </row>
    <row r="280" spans="1:25" x14ac:dyDescent="0.25">
      <c r="A280" s="12">
        <v>5885</v>
      </c>
      <c r="B280" s="13" t="s">
        <v>54</v>
      </c>
      <c r="C280" s="338">
        <v>4131870.08</v>
      </c>
      <c r="D280" s="339">
        <v>834876.15</v>
      </c>
      <c r="E280" s="338">
        <v>0</v>
      </c>
      <c r="F280" s="338"/>
      <c r="G280" s="338">
        <v>317447.8</v>
      </c>
      <c r="H280" s="339">
        <v>379.35</v>
      </c>
      <c r="I280" s="338">
        <v>111937.62</v>
      </c>
      <c r="J280" s="339">
        <v>99980.46</v>
      </c>
      <c r="K280" s="338">
        <v>12803.5</v>
      </c>
      <c r="L280" s="339">
        <v>410323.35</v>
      </c>
      <c r="M280" s="3">
        <f t="shared" si="10"/>
        <v>5919618.3099999996</v>
      </c>
      <c r="N280" s="14"/>
      <c r="O280" s="14">
        <v>40192.300000000003</v>
      </c>
      <c r="P280" s="14">
        <v>166478.15</v>
      </c>
      <c r="Q280" s="14">
        <v>3939.75</v>
      </c>
      <c r="R280" s="14">
        <v>225931.45</v>
      </c>
      <c r="S280" s="2">
        <f t="shared" si="11"/>
        <v>6356159.96</v>
      </c>
      <c r="T280" s="22">
        <v>71</v>
      </c>
      <c r="U280" s="14">
        <v>1488</v>
      </c>
      <c r="V280" s="14">
        <v>-41987.15</v>
      </c>
      <c r="W280" s="14"/>
      <c r="X280" s="14">
        <v>-2321.9499999999998</v>
      </c>
      <c r="Y280" s="42">
        <v>1.2</v>
      </c>
    </row>
    <row r="281" spans="1:25" x14ac:dyDescent="0.25">
      <c r="A281" s="12">
        <v>5886</v>
      </c>
      <c r="B281" s="13" t="s">
        <v>55</v>
      </c>
      <c r="C281" s="338">
        <v>44068268.960000001</v>
      </c>
      <c r="D281" s="339">
        <v>10686423.039999999</v>
      </c>
      <c r="E281" s="338">
        <v>0</v>
      </c>
      <c r="F281" s="338"/>
      <c r="G281" s="338">
        <v>9180434.9000000004</v>
      </c>
      <c r="H281" s="339">
        <v>110937.35</v>
      </c>
      <c r="I281" s="338">
        <v>4032035.03</v>
      </c>
      <c r="J281" s="339">
        <v>2841932.72</v>
      </c>
      <c r="K281" s="338">
        <v>567399.5</v>
      </c>
      <c r="L281" s="339">
        <v>9512204.6899999995</v>
      </c>
      <c r="M281" s="3">
        <f t="shared" si="10"/>
        <v>80999636.189999998</v>
      </c>
      <c r="N281" s="14">
        <v>798361.7</v>
      </c>
      <c r="O281" s="14">
        <v>7284641.7000000002</v>
      </c>
      <c r="P281" s="14">
        <v>4256950.2</v>
      </c>
      <c r="Q281" s="14">
        <v>359751.06</v>
      </c>
      <c r="R281" s="14">
        <v>2142780.15</v>
      </c>
      <c r="S281" s="2">
        <f t="shared" si="11"/>
        <v>95842121.000000015</v>
      </c>
      <c r="T281" s="22">
        <v>65</v>
      </c>
      <c r="U281" s="14">
        <v>26402</v>
      </c>
      <c r="V281" s="14">
        <v>-1771754.39</v>
      </c>
      <c r="W281" s="14"/>
      <c r="X281" s="14">
        <v>-26361.8</v>
      </c>
      <c r="Y281" s="42">
        <v>1.5</v>
      </c>
    </row>
    <row r="282" spans="1:25" x14ac:dyDescent="0.25">
      <c r="A282" s="12">
        <v>5888</v>
      </c>
      <c r="B282" s="13" t="s">
        <v>539</v>
      </c>
      <c r="C282" s="338">
        <v>15106958.050000001</v>
      </c>
      <c r="D282" s="339">
        <v>2937242.27</v>
      </c>
      <c r="E282" s="338">
        <v>0</v>
      </c>
      <c r="F282" s="338"/>
      <c r="G282" s="338">
        <v>700975.05</v>
      </c>
      <c r="H282" s="339">
        <v>46207.75</v>
      </c>
      <c r="I282" s="338">
        <v>301334.34999999998</v>
      </c>
      <c r="J282" s="339">
        <v>259509.06</v>
      </c>
      <c r="K282" s="338">
        <v>47802.5</v>
      </c>
      <c r="L282" s="339">
        <v>1669941.45</v>
      </c>
      <c r="M282" s="3">
        <f t="shared" si="10"/>
        <v>21069970.48</v>
      </c>
      <c r="N282" s="14">
        <v>160090.6</v>
      </c>
      <c r="O282" s="14">
        <v>15168.1</v>
      </c>
      <c r="P282" s="14">
        <v>688884.65</v>
      </c>
      <c r="Q282" s="14">
        <v>25601.599999999999</v>
      </c>
      <c r="R282" s="14">
        <v>649817.44999999995</v>
      </c>
      <c r="S282" s="2">
        <f t="shared" si="11"/>
        <v>22609532.880000003</v>
      </c>
      <c r="T282" s="22">
        <v>67</v>
      </c>
      <c r="U282" s="14">
        <v>5130</v>
      </c>
      <c r="V282" s="14">
        <v>-224943.4</v>
      </c>
      <c r="W282" s="14"/>
      <c r="X282" s="14">
        <v>-14218.56</v>
      </c>
      <c r="Y282" s="42">
        <v>1.2</v>
      </c>
    </row>
    <row r="283" spans="1:25" x14ac:dyDescent="0.25">
      <c r="A283" s="12">
        <v>5889</v>
      </c>
      <c r="B283" s="13" t="s">
        <v>56</v>
      </c>
      <c r="C283" s="338">
        <v>23907515.059999999</v>
      </c>
      <c r="D283" s="339">
        <v>5191614.26</v>
      </c>
      <c r="E283" s="338">
        <v>0</v>
      </c>
      <c r="F283" s="338"/>
      <c r="G283" s="338">
        <v>2154067.15</v>
      </c>
      <c r="H283" s="339">
        <v>4780244.8499999996</v>
      </c>
      <c r="I283" s="338">
        <v>900668.37</v>
      </c>
      <c r="J283" s="339">
        <v>806839.05</v>
      </c>
      <c r="K283" s="338">
        <v>148271.5</v>
      </c>
      <c r="L283" s="339">
        <v>2478885.25</v>
      </c>
      <c r="M283" s="3">
        <f t="shared" si="10"/>
        <v>40368105.489999995</v>
      </c>
      <c r="N283" s="14">
        <v>87843.5</v>
      </c>
      <c r="O283" s="14">
        <v>1634367.2</v>
      </c>
      <c r="P283" s="14">
        <v>1653244.75</v>
      </c>
      <c r="Q283" s="14">
        <v>215753.89</v>
      </c>
      <c r="R283" s="14">
        <v>982584.85</v>
      </c>
      <c r="S283" s="2">
        <f t="shared" si="11"/>
        <v>44941899.68</v>
      </c>
      <c r="T283" s="22">
        <v>64</v>
      </c>
      <c r="U283" s="14">
        <v>11637</v>
      </c>
      <c r="V283" s="14">
        <v>-564306.15</v>
      </c>
      <c r="W283" s="14"/>
      <c r="X283" s="14">
        <v>-15300.05</v>
      </c>
      <c r="Y283" s="42">
        <v>1.2</v>
      </c>
    </row>
    <row r="284" spans="1:25" x14ac:dyDescent="0.25">
      <c r="A284" s="12">
        <v>5890</v>
      </c>
      <c r="B284" s="13" t="s">
        <v>57</v>
      </c>
      <c r="C284" s="338">
        <v>34580850.039999999</v>
      </c>
      <c r="D284" s="339">
        <v>3979073.56</v>
      </c>
      <c r="E284" s="338">
        <v>0</v>
      </c>
      <c r="F284" s="338"/>
      <c r="G284" s="338">
        <v>9966571.4000000004</v>
      </c>
      <c r="H284" s="339">
        <v>11174600.25</v>
      </c>
      <c r="I284" s="338">
        <v>437163.27</v>
      </c>
      <c r="J284" s="339">
        <v>2980212.95</v>
      </c>
      <c r="K284" s="338">
        <v>533162</v>
      </c>
      <c r="L284" s="339">
        <v>4103788.25</v>
      </c>
      <c r="M284" s="3">
        <f t="shared" si="10"/>
        <v>67755421.719999999</v>
      </c>
      <c r="N284" s="14">
        <v>1024428.9</v>
      </c>
      <c r="O284" s="14">
        <v>2244620.2999999998</v>
      </c>
      <c r="P284" s="14">
        <v>1360969</v>
      </c>
      <c r="Q284" s="14">
        <v>635847.81000000006</v>
      </c>
      <c r="R284" s="14">
        <v>447889.45</v>
      </c>
      <c r="S284" s="2">
        <f t="shared" si="11"/>
        <v>73469177.180000007</v>
      </c>
      <c r="T284" s="22">
        <v>73</v>
      </c>
      <c r="U284" s="14">
        <v>19605</v>
      </c>
      <c r="V284" s="14">
        <v>-1321485.03</v>
      </c>
      <c r="W284" s="14"/>
      <c r="X284" s="14">
        <v>-13277.46</v>
      </c>
      <c r="Y284" s="42">
        <v>1.2</v>
      </c>
    </row>
    <row r="285" spans="1:25" x14ac:dyDescent="0.25">
      <c r="A285" s="12">
        <v>5891</v>
      </c>
      <c r="B285" s="13" t="s">
        <v>58</v>
      </c>
      <c r="C285" s="338">
        <v>1833630.03</v>
      </c>
      <c r="D285" s="339">
        <v>539749.65</v>
      </c>
      <c r="E285" s="338">
        <v>0</v>
      </c>
      <c r="F285" s="338"/>
      <c r="G285" s="338">
        <v>57180.2</v>
      </c>
      <c r="H285" s="339">
        <v>11051.7</v>
      </c>
      <c r="I285" s="338">
        <v>9709.7999999999993</v>
      </c>
      <c r="J285" s="339">
        <v>72551.199999999997</v>
      </c>
      <c r="K285" s="338">
        <v>11092</v>
      </c>
      <c r="L285" s="339">
        <v>272885.59999999998</v>
      </c>
      <c r="M285" s="3">
        <f t="shared" si="10"/>
        <v>2807850.1800000006</v>
      </c>
      <c r="N285" s="14"/>
      <c r="O285" s="14">
        <v>94128.5</v>
      </c>
      <c r="P285" s="14">
        <v>139283.70000000001</v>
      </c>
      <c r="Q285" s="14">
        <v>3290.7</v>
      </c>
      <c r="R285" s="14">
        <v>88549.4</v>
      </c>
      <c r="S285" s="2">
        <f t="shared" si="11"/>
        <v>3133102.4800000009</v>
      </c>
      <c r="T285" s="22">
        <v>69</v>
      </c>
      <c r="U285" s="14">
        <v>850</v>
      </c>
      <c r="V285" s="14">
        <v>-39310.370000000003</v>
      </c>
      <c r="W285" s="14"/>
      <c r="X285" s="14">
        <v>-126.33</v>
      </c>
      <c r="Y285" s="42">
        <v>1.2</v>
      </c>
    </row>
    <row r="286" spans="1:25" x14ac:dyDescent="0.25">
      <c r="A286" s="12">
        <v>5902</v>
      </c>
      <c r="B286" s="13" t="s">
        <v>59</v>
      </c>
      <c r="C286" s="338">
        <v>608469.34</v>
      </c>
      <c r="D286" s="339">
        <v>44751.65</v>
      </c>
      <c r="E286" s="338">
        <v>0</v>
      </c>
      <c r="F286" s="338"/>
      <c r="G286" s="338">
        <v>1006.15</v>
      </c>
      <c r="H286" s="339">
        <v>235.7</v>
      </c>
      <c r="I286" s="338"/>
      <c r="J286" s="339">
        <v>-3508.81</v>
      </c>
      <c r="K286" s="338"/>
      <c r="L286" s="339">
        <v>50316.1</v>
      </c>
      <c r="M286" s="3">
        <f t="shared" si="10"/>
        <v>701270.12999999989</v>
      </c>
      <c r="N286" s="14"/>
      <c r="O286" s="14"/>
      <c r="P286" s="14">
        <v>2090</v>
      </c>
      <c r="Q286" s="14"/>
      <c r="R286" s="14">
        <v>14364.6</v>
      </c>
      <c r="S286" s="2">
        <f t="shared" si="11"/>
        <v>717724.72999999986</v>
      </c>
      <c r="T286" s="22">
        <v>76</v>
      </c>
      <c r="U286" s="14">
        <v>368</v>
      </c>
      <c r="V286" s="14">
        <v>-7.12</v>
      </c>
      <c r="W286" s="14"/>
      <c r="X286" s="14">
        <v>0</v>
      </c>
      <c r="Y286" s="42">
        <v>1</v>
      </c>
    </row>
    <row r="287" spans="1:25" x14ac:dyDescent="0.25">
      <c r="A287" s="12">
        <v>5903</v>
      </c>
      <c r="B287" s="13" t="s">
        <v>60</v>
      </c>
      <c r="C287" s="338">
        <v>357891.92</v>
      </c>
      <c r="D287" s="339">
        <v>50151.55</v>
      </c>
      <c r="E287" s="338">
        <v>0</v>
      </c>
      <c r="F287" s="338"/>
      <c r="G287" s="338">
        <v>1366.55</v>
      </c>
      <c r="H287" s="339">
        <v>76.650000000000006</v>
      </c>
      <c r="I287" s="338"/>
      <c r="J287" s="339">
        <v>2574.14</v>
      </c>
      <c r="K287" s="338"/>
      <c r="L287" s="339">
        <v>23150.95</v>
      </c>
      <c r="M287" s="3">
        <f t="shared" si="10"/>
        <v>435211.76</v>
      </c>
      <c r="N287" s="14">
        <v>23214.2</v>
      </c>
      <c r="O287" s="14">
        <v>2581.9</v>
      </c>
      <c r="P287" s="14">
        <v>3664</v>
      </c>
      <c r="Q287" s="14"/>
      <c r="R287" s="14">
        <v>5724.8</v>
      </c>
      <c r="S287" s="2">
        <f t="shared" si="11"/>
        <v>470396.66000000003</v>
      </c>
      <c r="T287" s="22">
        <v>74</v>
      </c>
      <c r="U287" s="14">
        <v>230</v>
      </c>
      <c r="V287" s="14">
        <v>-4544.17</v>
      </c>
      <c r="W287" s="14"/>
      <c r="X287" s="14">
        <v>0</v>
      </c>
      <c r="Y287" s="42">
        <v>0.7</v>
      </c>
    </row>
    <row r="288" spans="1:25" x14ac:dyDescent="0.25">
      <c r="A288" s="12">
        <v>5904</v>
      </c>
      <c r="B288" s="13" t="s">
        <v>61</v>
      </c>
      <c r="C288" s="338">
        <v>1234044.81</v>
      </c>
      <c r="D288" s="339">
        <v>182837.24</v>
      </c>
      <c r="E288" s="338">
        <v>0</v>
      </c>
      <c r="F288" s="338"/>
      <c r="G288" s="338">
        <v>11032.9</v>
      </c>
      <c r="H288" s="339">
        <v>363.7</v>
      </c>
      <c r="I288" s="338"/>
      <c r="J288" s="339">
        <v>7447.73</v>
      </c>
      <c r="K288" s="338">
        <v>2943.5</v>
      </c>
      <c r="L288" s="339">
        <v>91847.9</v>
      </c>
      <c r="M288" s="3">
        <f t="shared" si="10"/>
        <v>1530517.7799999998</v>
      </c>
      <c r="N288" s="14">
        <v>32253.4</v>
      </c>
      <c r="O288" s="14"/>
      <c r="P288" s="14">
        <v>24494.7</v>
      </c>
      <c r="Q288" s="14">
        <v>378.13</v>
      </c>
      <c r="R288" s="14">
        <v>23912.9</v>
      </c>
      <c r="S288" s="2">
        <f t="shared" si="11"/>
        <v>1611556.9099999995</v>
      </c>
      <c r="T288" s="22">
        <v>66</v>
      </c>
      <c r="U288" s="14">
        <v>548</v>
      </c>
      <c r="V288" s="14">
        <v>-18561.63</v>
      </c>
      <c r="W288" s="14"/>
      <c r="X288" s="14">
        <v>-9.6300000000000008</v>
      </c>
      <c r="Y288" s="42">
        <v>1</v>
      </c>
    </row>
    <row r="289" spans="1:25" x14ac:dyDescent="0.25">
      <c r="A289" s="12">
        <v>5905</v>
      </c>
      <c r="B289" s="13" t="s">
        <v>62</v>
      </c>
      <c r="C289" s="338">
        <v>972954.91</v>
      </c>
      <c r="D289" s="339">
        <v>156200.01999999999</v>
      </c>
      <c r="E289" s="338">
        <v>0</v>
      </c>
      <c r="F289" s="338"/>
      <c r="G289" s="338">
        <v>259260.65</v>
      </c>
      <c r="H289" s="339">
        <v>806.05</v>
      </c>
      <c r="I289" s="338"/>
      <c r="J289" s="339">
        <v>28416.1</v>
      </c>
      <c r="K289" s="338">
        <v>3209.4</v>
      </c>
      <c r="L289" s="339">
        <v>87222.85</v>
      </c>
      <c r="M289" s="3">
        <f t="shared" si="10"/>
        <v>1508069.98</v>
      </c>
      <c r="N289" s="14">
        <v>116404.5</v>
      </c>
      <c r="O289" s="14">
        <v>9060.6</v>
      </c>
      <c r="P289" s="14">
        <v>84054.1</v>
      </c>
      <c r="Q289" s="14">
        <v>3542.84</v>
      </c>
      <c r="R289" s="14">
        <v>102915.85</v>
      </c>
      <c r="S289" s="2">
        <f t="shared" si="11"/>
        <v>1824047.8700000003</v>
      </c>
      <c r="T289" s="22">
        <v>71</v>
      </c>
      <c r="U289" s="14">
        <v>652</v>
      </c>
      <c r="V289" s="14">
        <v>-17862.150000000001</v>
      </c>
      <c r="W289" s="14"/>
      <c r="X289" s="14">
        <v>-0.12</v>
      </c>
      <c r="Y289" s="42">
        <v>1</v>
      </c>
    </row>
    <row r="290" spans="1:25" x14ac:dyDescent="0.25">
      <c r="A290" s="12">
        <v>5907</v>
      </c>
      <c r="B290" s="13" t="s">
        <v>63</v>
      </c>
      <c r="C290" s="338">
        <v>559639.72</v>
      </c>
      <c r="D290" s="339">
        <v>92953.66</v>
      </c>
      <c r="E290" s="338">
        <v>0</v>
      </c>
      <c r="F290" s="338">
        <v>1700</v>
      </c>
      <c r="G290" s="338">
        <v>4961.75</v>
      </c>
      <c r="H290" s="339">
        <v>20.75</v>
      </c>
      <c r="I290" s="338"/>
      <c r="J290" s="339">
        <v>7345.91</v>
      </c>
      <c r="K290" s="338">
        <v>134</v>
      </c>
      <c r="L290" s="339">
        <v>36681.4</v>
      </c>
      <c r="M290" s="3">
        <f t="shared" si="10"/>
        <v>703437.19000000006</v>
      </c>
      <c r="N290" s="14">
        <v>7359.95</v>
      </c>
      <c r="O290" s="14">
        <v>27471</v>
      </c>
      <c r="P290" s="14">
        <v>11414.15</v>
      </c>
      <c r="Q290" s="14">
        <v>261.39</v>
      </c>
      <c r="R290" s="14">
        <v>11156.85</v>
      </c>
      <c r="S290" s="2">
        <f t="shared" si="11"/>
        <v>761100.53</v>
      </c>
      <c r="T290" s="22">
        <v>78</v>
      </c>
      <c r="U290" s="14">
        <v>300</v>
      </c>
      <c r="V290" s="14">
        <v>-15420.56</v>
      </c>
      <c r="W290" s="14"/>
      <c r="X290" s="14">
        <v>-368.2</v>
      </c>
      <c r="Y290" s="42">
        <v>1</v>
      </c>
    </row>
    <row r="291" spans="1:25" x14ac:dyDescent="0.25">
      <c r="A291" s="12">
        <v>5908</v>
      </c>
      <c r="B291" s="13" t="s">
        <v>64</v>
      </c>
      <c r="C291" s="338">
        <v>178286.4</v>
      </c>
      <c r="D291" s="339">
        <v>42775.69</v>
      </c>
      <c r="E291" s="338">
        <v>0</v>
      </c>
      <c r="F291" s="338"/>
      <c r="G291" s="338">
        <v>2056.75</v>
      </c>
      <c r="H291" s="339">
        <v>201.4</v>
      </c>
      <c r="I291" s="338"/>
      <c r="J291" s="339">
        <v>2210.1799999999998</v>
      </c>
      <c r="K291" s="338">
        <v>49.5</v>
      </c>
      <c r="L291" s="339">
        <v>16035.1</v>
      </c>
      <c r="M291" s="3">
        <f t="shared" si="10"/>
        <v>241615.02</v>
      </c>
      <c r="N291" s="14"/>
      <c r="O291" s="14"/>
      <c r="P291" s="14">
        <v>76.8</v>
      </c>
      <c r="Q291" s="14">
        <v>800.42</v>
      </c>
      <c r="R291" s="14">
        <v>11889.2</v>
      </c>
      <c r="S291" s="2">
        <f t="shared" si="11"/>
        <v>254381.44</v>
      </c>
      <c r="T291" s="22">
        <v>79</v>
      </c>
      <c r="U291" s="14">
        <v>140</v>
      </c>
      <c r="V291" s="14">
        <v>-12120.27</v>
      </c>
      <c r="W291" s="14"/>
      <c r="X291" s="14">
        <v>0</v>
      </c>
      <c r="Y291" s="42">
        <v>1</v>
      </c>
    </row>
    <row r="292" spans="1:25" x14ac:dyDescent="0.25">
      <c r="A292" s="12">
        <v>5909</v>
      </c>
      <c r="B292" s="13" t="s">
        <v>65</v>
      </c>
      <c r="C292" s="338">
        <v>1404507.74</v>
      </c>
      <c r="D292" s="339">
        <v>196505.42</v>
      </c>
      <c r="E292" s="338">
        <v>0</v>
      </c>
      <c r="F292" s="338"/>
      <c r="G292" s="338">
        <v>27599.65</v>
      </c>
      <c r="H292" s="339">
        <v>1622.4</v>
      </c>
      <c r="I292" s="338"/>
      <c r="J292" s="339">
        <v>10706.4</v>
      </c>
      <c r="K292" s="338">
        <v>747</v>
      </c>
      <c r="L292" s="339">
        <v>146747.4</v>
      </c>
      <c r="M292" s="3">
        <f t="shared" si="10"/>
        <v>1788436.0099999995</v>
      </c>
      <c r="N292" s="14">
        <v>10706.85</v>
      </c>
      <c r="O292" s="14"/>
      <c r="P292" s="14">
        <v>72548.100000000006</v>
      </c>
      <c r="Q292" s="14"/>
      <c r="R292" s="14">
        <v>24328.05</v>
      </c>
      <c r="S292" s="2">
        <f t="shared" si="11"/>
        <v>1896019.0099999998</v>
      </c>
      <c r="T292" s="22">
        <v>70</v>
      </c>
      <c r="U292" s="14">
        <v>670</v>
      </c>
      <c r="V292" s="14">
        <v>-211.14</v>
      </c>
      <c r="W292" s="14">
        <v>-54124.55</v>
      </c>
      <c r="X292" s="14">
        <v>-122.56</v>
      </c>
      <c r="Y292" s="42">
        <v>1</v>
      </c>
    </row>
    <row r="293" spans="1:25" x14ac:dyDescent="0.25">
      <c r="A293" s="12">
        <v>5910</v>
      </c>
      <c r="B293" s="13" t="s">
        <v>66</v>
      </c>
      <c r="C293" s="338">
        <v>669738.42000000004</v>
      </c>
      <c r="D293" s="339">
        <v>85523.839999999997</v>
      </c>
      <c r="E293" s="338">
        <v>0</v>
      </c>
      <c r="F293" s="338">
        <v>2180</v>
      </c>
      <c r="G293" s="338">
        <v>1298.8</v>
      </c>
      <c r="H293" s="339">
        <v>78.2</v>
      </c>
      <c r="I293" s="338"/>
      <c r="J293" s="339">
        <v>3791.13</v>
      </c>
      <c r="K293" s="338"/>
      <c r="L293" s="339">
        <v>48254</v>
      </c>
      <c r="M293" s="3">
        <f t="shared" si="10"/>
        <v>810864.39</v>
      </c>
      <c r="N293" s="14"/>
      <c r="O293" s="14">
        <v>306</v>
      </c>
      <c r="P293" s="14">
        <v>30635</v>
      </c>
      <c r="Q293" s="14"/>
      <c r="R293" s="14">
        <v>6614.4</v>
      </c>
      <c r="S293" s="2">
        <f t="shared" si="11"/>
        <v>848419.79</v>
      </c>
      <c r="T293" s="22">
        <v>79</v>
      </c>
      <c r="U293" s="14">
        <v>380</v>
      </c>
      <c r="V293" s="14">
        <v>-13179.19</v>
      </c>
      <c r="W293" s="14"/>
      <c r="X293" s="14">
        <v>-1.04</v>
      </c>
      <c r="Y293" s="42">
        <v>1</v>
      </c>
    </row>
    <row r="294" spans="1:25" x14ac:dyDescent="0.25">
      <c r="A294" s="12">
        <v>5911</v>
      </c>
      <c r="B294" s="13" t="s">
        <v>67</v>
      </c>
      <c r="C294" s="338">
        <v>527671.77</v>
      </c>
      <c r="D294" s="339">
        <v>45213.08</v>
      </c>
      <c r="E294" s="338">
        <v>0</v>
      </c>
      <c r="F294" s="338">
        <v>1340</v>
      </c>
      <c r="G294" s="338">
        <v>3764.7</v>
      </c>
      <c r="H294" s="339">
        <v>90.2</v>
      </c>
      <c r="I294" s="338"/>
      <c r="J294" s="339">
        <v>5558.47</v>
      </c>
      <c r="K294" s="338">
        <v>348</v>
      </c>
      <c r="L294" s="339">
        <v>27837.25</v>
      </c>
      <c r="M294" s="3">
        <f t="shared" si="10"/>
        <v>611823.46999999986</v>
      </c>
      <c r="N294" s="14"/>
      <c r="O294" s="14"/>
      <c r="P294" s="14">
        <v>2081.75</v>
      </c>
      <c r="Q294" s="14"/>
      <c r="R294" s="14"/>
      <c r="S294" s="2">
        <f t="shared" si="11"/>
        <v>613905.21999999986</v>
      </c>
      <c r="T294" s="22">
        <v>79</v>
      </c>
      <c r="U294" s="14">
        <v>237</v>
      </c>
      <c r="V294" s="14">
        <v>-115.21</v>
      </c>
      <c r="W294" s="14"/>
      <c r="X294" s="14">
        <v>-123.64</v>
      </c>
      <c r="Y294" s="42">
        <v>1</v>
      </c>
    </row>
    <row r="295" spans="1:25" x14ac:dyDescent="0.25">
      <c r="A295" s="12">
        <v>5912</v>
      </c>
      <c r="B295" s="13" t="s">
        <v>68</v>
      </c>
      <c r="C295" s="338">
        <v>183964.85</v>
      </c>
      <c r="D295" s="339">
        <v>16837.63</v>
      </c>
      <c r="E295" s="338">
        <v>0</v>
      </c>
      <c r="F295" s="338">
        <v>870</v>
      </c>
      <c r="G295" s="338">
        <v>1911.4</v>
      </c>
      <c r="H295" s="339">
        <v>-23.05</v>
      </c>
      <c r="I295" s="338"/>
      <c r="J295" s="339">
        <v>4427.5600000000004</v>
      </c>
      <c r="K295" s="338"/>
      <c r="L295" s="339">
        <v>15767.5</v>
      </c>
      <c r="M295" s="3">
        <f t="shared" si="10"/>
        <v>223755.89</v>
      </c>
      <c r="N295" s="14"/>
      <c r="O295" s="14">
        <v>383.3</v>
      </c>
      <c r="P295" s="14">
        <v>3803.05</v>
      </c>
      <c r="Q295" s="14"/>
      <c r="R295" s="14">
        <v>5833.35</v>
      </c>
      <c r="S295" s="2">
        <f t="shared" si="11"/>
        <v>233775.59</v>
      </c>
      <c r="T295" s="22">
        <v>81</v>
      </c>
      <c r="U295" s="14">
        <v>126</v>
      </c>
      <c r="V295" s="14">
        <v>-48.4</v>
      </c>
      <c r="W295" s="14"/>
      <c r="X295" s="14">
        <v>0</v>
      </c>
      <c r="Y295" s="42">
        <v>1</v>
      </c>
    </row>
    <row r="296" spans="1:25" x14ac:dyDescent="0.25">
      <c r="A296" s="12">
        <v>5913</v>
      </c>
      <c r="B296" s="13" t="s">
        <v>69</v>
      </c>
      <c r="C296" s="338">
        <v>1237215</v>
      </c>
      <c r="D296" s="339">
        <v>168419.21</v>
      </c>
      <c r="E296" s="338">
        <v>0</v>
      </c>
      <c r="F296" s="338"/>
      <c r="G296" s="338">
        <v>29206.35</v>
      </c>
      <c r="H296" s="339">
        <v>66.150000000000006</v>
      </c>
      <c r="I296" s="338"/>
      <c r="J296" s="339">
        <v>9114.7199999999993</v>
      </c>
      <c r="K296" s="338">
        <v>1950.5</v>
      </c>
      <c r="L296" s="339">
        <v>101124.9</v>
      </c>
      <c r="M296" s="3">
        <f t="shared" si="10"/>
        <v>1547096.8299999998</v>
      </c>
      <c r="N296" s="14">
        <v>18696.400000000001</v>
      </c>
      <c r="O296" s="14">
        <v>5.7</v>
      </c>
      <c r="P296" s="14">
        <v>40875.050000000003</v>
      </c>
      <c r="Q296" s="14">
        <v>8015.85</v>
      </c>
      <c r="R296" s="14">
        <v>79671.5</v>
      </c>
      <c r="S296" s="2">
        <f t="shared" si="11"/>
        <v>1694361.3299999998</v>
      </c>
      <c r="T296" s="22">
        <v>73</v>
      </c>
      <c r="U296" s="14">
        <v>779</v>
      </c>
      <c r="V296" s="14">
        <v>-20359.32</v>
      </c>
      <c r="W296" s="14"/>
      <c r="X296" s="14">
        <v>-1.39</v>
      </c>
      <c r="Y296" s="42">
        <v>1</v>
      </c>
    </row>
    <row r="297" spans="1:25" x14ac:dyDescent="0.25">
      <c r="A297" s="12">
        <v>5914</v>
      </c>
      <c r="B297" s="13" t="s">
        <v>70</v>
      </c>
      <c r="C297" s="338">
        <v>515953.88</v>
      </c>
      <c r="D297" s="339">
        <v>65571.210000000006</v>
      </c>
      <c r="E297" s="338">
        <v>0</v>
      </c>
      <c r="F297" s="338">
        <v>2210</v>
      </c>
      <c r="G297" s="338">
        <v>2508.5500000000002</v>
      </c>
      <c r="H297" s="339">
        <v>1173</v>
      </c>
      <c r="I297" s="338"/>
      <c r="J297" s="339">
        <v>28459.040000000001</v>
      </c>
      <c r="K297" s="338">
        <v>2515</v>
      </c>
      <c r="L297" s="339">
        <v>46115.15</v>
      </c>
      <c r="M297" s="3">
        <f t="shared" si="10"/>
        <v>664505.83000000007</v>
      </c>
      <c r="N297" s="14"/>
      <c r="O297" s="14">
        <v>1544.4</v>
      </c>
      <c r="P297" s="14">
        <v>9570</v>
      </c>
      <c r="Q297" s="14"/>
      <c r="R297" s="14">
        <v>3033.35</v>
      </c>
      <c r="S297" s="2">
        <f t="shared" si="11"/>
        <v>678653.58000000007</v>
      </c>
      <c r="T297" s="22">
        <v>75</v>
      </c>
      <c r="U297" s="14">
        <v>350</v>
      </c>
      <c r="V297" s="14">
        <v>-1651.21</v>
      </c>
      <c r="W297" s="14"/>
      <c r="X297" s="14">
        <v>0</v>
      </c>
      <c r="Y297" s="42">
        <v>1</v>
      </c>
    </row>
    <row r="298" spans="1:25" x14ac:dyDescent="0.25">
      <c r="A298" s="12">
        <v>5919</v>
      </c>
      <c r="B298" s="13" t="s">
        <v>400</v>
      </c>
      <c r="C298" s="338">
        <v>983443.6</v>
      </c>
      <c r="D298" s="339">
        <v>104406.02</v>
      </c>
      <c r="E298" s="338">
        <v>0</v>
      </c>
      <c r="F298" s="338">
        <v>3220</v>
      </c>
      <c r="G298" s="338">
        <v>54960.9</v>
      </c>
      <c r="H298" s="339">
        <v>252.9</v>
      </c>
      <c r="I298" s="338"/>
      <c r="J298" s="339">
        <v>12202.28</v>
      </c>
      <c r="K298" s="338">
        <v>5221</v>
      </c>
      <c r="L298" s="339">
        <v>106085.2</v>
      </c>
      <c r="M298" s="3">
        <f t="shared" si="10"/>
        <v>1269791.8999999997</v>
      </c>
      <c r="N298" s="14">
        <v>8035.8</v>
      </c>
      <c r="O298" s="14">
        <v>158416</v>
      </c>
      <c r="P298" s="14">
        <v>2389.85</v>
      </c>
      <c r="Q298" s="14">
        <v>8420.07</v>
      </c>
      <c r="R298" s="14">
        <v>5621.2</v>
      </c>
      <c r="S298" s="2">
        <f t="shared" si="11"/>
        <v>1452674.8199999998</v>
      </c>
      <c r="T298" s="22">
        <v>74</v>
      </c>
      <c r="U298" s="14">
        <v>614</v>
      </c>
      <c r="V298" s="14">
        <v>-11124.04</v>
      </c>
      <c r="W298" s="14"/>
      <c r="X298" s="14">
        <v>-0.03</v>
      </c>
      <c r="Y298" s="42">
        <v>1.2</v>
      </c>
    </row>
    <row r="299" spans="1:25" x14ac:dyDescent="0.25">
      <c r="A299" s="12">
        <v>5921</v>
      </c>
      <c r="B299" s="13" t="s">
        <v>401</v>
      </c>
      <c r="C299" s="338">
        <v>332629.49</v>
      </c>
      <c r="D299" s="339">
        <v>41899.68</v>
      </c>
      <c r="E299" s="338">
        <v>0</v>
      </c>
      <c r="F299" s="338">
        <v>1400</v>
      </c>
      <c r="G299" s="338">
        <v>29254</v>
      </c>
      <c r="H299" s="339">
        <v>239.6</v>
      </c>
      <c r="I299" s="338"/>
      <c r="J299" s="339">
        <v>21209.52</v>
      </c>
      <c r="K299" s="338"/>
      <c r="L299" s="339">
        <v>27508.85</v>
      </c>
      <c r="M299" s="3">
        <f t="shared" si="10"/>
        <v>454141.13999999996</v>
      </c>
      <c r="N299" s="14">
        <v>3758.5</v>
      </c>
      <c r="O299" s="14">
        <v>919.3</v>
      </c>
      <c r="P299" s="14">
        <v>13284.7</v>
      </c>
      <c r="Q299" s="14"/>
      <c r="R299" s="14">
        <v>18705.349999999999</v>
      </c>
      <c r="S299" s="2">
        <f t="shared" si="11"/>
        <v>490808.98999999993</v>
      </c>
      <c r="T299" s="22">
        <v>81</v>
      </c>
      <c r="U299" s="14">
        <v>218</v>
      </c>
      <c r="V299" s="14">
        <v>-7176.33</v>
      </c>
      <c r="W299" s="14"/>
      <c r="X299" s="14">
        <v>0</v>
      </c>
      <c r="Y299" s="42">
        <v>1</v>
      </c>
    </row>
    <row r="300" spans="1:25" x14ac:dyDescent="0.25">
      <c r="A300" s="12">
        <v>5922</v>
      </c>
      <c r="B300" s="13" t="s">
        <v>278</v>
      </c>
      <c r="C300" s="338">
        <v>1247784</v>
      </c>
      <c r="D300" s="339">
        <v>165503.34</v>
      </c>
      <c r="E300" s="338">
        <v>0</v>
      </c>
      <c r="F300" s="338"/>
      <c r="G300" s="338">
        <v>932225.5</v>
      </c>
      <c r="H300" s="339">
        <v>5355.15</v>
      </c>
      <c r="I300" s="338"/>
      <c r="J300" s="339">
        <v>49341.279999999999</v>
      </c>
      <c r="K300" s="338">
        <v>57373.5</v>
      </c>
      <c r="L300" s="339">
        <v>238360</v>
      </c>
      <c r="M300" s="3">
        <f t="shared" si="10"/>
        <v>2695942.7699999996</v>
      </c>
      <c r="N300" s="14">
        <v>123327.5</v>
      </c>
      <c r="O300" s="14">
        <v>2671.5</v>
      </c>
      <c r="P300" s="14">
        <v>26071.75</v>
      </c>
      <c r="Q300" s="14">
        <v>1932.76</v>
      </c>
      <c r="R300" s="14">
        <v>26747.15</v>
      </c>
      <c r="S300" s="2">
        <f t="shared" si="11"/>
        <v>2876693.4299999992</v>
      </c>
      <c r="T300" s="22">
        <v>61</v>
      </c>
      <c r="U300" s="14">
        <v>733</v>
      </c>
      <c r="V300" s="14">
        <v>-10664.16</v>
      </c>
      <c r="W300" s="14"/>
      <c r="X300" s="14">
        <v>-66.33</v>
      </c>
      <c r="Y300" s="42">
        <v>0.8</v>
      </c>
    </row>
    <row r="301" spans="1:25" x14ac:dyDescent="0.25">
      <c r="A301" s="12">
        <v>5923</v>
      </c>
      <c r="B301" s="13" t="s">
        <v>279</v>
      </c>
      <c r="C301" s="338">
        <v>304786.15999999997</v>
      </c>
      <c r="D301" s="339">
        <v>34205.18</v>
      </c>
      <c r="E301" s="338">
        <v>0</v>
      </c>
      <c r="F301" s="338"/>
      <c r="G301" s="338">
        <v>9064.4500000000007</v>
      </c>
      <c r="H301" s="339">
        <v>508.65</v>
      </c>
      <c r="I301" s="338"/>
      <c r="J301" s="339">
        <v>23528.79</v>
      </c>
      <c r="K301" s="338"/>
      <c r="L301" s="341">
        <v>22675.4</v>
      </c>
      <c r="M301" s="3">
        <f t="shared" si="10"/>
        <v>394768.63</v>
      </c>
      <c r="N301" s="14">
        <v>15625.95</v>
      </c>
      <c r="O301" s="14"/>
      <c r="P301" s="14">
        <v>35147.75</v>
      </c>
      <c r="Q301" s="14">
        <v>1173.58</v>
      </c>
      <c r="R301" s="14">
        <v>17530.849999999999</v>
      </c>
      <c r="S301" s="2">
        <f t="shared" si="11"/>
        <v>464246.76</v>
      </c>
      <c r="T301" s="22">
        <v>81</v>
      </c>
      <c r="U301" s="14">
        <v>182</v>
      </c>
      <c r="V301" s="14">
        <v>-579.42999999999995</v>
      </c>
      <c r="W301" s="14"/>
      <c r="X301" s="14">
        <v>0</v>
      </c>
      <c r="Y301" s="42">
        <v>1</v>
      </c>
    </row>
    <row r="302" spans="1:25" x14ac:dyDescent="0.25">
      <c r="A302" s="12">
        <v>5924</v>
      </c>
      <c r="B302" s="13" t="s">
        <v>280</v>
      </c>
      <c r="C302" s="338">
        <v>594459.74</v>
      </c>
      <c r="D302" s="339">
        <v>55494.36</v>
      </c>
      <c r="E302" s="338">
        <v>0</v>
      </c>
      <c r="F302" s="338"/>
      <c r="G302" s="338">
        <v>15006.2</v>
      </c>
      <c r="H302" s="339">
        <v>-95.65</v>
      </c>
      <c r="I302" s="338"/>
      <c r="J302" s="339">
        <v>-217.8</v>
      </c>
      <c r="K302" s="338"/>
      <c r="L302" s="341">
        <v>42154.3</v>
      </c>
      <c r="M302" s="3">
        <f t="shared" si="10"/>
        <v>706801.14999999991</v>
      </c>
      <c r="N302" s="14">
        <v>16170.65</v>
      </c>
      <c r="O302" s="14"/>
      <c r="P302" s="14">
        <v>21670</v>
      </c>
      <c r="Q302" s="14">
        <v>3135.23</v>
      </c>
      <c r="R302" s="14">
        <v>6810.1</v>
      </c>
      <c r="S302" s="2">
        <f t="shared" si="11"/>
        <v>754587.12999999989</v>
      </c>
      <c r="T302" s="22">
        <v>74</v>
      </c>
      <c r="U302" s="14">
        <v>292</v>
      </c>
      <c r="V302" s="14">
        <v>-8644.2999999999993</v>
      </c>
      <c r="W302" s="14"/>
      <c r="X302" s="14">
        <v>-34.9</v>
      </c>
      <c r="Y302" s="42">
        <v>1</v>
      </c>
    </row>
    <row r="303" spans="1:25" x14ac:dyDescent="0.25">
      <c r="A303" s="12">
        <v>5925</v>
      </c>
      <c r="B303" s="13" t="s">
        <v>405</v>
      </c>
      <c r="C303" s="338">
        <v>312567.61</v>
      </c>
      <c r="D303" s="339">
        <v>36765.21</v>
      </c>
      <c r="E303" s="338">
        <v>0</v>
      </c>
      <c r="F303" s="338">
        <v>1290</v>
      </c>
      <c r="G303" s="338">
        <v>4128.75</v>
      </c>
      <c r="H303" s="339">
        <v>13.2</v>
      </c>
      <c r="I303" s="338"/>
      <c r="J303" s="339">
        <v>6900.78</v>
      </c>
      <c r="K303" s="338"/>
      <c r="L303" s="339">
        <v>27296.7</v>
      </c>
      <c r="M303" s="3">
        <f t="shared" si="10"/>
        <v>388962.25000000006</v>
      </c>
      <c r="N303" s="14">
        <v>13995.35</v>
      </c>
      <c r="O303" s="14">
        <v>15741</v>
      </c>
      <c r="P303" s="14"/>
      <c r="Q303" s="14"/>
      <c r="R303" s="14"/>
      <c r="S303" s="2">
        <f t="shared" si="11"/>
        <v>418698.60000000003</v>
      </c>
      <c r="T303" s="22">
        <v>79</v>
      </c>
      <c r="U303" s="14">
        <v>200</v>
      </c>
      <c r="V303" s="14">
        <v>-3802.28</v>
      </c>
      <c r="W303" s="14"/>
      <c r="X303" s="14">
        <v>0</v>
      </c>
      <c r="Y303" s="42">
        <v>1</v>
      </c>
    </row>
    <row r="304" spans="1:25" x14ac:dyDescent="0.25">
      <c r="A304" s="12">
        <v>5926</v>
      </c>
      <c r="B304" s="13" t="s">
        <v>406</v>
      </c>
      <c r="C304" s="338">
        <v>1191530.08</v>
      </c>
      <c r="D304" s="339">
        <v>200680.38</v>
      </c>
      <c r="E304" s="338">
        <v>0</v>
      </c>
      <c r="F304" s="338"/>
      <c r="G304" s="338">
        <v>105414</v>
      </c>
      <c r="H304" s="339">
        <v>446.8</v>
      </c>
      <c r="I304" s="338"/>
      <c r="J304" s="339">
        <v>15717.2</v>
      </c>
      <c r="K304" s="338"/>
      <c r="L304" s="339">
        <v>110280.55</v>
      </c>
      <c r="M304" s="3">
        <f t="shared" si="10"/>
        <v>1624069.01</v>
      </c>
      <c r="N304" s="14">
        <v>4602.2</v>
      </c>
      <c r="O304" s="14">
        <v>15067</v>
      </c>
      <c r="P304" s="14">
        <v>99107.05</v>
      </c>
      <c r="Q304" s="14"/>
      <c r="R304" s="14">
        <v>26745.15</v>
      </c>
      <c r="S304" s="2">
        <f t="shared" ref="S304:S315" si="12">SUM(M304:R304)</f>
        <v>1769590.41</v>
      </c>
      <c r="T304" s="22">
        <v>71</v>
      </c>
      <c r="U304" s="14">
        <v>760</v>
      </c>
      <c r="V304" s="14">
        <v>-7070.92</v>
      </c>
      <c r="W304" s="14"/>
      <c r="X304" s="14">
        <v>-13.8</v>
      </c>
      <c r="Y304" s="42">
        <v>1</v>
      </c>
    </row>
    <row r="305" spans="1:25" x14ac:dyDescent="0.25">
      <c r="A305" s="12">
        <v>5928</v>
      </c>
      <c r="B305" s="13" t="s">
        <v>407</v>
      </c>
      <c r="C305" s="338">
        <v>256801.73</v>
      </c>
      <c r="D305" s="339">
        <v>38649.53</v>
      </c>
      <c r="E305" s="338">
        <v>0</v>
      </c>
      <c r="F305" s="338"/>
      <c r="G305" s="338">
        <v>2134.6</v>
      </c>
      <c r="H305" s="339">
        <v>10.55</v>
      </c>
      <c r="I305" s="338"/>
      <c r="J305" s="339">
        <v>12374.53</v>
      </c>
      <c r="K305" s="338"/>
      <c r="L305" s="339">
        <v>19556.8</v>
      </c>
      <c r="M305" s="3">
        <f t="shared" si="10"/>
        <v>329527.74</v>
      </c>
      <c r="N305" s="14">
        <v>874</v>
      </c>
      <c r="O305" s="14"/>
      <c r="P305" s="14">
        <v>11150.35</v>
      </c>
      <c r="Q305" s="14"/>
      <c r="R305" s="14">
        <v>7029.15</v>
      </c>
      <c r="S305" s="2">
        <f t="shared" si="12"/>
        <v>348581.24</v>
      </c>
      <c r="T305" s="22">
        <v>73</v>
      </c>
      <c r="U305" s="14">
        <v>172</v>
      </c>
      <c r="V305" s="14">
        <v>-4551.58</v>
      </c>
      <c r="W305" s="14"/>
      <c r="X305" s="14">
        <v>0</v>
      </c>
      <c r="Y305" s="42">
        <v>1</v>
      </c>
    </row>
    <row r="306" spans="1:25" x14ac:dyDescent="0.25">
      <c r="A306" s="12">
        <v>5929</v>
      </c>
      <c r="B306" s="13" t="s">
        <v>408</v>
      </c>
      <c r="C306" s="338">
        <v>919632.4</v>
      </c>
      <c r="D306" s="339">
        <v>96640.71</v>
      </c>
      <c r="E306" s="338">
        <v>0</v>
      </c>
      <c r="F306" s="338"/>
      <c r="G306" s="338">
        <v>24159.8</v>
      </c>
      <c r="H306" s="339">
        <v>451.85</v>
      </c>
      <c r="I306" s="338">
        <v>41100.15</v>
      </c>
      <c r="J306" s="339">
        <v>1015.35</v>
      </c>
      <c r="K306" s="338"/>
      <c r="L306" s="339">
        <v>72317.2</v>
      </c>
      <c r="M306" s="3">
        <f t="shared" si="10"/>
        <v>1155317.46</v>
      </c>
      <c r="N306" s="14">
        <v>6677.95</v>
      </c>
      <c r="O306" s="14"/>
      <c r="P306" s="14">
        <v>37206.550000000003</v>
      </c>
      <c r="Q306" s="14"/>
      <c r="R306" s="14">
        <v>15421.15</v>
      </c>
      <c r="S306" s="2">
        <f t="shared" si="12"/>
        <v>1214623.1099999999</v>
      </c>
      <c r="T306" s="22">
        <v>70</v>
      </c>
      <c r="U306" s="14">
        <v>606</v>
      </c>
      <c r="V306" s="14">
        <v>-12528.07</v>
      </c>
      <c r="W306" s="14"/>
      <c r="X306" s="14">
        <v>-3.5</v>
      </c>
      <c r="Y306" s="42">
        <v>0.8</v>
      </c>
    </row>
    <row r="307" spans="1:25" x14ac:dyDescent="0.25">
      <c r="A307" s="12">
        <v>5930</v>
      </c>
      <c r="B307" s="13" t="s">
        <v>409</v>
      </c>
      <c r="C307" s="338">
        <v>264787.03000000003</v>
      </c>
      <c r="D307" s="339">
        <v>27356.99</v>
      </c>
      <c r="E307" s="338">
        <v>0</v>
      </c>
      <c r="F307" s="338"/>
      <c r="G307" s="338">
        <v>489.35</v>
      </c>
      <c r="H307" s="339">
        <v>38.5</v>
      </c>
      <c r="I307" s="338"/>
      <c r="J307" s="339">
        <v>3131.21</v>
      </c>
      <c r="K307" s="338">
        <v>400</v>
      </c>
      <c r="L307" s="339">
        <v>26360.6</v>
      </c>
      <c r="M307" s="3">
        <f t="shared" si="10"/>
        <v>322563.68</v>
      </c>
      <c r="N307" s="14">
        <v>4424.6000000000004</v>
      </c>
      <c r="O307" s="14"/>
      <c r="P307" s="14">
        <v>2679.65</v>
      </c>
      <c r="Q307" s="14">
        <v>18.2</v>
      </c>
      <c r="R307" s="14">
        <v>20604.849999999999</v>
      </c>
      <c r="S307" s="2">
        <f t="shared" si="12"/>
        <v>350290.98</v>
      </c>
      <c r="T307" s="22">
        <v>66</v>
      </c>
      <c r="U307" s="14">
        <v>202</v>
      </c>
      <c r="V307" s="14">
        <v>-71.37</v>
      </c>
      <c r="W307" s="14"/>
      <c r="X307" s="14">
        <v>0</v>
      </c>
      <c r="Y307" s="42">
        <v>1</v>
      </c>
    </row>
    <row r="308" spans="1:25" x14ac:dyDescent="0.25">
      <c r="A308" s="12">
        <v>5931</v>
      </c>
      <c r="B308" s="13" t="s">
        <v>410</v>
      </c>
      <c r="C308" s="338">
        <v>1049832.96</v>
      </c>
      <c r="D308" s="339">
        <v>94016.52</v>
      </c>
      <c r="E308" s="338">
        <v>0</v>
      </c>
      <c r="F308" s="338"/>
      <c r="G308" s="338">
        <v>34621.85</v>
      </c>
      <c r="H308" s="339">
        <v>589.15</v>
      </c>
      <c r="I308" s="338"/>
      <c r="J308" s="339">
        <v>11607.99</v>
      </c>
      <c r="K308" s="338">
        <v>1554.5</v>
      </c>
      <c r="L308" s="339">
        <v>70650.399999999994</v>
      </c>
      <c r="M308" s="3">
        <f t="shared" si="10"/>
        <v>1262873.3699999999</v>
      </c>
      <c r="N308" s="14">
        <v>6410.6</v>
      </c>
      <c r="O308" s="14"/>
      <c r="P308" s="14">
        <v>13145</v>
      </c>
      <c r="Q308" s="14">
        <v>2890.31</v>
      </c>
      <c r="R308" s="14">
        <v>10933.55</v>
      </c>
      <c r="S308" s="2">
        <f t="shared" si="12"/>
        <v>1296252.83</v>
      </c>
      <c r="T308" s="22">
        <v>77</v>
      </c>
      <c r="U308" s="14">
        <v>446</v>
      </c>
      <c r="V308" s="14">
        <v>-5367.81</v>
      </c>
      <c r="W308" s="14"/>
      <c r="X308" s="14">
        <v>-0.26</v>
      </c>
      <c r="Y308" s="42">
        <v>1</v>
      </c>
    </row>
    <row r="309" spans="1:25" x14ac:dyDescent="0.25">
      <c r="A309" s="12">
        <v>5932</v>
      </c>
      <c r="B309" s="13" t="s">
        <v>281</v>
      </c>
      <c r="C309" s="338">
        <v>410685.98</v>
      </c>
      <c r="D309" s="339">
        <v>27320.799999999999</v>
      </c>
      <c r="E309" s="338">
        <v>0</v>
      </c>
      <c r="F309" s="338">
        <v>1210</v>
      </c>
      <c r="G309" s="338">
        <v>1728.7</v>
      </c>
      <c r="H309" s="339">
        <v>40.549999999999997</v>
      </c>
      <c r="I309" s="338">
        <v>27678.7</v>
      </c>
      <c r="J309" s="339">
        <v>4517.66</v>
      </c>
      <c r="K309" s="338">
        <v>50</v>
      </c>
      <c r="L309" s="339">
        <v>28895.7</v>
      </c>
      <c r="M309" s="3">
        <f t="shared" si="10"/>
        <v>502128.08999999997</v>
      </c>
      <c r="N309" s="14"/>
      <c r="O309" s="14">
        <v>14725.4</v>
      </c>
      <c r="P309" s="14">
        <v>1650</v>
      </c>
      <c r="Q309" s="14"/>
      <c r="R309" s="14">
        <v>910</v>
      </c>
      <c r="S309" s="2">
        <f t="shared" si="12"/>
        <v>519413.49</v>
      </c>
      <c r="T309" s="22">
        <v>78</v>
      </c>
      <c r="U309" s="14">
        <v>210</v>
      </c>
      <c r="V309" s="14">
        <v>-5555.46</v>
      </c>
      <c r="W309" s="14"/>
      <c r="X309" s="14">
        <v>-3.27</v>
      </c>
      <c r="Y309" s="42">
        <v>1</v>
      </c>
    </row>
    <row r="310" spans="1:25" x14ac:dyDescent="0.25">
      <c r="A310" s="12">
        <v>5933</v>
      </c>
      <c r="B310" s="13" t="s">
        <v>403</v>
      </c>
      <c r="C310" s="338">
        <v>1179738.0900000001</v>
      </c>
      <c r="D310" s="339">
        <v>118033.09</v>
      </c>
      <c r="E310" s="338">
        <v>0</v>
      </c>
      <c r="F310" s="338"/>
      <c r="G310" s="338">
        <v>32847.35</v>
      </c>
      <c r="H310" s="339">
        <v>101.7</v>
      </c>
      <c r="I310" s="338"/>
      <c r="J310" s="339">
        <v>15676.42</v>
      </c>
      <c r="K310" s="338">
        <v>2244</v>
      </c>
      <c r="L310" s="339">
        <v>99655.15</v>
      </c>
      <c r="M310" s="3">
        <f t="shared" si="10"/>
        <v>1448295.8</v>
      </c>
      <c r="N310" s="14">
        <v>9172.25</v>
      </c>
      <c r="O310" s="14">
        <v>2933.4</v>
      </c>
      <c r="P310" s="14">
        <v>67056</v>
      </c>
      <c r="Q310" s="14"/>
      <c r="R310" s="14">
        <v>18471.900000000001</v>
      </c>
      <c r="S310" s="2">
        <f t="shared" si="12"/>
        <v>1545929.3499999999</v>
      </c>
      <c r="T310" s="22">
        <v>72</v>
      </c>
      <c r="U310" s="14">
        <v>689</v>
      </c>
      <c r="V310" s="14">
        <v>-29572.11</v>
      </c>
      <c r="W310" s="14">
        <v>-9067.9</v>
      </c>
      <c r="X310" s="14">
        <v>-6.48</v>
      </c>
      <c r="Y310" s="42">
        <v>1</v>
      </c>
    </row>
    <row r="311" spans="1:25" x14ac:dyDescent="0.25">
      <c r="A311" s="12">
        <v>5934</v>
      </c>
      <c r="B311" s="13" t="s">
        <v>404</v>
      </c>
      <c r="C311" s="338">
        <v>466882.45</v>
      </c>
      <c r="D311" s="339">
        <v>37027.449999999997</v>
      </c>
      <c r="E311" s="338">
        <v>0</v>
      </c>
      <c r="F311" s="338">
        <v>1330</v>
      </c>
      <c r="G311" s="338">
        <v>3727.95</v>
      </c>
      <c r="H311" s="339">
        <v>23.7</v>
      </c>
      <c r="I311" s="338"/>
      <c r="J311" s="339">
        <v>12040.82</v>
      </c>
      <c r="K311" s="338">
        <v>-1330</v>
      </c>
      <c r="L311" s="339">
        <v>26377.9</v>
      </c>
      <c r="M311" s="3">
        <f t="shared" si="10"/>
        <v>546080.27</v>
      </c>
      <c r="N311" s="14">
        <v>9880.4</v>
      </c>
      <c r="O311" s="14">
        <v>3861.9</v>
      </c>
      <c r="P311" s="14">
        <v>20350</v>
      </c>
      <c r="Q311" s="14">
        <v>6545.86</v>
      </c>
      <c r="R311" s="14">
        <v>5984.8</v>
      </c>
      <c r="S311" s="2">
        <f t="shared" si="12"/>
        <v>592703.2300000001</v>
      </c>
      <c r="T311" s="22">
        <v>79</v>
      </c>
      <c r="U311" s="14">
        <v>247</v>
      </c>
      <c r="V311" s="14">
        <v>-10996.42</v>
      </c>
      <c r="W311" s="14"/>
      <c r="X311" s="14">
        <v>0</v>
      </c>
      <c r="Y311" s="42">
        <v>1</v>
      </c>
    </row>
    <row r="312" spans="1:25" x14ac:dyDescent="0.25">
      <c r="A312" s="12">
        <v>5935</v>
      </c>
      <c r="B312" s="13" t="s">
        <v>305</v>
      </c>
      <c r="C312" s="338">
        <v>221238.1</v>
      </c>
      <c r="D312" s="339">
        <v>14587.41</v>
      </c>
      <c r="E312" s="338">
        <v>0</v>
      </c>
      <c r="F312" s="338"/>
      <c r="G312" s="338">
        <v>1554.75</v>
      </c>
      <c r="H312" s="339">
        <v>68.349999999999994</v>
      </c>
      <c r="I312" s="338"/>
      <c r="J312" s="339">
        <v>362.91</v>
      </c>
      <c r="K312" s="338"/>
      <c r="L312" s="339">
        <v>17508.95</v>
      </c>
      <c r="M312" s="3">
        <f t="shared" si="10"/>
        <v>255320.47000000003</v>
      </c>
      <c r="N312" s="14"/>
      <c r="O312" s="14"/>
      <c r="P312" s="14">
        <v>17646.75</v>
      </c>
      <c r="Q312" s="14"/>
      <c r="R312" s="14">
        <v>2477.3000000000002</v>
      </c>
      <c r="S312" s="2">
        <f t="shared" si="12"/>
        <v>275444.52</v>
      </c>
      <c r="T312" s="22">
        <v>60</v>
      </c>
      <c r="U312" s="14">
        <v>105</v>
      </c>
      <c r="V312" s="14">
        <v>-53.64</v>
      </c>
      <c r="W312" s="14"/>
      <c r="X312" s="14">
        <v>-108.71</v>
      </c>
      <c r="Y312" s="42">
        <v>1</v>
      </c>
    </row>
    <row r="313" spans="1:25" x14ac:dyDescent="0.25">
      <c r="A313" s="12">
        <v>5937</v>
      </c>
      <c r="B313" s="13" t="s">
        <v>282</v>
      </c>
      <c r="C313" s="338">
        <v>140424.51</v>
      </c>
      <c r="D313" s="339">
        <v>9111.08</v>
      </c>
      <c r="E313" s="338">
        <v>0</v>
      </c>
      <c r="F313" s="338"/>
      <c r="G313" s="338">
        <v>271.2</v>
      </c>
      <c r="H313" s="339">
        <v>60.05</v>
      </c>
      <c r="I313" s="338"/>
      <c r="J313" s="339">
        <v>605.47</v>
      </c>
      <c r="K313" s="338"/>
      <c r="L313" s="341">
        <v>9895</v>
      </c>
      <c r="M313" s="3">
        <f t="shared" si="10"/>
        <v>160367.31</v>
      </c>
      <c r="N313" s="14"/>
      <c r="O313" s="14"/>
      <c r="P313" s="14">
        <v>10792.75</v>
      </c>
      <c r="Q313" s="14">
        <v>1403.65</v>
      </c>
      <c r="R313" s="14">
        <v>3863.6</v>
      </c>
      <c r="S313" s="2">
        <f t="shared" si="12"/>
        <v>176427.31</v>
      </c>
      <c r="T313" s="22">
        <v>70</v>
      </c>
      <c r="U313" s="14">
        <v>134</v>
      </c>
      <c r="V313" s="14">
        <v>-6902.91</v>
      </c>
      <c r="W313" s="14"/>
      <c r="X313" s="14">
        <v>0</v>
      </c>
      <c r="Y313" s="42">
        <v>0.7</v>
      </c>
    </row>
    <row r="314" spans="1:25" x14ac:dyDescent="0.25">
      <c r="A314" s="12">
        <v>5938</v>
      </c>
      <c r="B314" s="13" t="s">
        <v>155</v>
      </c>
      <c r="C314" s="338">
        <v>43354406.659999996</v>
      </c>
      <c r="D314" s="339">
        <v>4405470.91</v>
      </c>
      <c r="E314" s="338">
        <v>0</v>
      </c>
      <c r="F314" s="338"/>
      <c r="G314" s="338">
        <v>8057626.4500000002</v>
      </c>
      <c r="H314" s="339">
        <v>377556.7</v>
      </c>
      <c r="I314" s="338">
        <v>69624.05</v>
      </c>
      <c r="J314" s="339">
        <v>1960674.59</v>
      </c>
      <c r="K314" s="338">
        <v>562429.5</v>
      </c>
      <c r="L314" s="339">
        <v>3913280.15</v>
      </c>
      <c r="M314" s="3">
        <f t="shared" si="10"/>
        <v>62701069.009999998</v>
      </c>
      <c r="N314" s="14">
        <v>3598534.3</v>
      </c>
      <c r="O314" s="14">
        <v>1589618.3</v>
      </c>
      <c r="P314" s="14">
        <v>1658072.5</v>
      </c>
      <c r="Q314" s="14">
        <v>343604.49</v>
      </c>
      <c r="R314" s="14">
        <v>661113.30000000005</v>
      </c>
      <c r="S314" s="2">
        <f t="shared" si="12"/>
        <v>70552011.899999991</v>
      </c>
      <c r="T314" s="22">
        <v>76.5</v>
      </c>
      <c r="U314" s="14">
        <v>29570</v>
      </c>
      <c r="V314" s="14">
        <v>-1133337.92</v>
      </c>
      <c r="W314" s="14"/>
      <c r="X314" s="14">
        <v>-4091.84</v>
      </c>
      <c r="Y314" s="42">
        <v>1</v>
      </c>
    </row>
    <row r="315" spans="1:25" x14ac:dyDescent="0.25">
      <c r="A315" s="12">
        <v>5939</v>
      </c>
      <c r="B315" s="13" t="s">
        <v>154</v>
      </c>
      <c r="C315" s="344">
        <v>5003886.71</v>
      </c>
      <c r="D315" s="339">
        <v>513668.69</v>
      </c>
      <c r="E315" s="338">
        <v>0</v>
      </c>
      <c r="F315" s="338"/>
      <c r="G315" s="344">
        <v>335238.15000000002</v>
      </c>
      <c r="H315" s="339">
        <v>14002.4</v>
      </c>
      <c r="I315" s="344"/>
      <c r="J315" s="339">
        <v>162109.07999999999</v>
      </c>
      <c r="K315" s="344">
        <v>12227</v>
      </c>
      <c r="L315" s="339">
        <v>476877.95</v>
      </c>
      <c r="M315" s="3">
        <f t="shared" si="10"/>
        <v>6518009.9800000014</v>
      </c>
      <c r="N315" s="14">
        <v>119969.7</v>
      </c>
      <c r="O315" s="14">
        <v>465110.9</v>
      </c>
      <c r="P315" s="14">
        <v>243245.3</v>
      </c>
      <c r="Q315" s="14">
        <v>37101.11</v>
      </c>
      <c r="R315" s="14">
        <v>113485.45</v>
      </c>
      <c r="S315" s="2">
        <f t="shared" si="12"/>
        <v>7496922.4400000023</v>
      </c>
      <c r="T315" s="22">
        <v>73</v>
      </c>
      <c r="U315" s="14">
        <v>3236</v>
      </c>
      <c r="V315" s="14">
        <v>-111996.04</v>
      </c>
      <c r="W315" s="14"/>
      <c r="X315" s="14">
        <v>-57.1</v>
      </c>
      <c r="Y315" s="42">
        <v>1</v>
      </c>
    </row>
    <row r="316" spans="1:25" x14ac:dyDescent="0.25">
      <c r="A316" s="11"/>
      <c r="B316" s="32">
        <f>COUNTA(B7:B315)</f>
        <v>309</v>
      </c>
      <c r="C316" s="15">
        <f t="shared" ref="C316:S316" si="13">SUM(C7:C315)</f>
        <v>1564361596</v>
      </c>
      <c r="D316" s="136">
        <f t="shared" si="13"/>
        <v>273049209.82000011</v>
      </c>
      <c r="E316" s="15">
        <f t="shared" si="13"/>
        <v>74959.5</v>
      </c>
      <c r="F316" s="15">
        <f t="shared" si="13"/>
        <v>116908</v>
      </c>
      <c r="G316" s="15">
        <f t="shared" si="13"/>
        <v>298290215.25999981</v>
      </c>
      <c r="H316" s="15">
        <f t="shared" si="13"/>
        <v>49317663.87000002</v>
      </c>
      <c r="I316" s="15">
        <f t="shared" si="13"/>
        <v>42188710.170000009</v>
      </c>
      <c r="J316" s="15">
        <f t="shared" si="13"/>
        <v>84062184.200000033</v>
      </c>
      <c r="K316" s="15">
        <f t="shared" si="13"/>
        <v>15650030.649999997</v>
      </c>
      <c r="L316" s="15">
        <f t="shared" si="13"/>
        <v>180513157.68000007</v>
      </c>
      <c r="M316" s="335">
        <f t="shared" si="13"/>
        <v>2507624635.1499991</v>
      </c>
      <c r="N316" s="15">
        <f t="shared" si="13"/>
        <v>66918953.550000027</v>
      </c>
      <c r="O316" s="15">
        <f t="shared" si="13"/>
        <v>74812824.099999994</v>
      </c>
      <c r="P316" s="15">
        <f t="shared" si="13"/>
        <v>79274538.900000006</v>
      </c>
      <c r="Q316" s="15">
        <f t="shared" si="13"/>
        <v>9291161.9300000016</v>
      </c>
      <c r="R316" s="15">
        <f t="shared" si="13"/>
        <v>53667540.999999993</v>
      </c>
      <c r="S316" s="15">
        <f t="shared" si="13"/>
        <v>2791589654.6299996</v>
      </c>
      <c r="T316" s="25">
        <f>SUM(T9:T315)</f>
        <v>21521.010000000002</v>
      </c>
      <c r="U316" s="15">
        <f>SUM(U7:U315)</f>
        <v>778251</v>
      </c>
      <c r="V316" s="15">
        <f>SUM(V7:V315)</f>
        <v>-34540637.610000007</v>
      </c>
      <c r="W316" s="15">
        <f>SUM(W7:W315)</f>
        <v>-189217.35</v>
      </c>
      <c r="X316" s="15">
        <f>SUM(X7:X315)</f>
        <v>-1337332.4299999997</v>
      </c>
      <c r="Y316" s="43">
        <f>SUM(Y7:Y315)</f>
        <v>321.79999999999995</v>
      </c>
    </row>
  </sheetData>
  <protectedRanges>
    <protectedRange sqref="A7:B315 T7:X315 N7:R315 C316" name="Plage1"/>
    <protectedRange sqref="C7:L170 C172:L315" name="Plage1_1"/>
    <protectedRange sqref="C171:L171" name="Plage1_3"/>
  </protectedRanges>
  <mergeCells count="25">
    <mergeCell ref="Y4:Y6"/>
    <mergeCell ref="F4:F5"/>
    <mergeCell ref="K4:K5"/>
    <mergeCell ref="M4:M5"/>
    <mergeCell ref="S4:S5"/>
    <mergeCell ref="O4:O5"/>
    <mergeCell ref="P4:P5"/>
    <mergeCell ref="R4:R5"/>
    <mergeCell ref="U4:U5"/>
    <mergeCell ref="V4:V6"/>
    <mergeCell ref="X4:X6"/>
    <mergeCell ref="W4:W6"/>
    <mergeCell ref="T4:T5"/>
    <mergeCell ref="A4:A6"/>
    <mergeCell ref="B4:B6"/>
    <mergeCell ref="Q4:Q6"/>
    <mergeCell ref="L4:L5"/>
    <mergeCell ref="G4:G5"/>
    <mergeCell ref="H4:H5"/>
    <mergeCell ref="I4:I5"/>
    <mergeCell ref="J4:J5"/>
    <mergeCell ref="C4:C5"/>
    <mergeCell ref="D4:D5"/>
    <mergeCell ref="E4:E5"/>
    <mergeCell ref="N4:N5"/>
  </mergeCells>
  <phoneticPr fontId="7" type="noConversion"/>
  <pageMargins left="0.78740157499999996" right="0.78740157499999996" top="0.984251969" bottom="0.984251969" header="0.4921259845" footer="0.4921259845"/>
  <pageSetup paperSize="9" scale="7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  <pageSetUpPr fitToPage="1"/>
  </sheetPr>
  <dimension ref="B1:F56"/>
  <sheetViews>
    <sheetView tabSelected="1" workbookViewId="0">
      <selection activeCell="B2" sqref="B2"/>
    </sheetView>
  </sheetViews>
  <sheetFormatPr baseColWidth="10" defaultColWidth="10.875" defaultRowHeight="15" x14ac:dyDescent="0.25"/>
  <cols>
    <col min="1" max="1" width="3.375" style="186" customWidth="1"/>
    <col min="2" max="2" width="17.125" style="186" customWidth="1"/>
    <col min="3" max="4" width="12.75" style="186" customWidth="1"/>
    <col min="5" max="6" width="12.75" style="236" customWidth="1"/>
    <col min="7" max="16384" width="10.875" style="186"/>
  </cols>
  <sheetData>
    <row r="1" spans="2:6" ht="31.5" x14ac:dyDescent="0.5">
      <c r="B1" s="227" t="s">
        <v>501</v>
      </c>
    </row>
    <row r="3" spans="2:6" s="237" customFormat="1" ht="26.25" x14ac:dyDescent="0.4">
      <c r="B3" s="240"/>
      <c r="C3" s="428" t="s">
        <v>125</v>
      </c>
      <c r="D3" s="428"/>
      <c r="E3" s="428"/>
      <c r="F3" s="238"/>
    </row>
    <row r="6" spans="2:6" ht="18.75" x14ac:dyDescent="0.3">
      <c r="B6" s="427" t="str">
        <f>CONCATENATE("Péréquation, ",Paramètres!B5)</f>
        <v>Péréquation, Acomptes 2018</v>
      </c>
      <c r="C6" s="427"/>
      <c r="D6" s="427"/>
      <c r="E6" s="427"/>
      <c r="F6" s="427"/>
    </row>
    <row r="7" spans="2:6" s="284" customFormat="1" ht="18.75" x14ac:dyDescent="0.3">
      <c r="B7" s="427" t="str">
        <f>C3</f>
        <v>Lausanne</v>
      </c>
      <c r="C7" s="427"/>
      <c r="D7" s="427"/>
      <c r="E7" s="427"/>
      <c r="F7" s="427"/>
    </row>
    <row r="8" spans="2:6" s="284" customFormat="1" ht="12.75" x14ac:dyDescent="0.2">
      <c r="B8" s="291" t="str">
        <f>CONCATENATE("Population : ",VLOOKUP($B$7,'A) Base RI'!$B$7:$U$315,20,FALSE))</f>
        <v>Population : 137053</v>
      </c>
      <c r="C8" s="282"/>
      <c r="D8" s="282"/>
      <c r="E8" s="283"/>
      <c r="F8" s="290" t="str">
        <f>CONCATENATE("N° OFS : ",VLOOKUP($B$7,Paramètres!$A$70:$B$378,2,FALSE))</f>
        <v>N° OFS : 5586</v>
      </c>
    </row>
    <row r="9" spans="2:6" s="284" customFormat="1" ht="12.75" x14ac:dyDescent="0.2">
      <c r="B9" s="291" t="str">
        <f>CONCATENATE("Taux : ",VLOOKUP($B$7,'A) Base RI'!$B$7:$U$315,19,FALSE))</f>
        <v>Taux : 79</v>
      </c>
      <c r="C9" s="282"/>
      <c r="D9" s="282"/>
      <c r="E9" s="283"/>
      <c r="F9" s="386" t="str">
        <f>CONCATENATE("Point impôt communal : ",ROUND(VLOOKUP(B7,'D) Ecrêtage'!B5:M322,2,FALSE),0))</f>
        <v>Point impôt communal : 6075429</v>
      </c>
    </row>
    <row r="10" spans="2:6" s="284" customFormat="1" ht="12.75" x14ac:dyDescent="0.2">
      <c r="B10" s="282"/>
      <c r="C10" s="282"/>
      <c r="D10" s="282"/>
      <c r="E10" s="283"/>
      <c r="F10" s="386" t="str">
        <f>CONCATENATE("Point impôt écrêté : ",ROUND(VLOOKUP(B7,'H) Péréquation directe'!B16:C333,2,FALSE),0))</f>
        <v>Point impôt écrêté : 6075429</v>
      </c>
    </row>
    <row r="11" spans="2:6" ht="18" x14ac:dyDescent="0.35">
      <c r="B11" s="274" t="s">
        <v>534</v>
      </c>
      <c r="C11" s="117"/>
      <c r="D11" s="117"/>
      <c r="E11" s="239"/>
      <c r="F11" s="239"/>
    </row>
    <row r="12" spans="2:6" s="284" customFormat="1" ht="12.75" x14ac:dyDescent="0.2">
      <c r="B12" s="282"/>
      <c r="C12" s="282"/>
      <c r="D12" s="282"/>
      <c r="E12" s="283"/>
      <c r="F12" s="283"/>
    </row>
    <row r="13" spans="2:6" s="284" customFormat="1" ht="12.75" x14ac:dyDescent="0.2">
      <c r="B13" s="289" t="s">
        <v>446</v>
      </c>
      <c r="C13" s="282"/>
      <c r="D13" s="282"/>
      <c r="E13" s="283"/>
      <c r="F13" s="283"/>
    </row>
    <row r="14" spans="2:6" s="284" customFormat="1" ht="12.75" x14ac:dyDescent="0.2">
      <c r="B14" s="282" t="s">
        <v>489</v>
      </c>
      <c r="C14" s="282"/>
      <c r="D14" s="282"/>
      <c r="E14" s="285">
        <f>VLOOKUP($C$3,'C) Prél. conj.'!$B$3:$E$391,2,FALSE)*0.5</f>
        <v>12441435.725</v>
      </c>
      <c r="F14" s="283"/>
    </row>
    <row r="15" spans="2:6" s="284" customFormat="1" ht="12.75" x14ac:dyDescent="0.2">
      <c r="B15" s="282" t="s">
        <v>199</v>
      </c>
      <c r="C15" s="282"/>
      <c r="D15" s="282"/>
      <c r="E15" s="285">
        <f>VLOOKUP($C$3,'C) Prél. conj.'!$B$3:$E$391,3,FALSE)*0.3</f>
        <v>3250894.4849999999</v>
      </c>
      <c r="F15" s="283">
        <f>E14+E15</f>
        <v>15692330.209999999</v>
      </c>
    </row>
    <row r="16" spans="2:6" s="284" customFormat="1" ht="12.75" x14ac:dyDescent="0.2">
      <c r="B16" s="282"/>
      <c r="C16" s="282"/>
      <c r="D16" s="282"/>
      <c r="E16" s="283"/>
      <c r="F16" s="283"/>
    </row>
    <row r="17" spans="2:6" s="284" customFormat="1" ht="12.75" x14ac:dyDescent="0.2">
      <c r="B17" s="289" t="s">
        <v>487</v>
      </c>
      <c r="C17" s="282"/>
      <c r="D17" s="282"/>
      <c r="E17" s="283"/>
      <c r="F17" s="283"/>
    </row>
    <row r="18" spans="2:6" s="284" customFormat="1" ht="12.75" x14ac:dyDescent="0.2">
      <c r="B18" s="282" t="s">
        <v>491</v>
      </c>
      <c r="C18" s="282"/>
      <c r="D18" s="286">
        <f>VLOOKUP($C$3,'D) Ecrêtage'!$B$3:$L$391,10,FALSE)</f>
        <v>0</v>
      </c>
      <c r="E18" s="283"/>
      <c r="F18" s="283">
        <f>VLOOKUP($C$3,'D) Ecrêtage'!$B$3:$L$391,11,FALSE)</f>
        <v>0</v>
      </c>
    </row>
    <row r="19" spans="2:6" s="284" customFormat="1" ht="12.75" x14ac:dyDescent="0.2">
      <c r="B19" s="282"/>
      <c r="C19" s="282"/>
      <c r="D19" s="282"/>
      <c r="E19" s="283"/>
      <c r="F19" s="283"/>
    </row>
    <row r="20" spans="2:6" s="284" customFormat="1" ht="12.75" x14ac:dyDescent="0.2">
      <c r="B20" s="289" t="s">
        <v>490</v>
      </c>
      <c r="C20" s="282"/>
      <c r="D20" s="282"/>
      <c r="E20" s="283"/>
      <c r="F20" s="283"/>
    </row>
    <row r="21" spans="2:6" s="284" customFormat="1" ht="12.75" x14ac:dyDescent="0.2">
      <c r="B21" s="282" t="str">
        <f>CONCATENATE("Nombre de points écrêtés à répartir ",ROUND('E) Fact soc'!D7,2))</f>
        <v>Nombre de points écrêtés à répartir 15.12</v>
      </c>
      <c r="C21" s="282"/>
      <c r="D21" s="282"/>
      <c r="E21" s="283"/>
      <c r="F21" s="283"/>
    </row>
    <row r="22" spans="2:6" s="284" customFormat="1" ht="12.75" x14ac:dyDescent="0.2">
      <c r="B22" s="282" t="s">
        <v>500</v>
      </c>
      <c r="C22" s="282"/>
      <c r="D22" s="282"/>
      <c r="E22" s="283"/>
      <c r="F22" s="283">
        <f>VLOOKUP($C$3,'E) Fact soc'!$B$9:$G$391,5,FALSE)</f>
        <v>91844254.854427919</v>
      </c>
    </row>
    <row r="23" spans="2:6" s="284" customFormat="1" ht="12.75" x14ac:dyDescent="0.2">
      <c r="B23" s="282"/>
      <c r="C23" s="282"/>
      <c r="D23" s="282"/>
      <c r="E23" s="283"/>
      <c r="F23" s="287"/>
    </row>
    <row r="24" spans="2:6" s="284" customFormat="1" ht="12.75" x14ac:dyDescent="0.2">
      <c r="B24" s="289" t="s">
        <v>492</v>
      </c>
      <c r="C24" s="282"/>
      <c r="D24" s="282"/>
      <c r="E24" s="283"/>
      <c r="F24" s="288">
        <f>F15+F18+F22</f>
        <v>107536585.06442791</v>
      </c>
    </row>
    <row r="25" spans="2:6" s="284" customFormat="1" ht="12.75" x14ac:dyDescent="0.2">
      <c r="B25" s="282"/>
      <c r="C25" s="282"/>
      <c r="D25" s="282"/>
      <c r="E25" s="283"/>
      <c r="F25" s="283"/>
    </row>
    <row r="26" spans="2:6" ht="18" x14ac:dyDescent="0.35">
      <c r="B26" s="274" t="s">
        <v>535</v>
      </c>
      <c r="C26" s="117"/>
      <c r="D26" s="117"/>
      <c r="E26" s="239"/>
      <c r="F26" s="239"/>
    </row>
    <row r="27" spans="2:6" s="284" customFormat="1" ht="12.75" x14ac:dyDescent="0.2">
      <c r="B27" s="282"/>
      <c r="C27" s="282"/>
      <c r="D27" s="282"/>
      <c r="E27" s="283"/>
      <c r="F27" s="283"/>
    </row>
    <row r="28" spans="2:6" s="284" customFormat="1" ht="12.75" x14ac:dyDescent="0.2">
      <c r="B28" s="289" t="s">
        <v>310</v>
      </c>
      <c r="C28" s="282"/>
      <c r="D28" s="282"/>
      <c r="E28" s="283"/>
      <c r="F28" s="283">
        <f>-VLOOKUP($C$3,'F) Population'!$B$8:$K$391,10,FALSE)</f>
        <v>-135963316.90140843</v>
      </c>
    </row>
    <row r="29" spans="2:6" s="284" customFormat="1" ht="12.75" x14ac:dyDescent="0.2">
      <c r="B29" s="282"/>
      <c r="C29" s="282"/>
      <c r="D29" s="282"/>
      <c r="E29" s="283"/>
      <c r="F29" s="283"/>
    </row>
    <row r="30" spans="2:6" s="284" customFormat="1" ht="12.75" x14ac:dyDescent="0.2">
      <c r="B30" s="289" t="s">
        <v>493</v>
      </c>
      <c r="C30" s="282"/>
      <c r="D30" s="282"/>
      <c r="E30" s="283"/>
      <c r="F30" s="283">
        <f>-VLOOKUP($C$3,'G) Solidarité'!$B$5:$I$391,8,FALSE)</f>
        <v>-3349173.1011205739</v>
      </c>
    </row>
    <row r="31" spans="2:6" s="284" customFormat="1" ht="12.75" x14ac:dyDescent="0.2">
      <c r="B31" s="282"/>
      <c r="C31" s="282"/>
      <c r="D31" s="282"/>
      <c r="E31" s="283"/>
      <c r="F31" s="283"/>
    </row>
    <row r="32" spans="2:6" s="284" customFormat="1" ht="12.75" x14ac:dyDescent="0.2">
      <c r="B32" s="289" t="s">
        <v>144</v>
      </c>
      <c r="C32" s="282"/>
      <c r="D32" s="282"/>
      <c r="E32" s="283"/>
      <c r="F32" s="283"/>
    </row>
    <row r="33" spans="2:6" s="284" customFormat="1" ht="12.75" x14ac:dyDescent="0.2">
      <c r="B33" s="282" t="s">
        <v>494</v>
      </c>
      <c r="C33" s="282"/>
      <c r="D33" s="282"/>
      <c r="E33" s="285">
        <f>VLOOKUP($C$3,'I) Dépenses thématiques'!$B$5:$O$378,9,FALSE)</f>
        <v>-45362627.389542535</v>
      </c>
      <c r="F33" s="283"/>
    </row>
    <row r="34" spans="2:6" s="284" customFormat="1" ht="12.75" x14ac:dyDescent="0.2">
      <c r="B34" s="282" t="s">
        <v>219</v>
      </c>
      <c r="C34" s="282"/>
      <c r="D34" s="282"/>
      <c r="E34" s="285">
        <f>VLOOKUP($C$3,'I) Dépenses thématiques'!$B$5:$O$378,13,FALSE)</f>
        <v>0</v>
      </c>
      <c r="F34" s="283">
        <f>E33+E34</f>
        <v>-45362627.389542535</v>
      </c>
    </row>
    <row r="35" spans="2:6" s="284" customFormat="1" ht="12.75" x14ac:dyDescent="0.2">
      <c r="B35" s="282"/>
      <c r="C35" s="282"/>
      <c r="D35" s="282"/>
      <c r="E35" s="283"/>
      <c r="F35" s="283"/>
    </row>
    <row r="36" spans="2:6" s="284" customFormat="1" ht="12.75" x14ac:dyDescent="0.2">
      <c r="B36" s="289" t="s">
        <v>495</v>
      </c>
      <c r="C36" s="282"/>
      <c r="D36" s="282"/>
      <c r="E36" s="283"/>
      <c r="F36" s="283"/>
    </row>
    <row r="37" spans="2:6" s="284" customFormat="1" ht="12.75" x14ac:dyDescent="0.2">
      <c r="B37" s="282" t="s">
        <v>496</v>
      </c>
      <c r="C37" s="282"/>
      <c r="D37" s="282"/>
      <c r="E37" s="285">
        <f>VLOOKUP($C$3,'J) Plafonnement effort'!$B$5:$I$391,8,FALSE)</f>
        <v>0</v>
      </c>
      <c r="F37" s="283"/>
    </row>
    <row r="38" spans="2:6" s="284" customFormat="1" ht="12.75" x14ac:dyDescent="0.2">
      <c r="B38" s="282" t="s">
        <v>497</v>
      </c>
      <c r="C38" s="282"/>
      <c r="D38" s="282"/>
      <c r="E38" s="285">
        <f>VLOOKUP($C$3,'K) Plafonnement aide'!$B$5:$J$391,9,FALSE)</f>
        <v>0</v>
      </c>
      <c r="F38" s="283"/>
    </row>
    <row r="39" spans="2:6" s="284" customFormat="1" ht="12.75" x14ac:dyDescent="0.2">
      <c r="B39" s="282" t="s">
        <v>498</v>
      </c>
      <c r="C39" s="282"/>
      <c r="D39" s="282"/>
      <c r="E39" s="285">
        <f>VLOOKUP($C$3,'L) Plafonnement taux'!$B$6:$Q$391,16,FALSE)</f>
        <v>0</v>
      </c>
      <c r="F39" s="283">
        <f>SUM(E37:E39)</f>
        <v>0</v>
      </c>
    </row>
    <row r="40" spans="2:6" s="284" customFormat="1" ht="12.75" x14ac:dyDescent="0.2">
      <c r="B40" s="282"/>
      <c r="C40" s="282"/>
      <c r="D40" s="282"/>
      <c r="E40" s="283"/>
      <c r="F40" s="283"/>
    </row>
    <row r="41" spans="2:6" s="284" customFormat="1" ht="12.75" x14ac:dyDescent="0.2">
      <c r="B41" s="289" t="s">
        <v>99</v>
      </c>
      <c r="C41" s="282"/>
      <c r="D41" s="282"/>
      <c r="E41" s="283"/>
      <c r="F41" s="283">
        <f>VLOOKUP($C$3,'H) Péréquation directe'!$B$16:$I$391,4,FALSE)</f>
        <v>114258376.79405086</v>
      </c>
    </row>
    <row r="42" spans="2:6" s="284" customFormat="1" ht="12.75" x14ac:dyDescent="0.2">
      <c r="B42" s="282"/>
      <c r="C42" s="282"/>
      <c r="D42" s="282"/>
      <c r="E42" s="283"/>
      <c r="F42" s="287"/>
    </row>
    <row r="43" spans="2:6" s="284" customFormat="1" ht="12.75" x14ac:dyDescent="0.2">
      <c r="B43" s="289" t="s">
        <v>499</v>
      </c>
      <c r="C43" s="282"/>
      <c r="D43" s="282"/>
      <c r="E43" s="283"/>
      <c r="F43" s="288">
        <f>F28+F30+F34+F39+F41</f>
        <v>-70416740.598020688</v>
      </c>
    </row>
    <row r="44" spans="2:6" s="284" customFormat="1" ht="12.75" x14ac:dyDescent="0.2">
      <c r="B44" s="282"/>
      <c r="C44" s="282"/>
      <c r="D44" s="282"/>
      <c r="E44" s="283"/>
      <c r="F44" s="283"/>
    </row>
    <row r="45" spans="2:6" ht="18" x14ac:dyDescent="0.35">
      <c r="B45" s="274" t="s">
        <v>536</v>
      </c>
      <c r="C45" s="117"/>
      <c r="D45" s="117"/>
      <c r="E45" s="239"/>
      <c r="F45" s="239"/>
    </row>
    <row r="46" spans="2:6" s="284" customFormat="1" ht="12.75" x14ac:dyDescent="0.2">
      <c r="B46" s="282"/>
      <c r="C46" s="282"/>
      <c r="D46" s="282"/>
      <c r="E46" s="283"/>
      <c r="F46" s="283"/>
    </row>
    <row r="47" spans="2:6" s="284" customFormat="1" ht="12.75" x14ac:dyDescent="0.2">
      <c r="B47" s="282" t="s">
        <v>515</v>
      </c>
      <c r="C47" s="282"/>
      <c r="D47" s="282"/>
      <c r="E47" s="285">
        <f>VLOOKUP($C$3,'M) Police'!$B$6:$N$396,10,FALSE)</f>
        <v>0</v>
      </c>
      <c r="F47" s="283"/>
    </row>
    <row r="48" spans="2:6" s="284" customFormat="1" ht="12.75" x14ac:dyDescent="0.2">
      <c r="B48" s="282" t="s">
        <v>516</v>
      </c>
      <c r="C48" s="282"/>
      <c r="D48" s="282"/>
      <c r="E48" s="285">
        <f>VLOOKUP($C$3,'M) Police'!$B$6:$N$396,13,FALSE)</f>
        <v>7909755.6649899334</v>
      </c>
      <c r="F48" s="283">
        <f>E47+E48</f>
        <v>7909755.6649899334</v>
      </c>
    </row>
    <row r="49" spans="2:6" s="284" customFormat="1" ht="12.75" x14ac:dyDescent="0.2">
      <c r="B49" s="282"/>
      <c r="C49" s="282"/>
      <c r="D49" s="282"/>
      <c r="E49" s="283"/>
      <c r="F49" s="287"/>
    </row>
    <row r="50" spans="2:6" s="284" customFormat="1" ht="12.75" x14ac:dyDescent="0.2">
      <c r="B50" s="289" t="s">
        <v>522</v>
      </c>
      <c r="C50" s="282"/>
      <c r="D50" s="282"/>
      <c r="E50" s="283"/>
      <c r="F50" s="288">
        <f>F48</f>
        <v>7909755.6649899334</v>
      </c>
    </row>
    <row r="51" spans="2:6" s="284" customFormat="1" ht="12.75" x14ac:dyDescent="0.2">
      <c r="B51" s="282"/>
      <c r="C51" s="282"/>
      <c r="D51" s="282"/>
      <c r="E51" s="283"/>
      <c r="F51" s="283"/>
    </row>
    <row r="52" spans="2:6" ht="18" x14ac:dyDescent="0.35">
      <c r="B52" s="274" t="s">
        <v>537</v>
      </c>
      <c r="C52" s="117"/>
      <c r="D52" s="117"/>
      <c r="E52" s="239"/>
      <c r="F52" s="239"/>
    </row>
    <row r="53" spans="2:6" s="284" customFormat="1" ht="12.75" x14ac:dyDescent="0.2">
      <c r="B53" s="282"/>
      <c r="C53" s="282"/>
      <c r="D53" s="282"/>
      <c r="E53" s="283"/>
      <c r="F53" s="283"/>
    </row>
    <row r="54" spans="2:6" s="284" customFormat="1" ht="12.75" x14ac:dyDescent="0.2">
      <c r="B54" s="282"/>
      <c r="C54" s="282"/>
      <c r="D54" s="282"/>
      <c r="E54" s="283"/>
      <c r="F54" s="283"/>
    </row>
    <row r="55" spans="2:6" s="284" customFormat="1" ht="12.75" x14ac:dyDescent="0.2">
      <c r="B55" s="289" t="s">
        <v>517</v>
      </c>
      <c r="C55" s="282"/>
      <c r="D55" s="282"/>
      <c r="E55" s="283"/>
      <c r="F55" s="288">
        <f>F24+F43+F50</f>
        <v>45029600.131397158</v>
      </c>
    </row>
    <row r="56" spans="2:6" s="284" customFormat="1" ht="12.75" x14ac:dyDescent="0.2">
      <c r="B56" s="282"/>
      <c r="C56" s="282"/>
      <c r="D56" s="282"/>
      <c r="E56" s="283"/>
      <c r="F56" s="283"/>
    </row>
  </sheetData>
  <sheetProtection password="C75D" sheet="1" formatCells="0" formatColumns="0" formatRows="0" insertColumns="0" insertRows="0" insertHyperlinks="0" deleteColumns="0" deleteRows="0" sort="0" autoFilter="0" pivotTables="0"/>
  <protectedRanges>
    <protectedRange sqref="C3:E3" name="Plage1"/>
  </protectedRanges>
  <mergeCells count="3">
    <mergeCell ref="B6:F6"/>
    <mergeCell ref="B7:F7"/>
    <mergeCell ref="C3:E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Paramètres!$A$70:$A$378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0B050"/>
  </sheetPr>
  <dimension ref="A1:AA325"/>
  <sheetViews>
    <sheetView zoomScaleNormal="100" workbookViewId="0">
      <pane ySplit="6" topLeftCell="A7" activePane="bottomLeft" state="frozen"/>
      <selection activeCell="D160" sqref="D160"/>
      <selection pane="bottomLeft" activeCell="R27" sqref="R27"/>
    </sheetView>
  </sheetViews>
  <sheetFormatPr baseColWidth="10" defaultColWidth="8.625" defaultRowHeight="15" x14ac:dyDescent="0.25"/>
  <cols>
    <col min="1" max="1" width="7.625" style="6" customWidth="1"/>
    <col min="2" max="2" width="20.375" style="18" bestFit="1" customWidth="1"/>
    <col min="3" max="3" width="15.875" style="18" hidden="1" customWidth="1"/>
    <col min="4" max="4" width="12.125" style="8" hidden="1" customWidth="1"/>
    <col min="5" max="5" width="9.125" style="18" hidden="1" customWidth="1"/>
    <col min="6" max="6" width="13.375" style="8" hidden="1" customWidth="1"/>
    <col min="7" max="7" width="18.375" style="18" hidden="1" customWidth="1"/>
    <col min="8" max="8" width="10" style="8" hidden="1" customWidth="1"/>
    <col min="9" max="9" width="10.125" style="18" hidden="1" customWidth="1"/>
    <col min="10" max="10" width="16" style="18" hidden="1" customWidth="1"/>
    <col min="11" max="12" width="12.25" style="18" hidden="1" customWidth="1"/>
    <col min="13" max="13" width="13.375" style="18" hidden="1" customWidth="1"/>
    <col min="14" max="14" width="15.875" style="18" hidden="1" customWidth="1"/>
    <col min="15" max="15" width="13" style="18" hidden="1" customWidth="1"/>
    <col min="16" max="16" width="13.125" style="18" hidden="1" customWidth="1"/>
    <col min="17" max="17" width="8.625" style="18" hidden="1" customWidth="1"/>
    <col min="18" max="18" width="14.375" style="18" bestFit="1" customWidth="1"/>
    <col min="19" max="19" width="9.25" style="20" bestFit="1" customWidth="1"/>
    <col min="20" max="20" width="14.375" style="20" bestFit="1" customWidth="1"/>
    <col min="21" max="21" width="12.125" style="18" customWidth="1"/>
    <col min="22" max="22" width="13.5" style="18" bestFit="1" customWidth="1"/>
    <col min="23" max="24" width="12.25" style="18" bestFit="1" customWidth="1"/>
    <col min="25" max="25" width="15.5" style="18" customWidth="1"/>
    <col min="26" max="26" width="12.125" style="18" bestFit="1" customWidth="1"/>
    <col min="27" max="27" width="8.625" style="18" customWidth="1"/>
    <col min="28" max="16384" width="8.625" style="18"/>
  </cols>
  <sheetData>
    <row r="1" spans="1:27" ht="21" x14ac:dyDescent="0.35">
      <c r="A1" s="33" t="s">
        <v>463</v>
      </c>
      <c r="B1" s="34"/>
      <c r="C1" s="34"/>
      <c r="E1" s="36"/>
      <c r="G1" s="6"/>
      <c r="H1" s="7"/>
      <c r="I1" s="6"/>
      <c r="J1" s="6"/>
      <c r="K1" s="6"/>
      <c r="L1" s="6"/>
    </row>
    <row r="2" spans="1:27" ht="21" x14ac:dyDescent="0.35">
      <c r="A2" s="33" t="str">
        <f>Paramètres!B5</f>
        <v>Acomptes 2018</v>
      </c>
      <c r="C2" s="33"/>
      <c r="E2" s="36"/>
      <c r="G2" s="37"/>
      <c r="H2" s="7"/>
      <c r="I2" s="6"/>
      <c r="J2" s="6"/>
      <c r="K2" s="6"/>
      <c r="L2" s="6"/>
    </row>
    <row r="3" spans="1:27" x14ac:dyDescent="0.25">
      <c r="A3" s="5"/>
      <c r="B3" s="6"/>
      <c r="C3" s="6"/>
      <c r="E3" s="36"/>
      <c r="G3" s="6"/>
      <c r="H3" s="7"/>
      <c r="I3" s="6"/>
      <c r="J3" s="6"/>
      <c r="K3" s="6"/>
      <c r="L3" s="6"/>
      <c r="O3" s="35"/>
    </row>
    <row r="4" spans="1:27" s="21" customFormat="1" ht="38.1" customHeight="1" x14ac:dyDescent="0.2">
      <c r="A4" s="407" t="s">
        <v>50</v>
      </c>
      <c r="B4" s="429" t="s">
        <v>101</v>
      </c>
      <c r="C4" s="423" t="s">
        <v>256</v>
      </c>
      <c r="D4" s="413" t="s">
        <v>251</v>
      </c>
      <c r="E4" s="420" t="s">
        <v>252</v>
      </c>
      <c r="F4" s="413" t="s">
        <v>253</v>
      </c>
      <c r="G4" s="423" t="s">
        <v>254</v>
      </c>
      <c r="H4" s="413" t="s">
        <v>263</v>
      </c>
      <c r="I4" s="423" t="s">
        <v>264</v>
      </c>
      <c r="J4" s="423" t="s">
        <v>265</v>
      </c>
      <c r="K4" s="423" t="s">
        <v>388</v>
      </c>
      <c r="L4" s="423" t="s">
        <v>389</v>
      </c>
      <c r="M4" s="423" t="s">
        <v>390</v>
      </c>
      <c r="N4" s="413" t="s">
        <v>424</v>
      </c>
      <c r="O4" s="423" t="s">
        <v>52</v>
      </c>
      <c r="P4" s="423" t="s">
        <v>391</v>
      </c>
      <c r="Q4" s="420" t="s">
        <v>521</v>
      </c>
      <c r="R4" s="436" t="s">
        <v>485</v>
      </c>
      <c r="S4" s="425" t="s">
        <v>83</v>
      </c>
      <c r="T4" s="436" t="s">
        <v>347</v>
      </c>
      <c r="U4" s="436" t="s">
        <v>465</v>
      </c>
      <c r="V4" s="423" t="s">
        <v>200</v>
      </c>
      <c r="W4" s="423" t="s">
        <v>201</v>
      </c>
      <c r="X4" s="423" t="s">
        <v>202</v>
      </c>
      <c r="Y4" s="433" t="s">
        <v>435</v>
      </c>
      <c r="Z4" s="423" t="s">
        <v>199</v>
      </c>
      <c r="AA4" s="423" t="s">
        <v>310</v>
      </c>
    </row>
    <row r="5" spans="1:27" s="21" customFormat="1" ht="38.1" customHeight="1" x14ac:dyDescent="0.2">
      <c r="A5" s="408"/>
      <c r="B5" s="430"/>
      <c r="C5" s="432"/>
      <c r="D5" s="414"/>
      <c r="E5" s="421"/>
      <c r="F5" s="414"/>
      <c r="G5" s="432"/>
      <c r="H5" s="415"/>
      <c r="I5" s="432"/>
      <c r="J5" s="432"/>
      <c r="K5" s="432"/>
      <c r="L5" s="432"/>
      <c r="M5" s="432"/>
      <c r="N5" s="414"/>
      <c r="O5" s="439"/>
      <c r="P5" s="432"/>
      <c r="Q5" s="421"/>
      <c r="R5" s="437"/>
      <c r="S5" s="426"/>
      <c r="T5" s="437"/>
      <c r="U5" s="438"/>
      <c r="V5" s="432"/>
      <c r="W5" s="432"/>
      <c r="X5" s="432"/>
      <c r="Y5" s="434"/>
      <c r="Z5" s="432"/>
      <c r="AA5" s="432"/>
    </row>
    <row r="6" spans="1:27" ht="14.25" customHeight="1" x14ac:dyDescent="0.25">
      <c r="A6" s="409"/>
      <c r="B6" s="431"/>
      <c r="C6" s="47" t="s">
        <v>257</v>
      </c>
      <c r="D6" s="415"/>
      <c r="E6" s="422"/>
      <c r="F6" s="415"/>
      <c r="G6" s="47" t="s">
        <v>255</v>
      </c>
      <c r="H6" s="26" t="s">
        <v>84</v>
      </c>
      <c r="I6" s="27" t="s">
        <v>85</v>
      </c>
      <c r="J6" s="27" t="s">
        <v>86</v>
      </c>
      <c r="K6" s="47" t="s">
        <v>87</v>
      </c>
      <c r="L6" s="27" t="s">
        <v>88</v>
      </c>
      <c r="M6" s="27" t="s">
        <v>89</v>
      </c>
      <c r="N6" s="415"/>
      <c r="O6" s="432"/>
      <c r="P6" s="27" t="s">
        <v>90</v>
      </c>
      <c r="Q6" s="422"/>
      <c r="R6" s="438"/>
      <c r="S6" s="48">
        <f>Paramètres!B8</f>
        <v>2016</v>
      </c>
      <c r="T6" s="438"/>
      <c r="U6" s="229" t="str">
        <f>Paramètres!B5</f>
        <v>Acomptes 2018</v>
      </c>
      <c r="V6" s="27" t="s">
        <v>93</v>
      </c>
      <c r="W6" s="27" t="s">
        <v>94</v>
      </c>
      <c r="X6" s="27" t="s">
        <v>95</v>
      </c>
      <c r="Y6" s="435"/>
      <c r="Z6" s="47" t="s">
        <v>92</v>
      </c>
      <c r="AA6" s="31">
        <f>Paramètres!B7</f>
        <v>41273</v>
      </c>
    </row>
    <row r="7" spans="1:27" x14ac:dyDescent="0.25">
      <c r="A7" s="12">
        <f>'A) Base RI'!A7</f>
        <v>5401</v>
      </c>
      <c r="B7" s="40" t="str">
        <f>'A) Base RI'!B7</f>
        <v>Aigle</v>
      </c>
      <c r="C7" s="14">
        <f>'A) Base RI'!C7+'A) Base RI'!D7</f>
        <v>13000021.560000001</v>
      </c>
      <c r="D7" s="14">
        <f>'A) Base RI'!V7</f>
        <v>-506782.14</v>
      </c>
      <c r="E7" s="39">
        <f>'A) Base RI'!W7</f>
        <v>0</v>
      </c>
      <c r="F7" s="39">
        <f>'A) Base RI'!X7</f>
        <v>-1074.8599999999999</v>
      </c>
      <c r="G7" s="4">
        <f>SUM(C7:F7)</f>
        <v>12492164.560000001</v>
      </c>
      <c r="H7" s="14">
        <f>+'A) Base RI'!E7</f>
        <v>0</v>
      </c>
      <c r="I7" s="14">
        <f>+'A) Base RI'!F7</f>
        <v>94.6</v>
      </c>
      <c r="J7" s="14">
        <f>+'A) Base RI'!G7+'A) Base RI'!H7</f>
        <v>3520405.3000000003</v>
      </c>
      <c r="K7" s="14">
        <f>+'A) Base RI'!I7</f>
        <v>7768.35</v>
      </c>
      <c r="L7" s="14">
        <f>+'A) Base RI'!J7</f>
        <v>756597.42</v>
      </c>
      <c r="M7" s="14">
        <f>+'A) Base RI'!K7</f>
        <v>139360.5</v>
      </c>
      <c r="N7" s="14">
        <f>+'A) Base RI'!Q7</f>
        <v>71257.850000000006</v>
      </c>
      <c r="O7" s="14">
        <f>(P7/Q7)*1</f>
        <v>1521132.7083333335</v>
      </c>
      <c r="P7" s="14">
        <f>+'A) Base RI'!L7</f>
        <v>1825359.25</v>
      </c>
      <c r="Q7" s="42">
        <f>'A) Base RI'!Y7</f>
        <v>1.2</v>
      </c>
      <c r="R7" s="4">
        <f>SUM(G7:O7)</f>
        <v>18508781.288333334</v>
      </c>
      <c r="S7" s="41">
        <f>'A) Base RI'!T7</f>
        <v>67.5</v>
      </c>
      <c r="T7" s="4">
        <f>(G7+H7+J7+K7+L7+N7)</f>
        <v>16848193.48</v>
      </c>
      <c r="U7" s="4">
        <f>R7/S7</f>
        <v>274204.16723456793</v>
      </c>
      <c r="V7" s="14">
        <f>+'A) Base RI'!O7</f>
        <v>1305319.2</v>
      </c>
      <c r="W7" s="14">
        <f>+'A) Base RI'!P7</f>
        <v>692179.65</v>
      </c>
      <c r="X7" s="14">
        <f>+'A) Base RI'!R7</f>
        <v>260467.65</v>
      </c>
      <c r="Y7" s="4">
        <f>SUM(V7:X7)</f>
        <v>2257966.5</v>
      </c>
      <c r="Z7" s="14">
        <f>+'A) Base RI'!N7</f>
        <v>1036709.25</v>
      </c>
      <c r="AA7" s="14">
        <f>'A) Base RI'!U7</f>
        <v>9740</v>
      </c>
    </row>
    <row r="8" spans="1:27" x14ac:dyDescent="0.25">
      <c r="A8" s="12">
        <f>'A) Base RI'!A8</f>
        <v>5402</v>
      </c>
      <c r="B8" s="40" t="str">
        <f>'A) Base RI'!B8</f>
        <v>Bex</v>
      </c>
      <c r="C8" s="14">
        <f>'A) Base RI'!C8+'A) Base RI'!D8</f>
        <v>9187187.459999999</v>
      </c>
      <c r="D8" s="14">
        <f>'A) Base RI'!V8</f>
        <v>-371426.74</v>
      </c>
      <c r="E8" s="39">
        <f>'A) Base RI'!W8</f>
        <v>0</v>
      </c>
      <c r="F8" s="39">
        <f>'A) Base RI'!X8</f>
        <v>-641.79</v>
      </c>
      <c r="G8" s="4">
        <f t="shared" ref="G8:G71" si="0">SUM(C8:F8)</f>
        <v>8815118.9299999997</v>
      </c>
      <c r="H8" s="14">
        <f>+'A) Base RI'!E8</f>
        <v>0</v>
      </c>
      <c r="I8" s="14">
        <f>+'A) Base RI'!F8</f>
        <v>0</v>
      </c>
      <c r="J8" s="14">
        <f>+'A) Base RI'!G8+'A) Base RI'!H8</f>
        <v>1285001.8</v>
      </c>
      <c r="K8" s="14">
        <f>+'A) Base RI'!I8</f>
        <v>17800.599999999999</v>
      </c>
      <c r="L8" s="14">
        <f>+'A) Base RI'!J8</f>
        <v>514724.49</v>
      </c>
      <c r="M8" s="14">
        <f>+'A) Base RI'!K8</f>
        <v>70857</v>
      </c>
      <c r="N8" s="14">
        <f>+'A) Base RI'!Q8</f>
        <v>126012.32</v>
      </c>
      <c r="O8" s="14">
        <f t="shared" ref="O8:O71" si="1">(P8/Q8)*1</f>
        <v>1142409.1199999999</v>
      </c>
      <c r="P8" s="14">
        <f>+'A) Base RI'!L8</f>
        <v>1428011.4</v>
      </c>
      <c r="Q8" s="42">
        <f>'A) Base RI'!Y8</f>
        <v>1.25</v>
      </c>
      <c r="R8" s="4">
        <f t="shared" ref="R8:R71" si="2">SUM(G8:O8)</f>
        <v>11971924.26</v>
      </c>
      <c r="S8" s="41">
        <f>'A) Base RI'!T8</f>
        <v>71</v>
      </c>
      <c r="T8" s="4">
        <f t="shared" ref="T8:T71" si="3">(G8+H8+J8+K8+L8+N8)</f>
        <v>10758658.140000001</v>
      </c>
      <c r="U8" s="4">
        <f t="shared" ref="U8:U71" si="4">R8/S8</f>
        <v>168618.65154929578</v>
      </c>
      <c r="V8" s="14">
        <f>+'A) Base RI'!O8</f>
        <v>289455.40000000002</v>
      </c>
      <c r="W8" s="14">
        <f>+'A) Base RI'!P8</f>
        <v>510571.55</v>
      </c>
      <c r="X8" s="14">
        <f>+'A) Base RI'!R8</f>
        <v>303922.55</v>
      </c>
      <c r="Y8" s="4">
        <f t="shared" ref="Y8:Y71" si="5">SUM(V8:X8)</f>
        <v>1103949.5</v>
      </c>
      <c r="Z8" s="14">
        <f>+'A) Base RI'!N8</f>
        <v>172600.1</v>
      </c>
      <c r="AA8" s="14">
        <f>'A) Base RI'!U8</f>
        <v>7424</v>
      </c>
    </row>
    <row r="9" spans="1:27" x14ac:dyDescent="0.25">
      <c r="A9" s="12">
        <f>'A) Base RI'!A9</f>
        <v>5403</v>
      </c>
      <c r="B9" s="40" t="str">
        <f>'A) Base RI'!B9</f>
        <v>Chessel</v>
      </c>
      <c r="C9" s="14">
        <f>'A) Base RI'!C9+'A) Base RI'!D9</f>
        <v>567261.23</v>
      </c>
      <c r="D9" s="14">
        <f>'A) Base RI'!V9</f>
        <v>-7566.72</v>
      </c>
      <c r="E9" s="39">
        <f>'A) Base RI'!W9</f>
        <v>0</v>
      </c>
      <c r="F9" s="39">
        <f>'A) Base RI'!X9</f>
        <v>-12.22</v>
      </c>
      <c r="G9" s="4">
        <f t="shared" si="0"/>
        <v>559682.29</v>
      </c>
      <c r="H9" s="14">
        <f>+'A) Base RI'!E9</f>
        <v>0</v>
      </c>
      <c r="I9" s="14">
        <f>+'A) Base RI'!F9</f>
        <v>0</v>
      </c>
      <c r="J9" s="14">
        <f>+'A) Base RI'!G9+'A) Base RI'!H9</f>
        <v>11801.55</v>
      </c>
      <c r="K9" s="14">
        <f>+'A) Base RI'!I9</f>
        <v>0</v>
      </c>
      <c r="L9" s="14">
        <f>+'A) Base RI'!J9</f>
        <v>21995.56</v>
      </c>
      <c r="M9" s="14">
        <f>+'A) Base RI'!K9</f>
        <v>1245.5</v>
      </c>
      <c r="N9" s="14">
        <f>+'A) Base RI'!Q9</f>
        <v>-10004.9</v>
      </c>
      <c r="O9" s="14">
        <f t="shared" si="1"/>
        <v>48881.15</v>
      </c>
      <c r="P9" s="14">
        <f>+'A) Base RI'!L9</f>
        <v>48881.15</v>
      </c>
      <c r="Q9" s="42">
        <f>'A) Base RI'!Y9</f>
        <v>1</v>
      </c>
      <c r="R9" s="4">
        <f t="shared" si="2"/>
        <v>633601.15000000014</v>
      </c>
      <c r="S9" s="41">
        <f>'A) Base RI'!T9</f>
        <v>76</v>
      </c>
      <c r="T9" s="4">
        <f t="shared" si="3"/>
        <v>583474.50000000012</v>
      </c>
      <c r="U9" s="4">
        <f t="shared" si="4"/>
        <v>8336.8572368421064</v>
      </c>
      <c r="V9" s="14">
        <f>+'A) Base RI'!O9</f>
        <v>0</v>
      </c>
      <c r="W9" s="14">
        <f>+'A) Base RI'!P9</f>
        <v>30019</v>
      </c>
      <c r="X9" s="14">
        <f>+'A) Base RI'!R9</f>
        <v>19563.849999999999</v>
      </c>
      <c r="Y9" s="4">
        <f t="shared" si="5"/>
        <v>49582.85</v>
      </c>
      <c r="Z9" s="14">
        <f>+'A) Base RI'!N9</f>
        <v>6233.65</v>
      </c>
      <c r="AA9" s="14">
        <f>'A) Base RI'!U9</f>
        <v>395</v>
      </c>
    </row>
    <row r="10" spans="1:27" x14ac:dyDescent="0.25">
      <c r="A10" s="12">
        <f>'A) Base RI'!A10</f>
        <v>5404</v>
      </c>
      <c r="B10" s="40" t="str">
        <f>'A) Base RI'!B10</f>
        <v>Corbeyrier</v>
      </c>
      <c r="C10" s="14">
        <f>'A) Base RI'!C10+'A) Base RI'!D10</f>
        <v>725140.87000000011</v>
      </c>
      <c r="D10" s="14">
        <f>'A) Base RI'!V10</f>
        <v>-15582.99</v>
      </c>
      <c r="E10" s="39">
        <f>'A) Base RI'!W10</f>
        <v>0</v>
      </c>
      <c r="F10" s="39">
        <f>'A) Base RI'!X10</f>
        <v>-1.1299999999999999</v>
      </c>
      <c r="G10" s="4">
        <f t="shared" si="0"/>
        <v>709556.75000000012</v>
      </c>
      <c r="H10" s="14">
        <f>+'A) Base RI'!E10</f>
        <v>0</v>
      </c>
      <c r="I10" s="14">
        <f>+'A) Base RI'!F10</f>
        <v>0</v>
      </c>
      <c r="J10" s="14">
        <f>+'A) Base RI'!G10+'A) Base RI'!H10</f>
        <v>3788.6</v>
      </c>
      <c r="K10" s="14">
        <f>+'A) Base RI'!I10</f>
        <v>0</v>
      </c>
      <c r="L10" s="14">
        <f>+'A) Base RI'!J10</f>
        <v>3320.81</v>
      </c>
      <c r="M10" s="14">
        <f>+'A) Base RI'!K10</f>
        <v>567.5</v>
      </c>
      <c r="N10" s="14">
        <f>+'A) Base RI'!Q10</f>
        <v>5414.44</v>
      </c>
      <c r="O10" s="14">
        <f t="shared" si="1"/>
        <v>71839.599999999991</v>
      </c>
      <c r="P10" s="14">
        <f>+'A) Base RI'!L10</f>
        <v>107759.4</v>
      </c>
      <c r="Q10" s="42">
        <f>'A) Base RI'!Y10</f>
        <v>1.5</v>
      </c>
      <c r="R10" s="4">
        <f t="shared" si="2"/>
        <v>794487.70000000007</v>
      </c>
      <c r="S10" s="41">
        <f>'A) Base RI'!T10</f>
        <v>70</v>
      </c>
      <c r="T10" s="4">
        <f t="shared" si="3"/>
        <v>722080.60000000009</v>
      </c>
      <c r="U10" s="4">
        <f t="shared" si="4"/>
        <v>11349.824285714287</v>
      </c>
      <c r="V10" s="14">
        <f>+'A) Base RI'!O10</f>
        <v>44258.9</v>
      </c>
      <c r="W10" s="14">
        <f>+'A) Base RI'!P10</f>
        <v>18891.650000000001</v>
      </c>
      <c r="X10" s="14">
        <f>+'A) Base RI'!R10</f>
        <v>15792.1</v>
      </c>
      <c r="Y10" s="4">
        <f t="shared" si="5"/>
        <v>78942.650000000009</v>
      </c>
      <c r="Z10" s="14">
        <f>+'A) Base RI'!N10</f>
        <v>17833.2</v>
      </c>
      <c r="AA10" s="14">
        <f>'A) Base RI'!U10</f>
        <v>440</v>
      </c>
    </row>
    <row r="11" spans="1:27" x14ac:dyDescent="0.25">
      <c r="A11" s="12">
        <f>'A) Base RI'!A11</f>
        <v>5405</v>
      </c>
      <c r="B11" s="40" t="str">
        <f>'A) Base RI'!B11</f>
        <v>Gryon</v>
      </c>
      <c r="C11" s="14">
        <f>'A) Base RI'!C11+'A) Base RI'!D11</f>
        <v>4034445.11</v>
      </c>
      <c r="D11" s="14">
        <f>'A) Base RI'!V11</f>
        <v>-40065.300000000003</v>
      </c>
      <c r="E11" s="39">
        <f>'A) Base RI'!W11</f>
        <v>0</v>
      </c>
      <c r="F11" s="39">
        <f>'A) Base RI'!X11</f>
        <v>-561.19000000000005</v>
      </c>
      <c r="G11" s="4">
        <f t="shared" si="0"/>
        <v>3993818.62</v>
      </c>
      <c r="H11" s="14">
        <f>+'A) Base RI'!E11</f>
        <v>0</v>
      </c>
      <c r="I11" s="14">
        <f>+'A) Base RI'!F11</f>
        <v>0</v>
      </c>
      <c r="J11" s="14">
        <f>+'A) Base RI'!G11+'A) Base RI'!H11</f>
        <v>55136</v>
      </c>
      <c r="K11" s="14">
        <f>+'A) Base RI'!I11</f>
        <v>189670.69</v>
      </c>
      <c r="L11" s="14">
        <f>+'A) Base RI'!J11</f>
        <v>111950.61</v>
      </c>
      <c r="M11" s="14">
        <f>+'A) Base RI'!K11</f>
        <v>10027.5</v>
      </c>
      <c r="N11" s="14">
        <f>+'A) Base RI'!Q11</f>
        <v>3336.64</v>
      </c>
      <c r="O11" s="14">
        <f t="shared" si="1"/>
        <v>500931.33333333331</v>
      </c>
      <c r="P11" s="14">
        <f>+'A) Base RI'!L11</f>
        <v>751397</v>
      </c>
      <c r="Q11" s="42">
        <f>'A) Base RI'!Y11</f>
        <v>1.5</v>
      </c>
      <c r="R11" s="4">
        <f t="shared" si="2"/>
        <v>4864871.3933333335</v>
      </c>
      <c r="S11" s="41">
        <f>'A) Base RI'!T11</f>
        <v>75</v>
      </c>
      <c r="T11" s="4">
        <f t="shared" si="3"/>
        <v>4353912.5600000005</v>
      </c>
      <c r="U11" s="4">
        <f t="shared" si="4"/>
        <v>64864.951911111115</v>
      </c>
      <c r="V11" s="14">
        <f>+'A) Base RI'!O11</f>
        <v>130090.5</v>
      </c>
      <c r="W11" s="14">
        <f>+'A) Base RI'!P11</f>
        <v>300408.45</v>
      </c>
      <c r="X11" s="14">
        <f>+'A) Base RI'!R11</f>
        <v>176792.45</v>
      </c>
      <c r="Y11" s="4">
        <f t="shared" si="5"/>
        <v>607291.4</v>
      </c>
      <c r="Z11" s="14">
        <f>+'A) Base RI'!N11</f>
        <v>0</v>
      </c>
      <c r="AA11" s="14">
        <f>'A) Base RI'!U11</f>
        <v>1342</v>
      </c>
    </row>
    <row r="12" spans="1:27" x14ac:dyDescent="0.25">
      <c r="A12" s="12">
        <f>'A) Base RI'!A12</f>
        <v>5406</v>
      </c>
      <c r="B12" s="40" t="str">
        <f>'A) Base RI'!B12</f>
        <v>Lavey-Morcles</v>
      </c>
      <c r="C12" s="14">
        <f>'A) Base RI'!C12+'A) Base RI'!D12</f>
        <v>1133857.92</v>
      </c>
      <c r="D12" s="14">
        <f>'A) Base RI'!V12</f>
        <v>-29396.93</v>
      </c>
      <c r="E12" s="39">
        <f>'A) Base RI'!W12</f>
        <v>0</v>
      </c>
      <c r="F12" s="39">
        <f>'A) Base RI'!X12</f>
        <v>0</v>
      </c>
      <c r="G12" s="4">
        <f t="shared" si="0"/>
        <v>1104460.99</v>
      </c>
      <c r="H12" s="14">
        <f>+'A) Base RI'!E12</f>
        <v>0</v>
      </c>
      <c r="I12" s="14">
        <f>+'A) Base RI'!F12</f>
        <v>0</v>
      </c>
      <c r="J12" s="14">
        <f>+'A) Base RI'!G12+'A) Base RI'!H12</f>
        <v>151670.69999999998</v>
      </c>
      <c r="K12" s="14">
        <f>+'A) Base RI'!I12</f>
        <v>0</v>
      </c>
      <c r="L12" s="14">
        <f>+'A) Base RI'!J12</f>
        <v>37235.29</v>
      </c>
      <c r="M12" s="14">
        <f>+'A) Base RI'!K12</f>
        <v>7564.5</v>
      </c>
      <c r="N12" s="14">
        <f>+'A) Base RI'!Q12</f>
        <v>3245.99</v>
      </c>
      <c r="O12" s="14">
        <f t="shared" si="1"/>
        <v>133493.5</v>
      </c>
      <c r="P12" s="14">
        <f>+'A) Base RI'!L12</f>
        <v>173541.55</v>
      </c>
      <c r="Q12" s="42">
        <f>'A) Base RI'!Y12</f>
        <v>1.3</v>
      </c>
      <c r="R12" s="4">
        <f t="shared" si="2"/>
        <v>1437670.97</v>
      </c>
      <c r="S12" s="41">
        <f>'A) Base RI'!T12</f>
        <v>71</v>
      </c>
      <c r="T12" s="4">
        <f t="shared" si="3"/>
        <v>1296612.97</v>
      </c>
      <c r="U12" s="4">
        <f t="shared" si="4"/>
        <v>20248.886901408452</v>
      </c>
      <c r="V12" s="14">
        <f>+'A) Base RI'!O12</f>
        <v>2135.6</v>
      </c>
      <c r="W12" s="14">
        <f>+'A) Base RI'!P12</f>
        <v>5547</v>
      </c>
      <c r="X12" s="14">
        <f>+'A) Base RI'!R12</f>
        <v>19037.25</v>
      </c>
      <c r="Y12" s="4">
        <f t="shared" si="5"/>
        <v>26719.85</v>
      </c>
      <c r="Z12" s="14">
        <f>+'A) Base RI'!N12</f>
        <v>0</v>
      </c>
      <c r="AA12" s="14">
        <f>'A) Base RI'!U12</f>
        <v>922</v>
      </c>
    </row>
    <row r="13" spans="1:27" x14ac:dyDescent="0.25">
      <c r="A13" s="12">
        <f>'A) Base RI'!A13</f>
        <v>5407</v>
      </c>
      <c r="B13" s="40" t="str">
        <f>'A) Base RI'!B13</f>
        <v>Leysin</v>
      </c>
      <c r="C13" s="14">
        <f>'A) Base RI'!C13+'A) Base RI'!D13</f>
        <v>5002830.75</v>
      </c>
      <c r="D13" s="14">
        <f>'A) Base RI'!V13</f>
        <v>-156900.63</v>
      </c>
      <c r="E13" s="39">
        <f>'A) Base RI'!W13</f>
        <v>0</v>
      </c>
      <c r="F13" s="39">
        <f>'A) Base RI'!X13</f>
        <v>-2491.8200000000002</v>
      </c>
      <c r="G13" s="4">
        <f t="shared" si="0"/>
        <v>4843438.3</v>
      </c>
      <c r="H13" s="14">
        <f>+'A) Base RI'!E13</f>
        <v>0</v>
      </c>
      <c r="I13" s="14">
        <f>+'A) Base RI'!F13</f>
        <v>0</v>
      </c>
      <c r="J13" s="14">
        <f>+'A) Base RI'!G13+'A) Base RI'!H13</f>
        <v>123617.95</v>
      </c>
      <c r="K13" s="14">
        <f>+'A) Base RI'!I13</f>
        <v>126338.06</v>
      </c>
      <c r="L13" s="14">
        <f>+'A) Base RI'!J13</f>
        <v>475791.81</v>
      </c>
      <c r="M13" s="14">
        <f>+'A) Base RI'!K13</f>
        <v>57270.5</v>
      </c>
      <c r="N13" s="14">
        <f>+'A) Base RI'!Q13</f>
        <v>34816.31</v>
      </c>
      <c r="O13" s="14">
        <f t="shared" si="1"/>
        <v>782383.1</v>
      </c>
      <c r="P13" s="14">
        <f>+'A) Base RI'!L13</f>
        <v>1173574.6499999999</v>
      </c>
      <c r="Q13" s="42">
        <f>'A) Base RI'!Y13</f>
        <v>1.5</v>
      </c>
      <c r="R13" s="4">
        <f t="shared" si="2"/>
        <v>6443656.0299999984</v>
      </c>
      <c r="S13" s="41">
        <f>'A) Base RI'!T13</f>
        <v>78</v>
      </c>
      <c r="T13" s="4">
        <f t="shared" si="3"/>
        <v>5604002.4299999988</v>
      </c>
      <c r="U13" s="4">
        <f t="shared" si="4"/>
        <v>82610.97474358973</v>
      </c>
      <c r="V13" s="14">
        <f>+'A) Base RI'!O13</f>
        <v>1970.5</v>
      </c>
      <c r="W13" s="14">
        <f>+'A) Base RI'!P13</f>
        <v>246675.65</v>
      </c>
      <c r="X13" s="14">
        <f>+'A) Base RI'!R13</f>
        <v>266735.34999999998</v>
      </c>
      <c r="Y13" s="4">
        <f t="shared" si="5"/>
        <v>515381.5</v>
      </c>
      <c r="Z13" s="14">
        <f>+'A) Base RI'!N13</f>
        <v>28241.95</v>
      </c>
      <c r="AA13" s="14">
        <f>'A) Base RI'!U13</f>
        <v>4088</v>
      </c>
    </row>
    <row r="14" spans="1:27" x14ac:dyDescent="0.25">
      <c r="A14" s="12">
        <f>'A) Base RI'!A14</f>
        <v>5408</v>
      </c>
      <c r="B14" s="40" t="str">
        <f>'A) Base RI'!B14</f>
        <v>Noville</v>
      </c>
      <c r="C14" s="14">
        <f>'A) Base RI'!C14+'A) Base RI'!D14</f>
        <v>2050609.26</v>
      </c>
      <c r="D14" s="14">
        <f>'A) Base RI'!V14</f>
        <v>-45856.32</v>
      </c>
      <c r="E14" s="39">
        <f>'A) Base RI'!W14</f>
        <v>0</v>
      </c>
      <c r="F14" s="39">
        <f>'A) Base RI'!X14</f>
        <v>-256.08</v>
      </c>
      <c r="G14" s="4">
        <f t="shared" si="0"/>
        <v>2004496.8599999999</v>
      </c>
      <c r="H14" s="14">
        <f>+'A) Base RI'!E14</f>
        <v>0</v>
      </c>
      <c r="I14" s="14">
        <f>+'A) Base RI'!F14</f>
        <v>0</v>
      </c>
      <c r="J14" s="14">
        <f>+'A) Base RI'!G14+'A) Base RI'!H14</f>
        <v>311894.5</v>
      </c>
      <c r="K14" s="14">
        <f>+'A) Base RI'!I14</f>
        <v>0</v>
      </c>
      <c r="L14" s="14">
        <f>+'A) Base RI'!J14</f>
        <v>70518.820000000007</v>
      </c>
      <c r="M14" s="14">
        <f>+'A) Base RI'!K14</f>
        <v>14171</v>
      </c>
      <c r="N14" s="14">
        <f>+'A) Base RI'!Q14</f>
        <v>23805.34</v>
      </c>
      <c r="O14" s="14">
        <f t="shared" si="1"/>
        <v>198548.96666666667</v>
      </c>
      <c r="P14" s="14">
        <f>+'A) Base RI'!L14</f>
        <v>297823.45</v>
      </c>
      <c r="Q14" s="42">
        <f>'A) Base RI'!Y14</f>
        <v>1.5</v>
      </c>
      <c r="R14" s="4">
        <f t="shared" si="2"/>
        <v>2623435.4866666663</v>
      </c>
      <c r="S14" s="41">
        <f>'A) Base RI'!T14</f>
        <v>78.5</v>
      </c>
      <c r="T14" s="4">
        <f t="shared" si="3"/>
        <v>2410715.5199999996</v>
      </c>
      <c r="U14" s="4">
        <f t="shared" si="4"/>
        <v>33419.560339702759</v>
      </c>
      <c r="V14" s="14">
        <f>+'A) Base RI'!O14</f>
        <v>33.9</v>
      </c>
      <c r="W14" s="14">
        <f>+'A) Base RI'!P14</f>
        <v>176109.45</v>
      </c>
      <c r="X14" s="14">
        <f>+'A) Base RI'!R14</f>
        <v>66602.350000000006</v>
      </c>
      <c r="Y14" s="4">
        <f t="shared" si="5"/>
        <v>242745.7</v>
      </c>
      <c r="Z14" s="14">
        <f>+'A) Base RI'!N14</f>
        <v>71489.75</v>
      </c>
      <c r="AA14" s="14">
        <f>'A) Base RI'!U14</f>
        <v>1056</v>
      </c>
    </row>
    <row r="15" spans="1:27" x14ac:dyDescent="0.25">
      <c r="A15" s="12">
        <f>'A) Base RI'!A15</f>
        <v>5409</v>
      </c>
      <c r="B15" s="40" t="str">
        <f>'A) Base RI'!B15</f>
        <v>Ollon</v>
      </c>
      <c r="C15" s="14">
        <f>'A) Base RI'!C15+'A) Base RI'!D15</f>
        <v>17420355.5</v>
      </c>
      <c r="D15" s="14">
        <f>'A) Base RI'!V15</f>
        <v>-326022.56</v>
      </c>
      <c r="E15" s="39">
        <f>'A) Base RI'!W15</f>
        <v>0</v>
      </c>
      <c r="F15" s="39">
        <f>'A) Base RI'!X15</f>
        <v>-9976.24</v>
      </c>
      <c r="G15" s="4">
        <f t="shared" si="0"/>
        <v>17084356.700000003</v>
      </c>
      <c r="H15" s="14">
        <f>+'A) Base RI'!E15</f>
        <v>0</v>
      </c>
      <c r="I15" s="14">
        <f>+'A) Base RI'!F15</f>
        <v>0</v>
      </c>
      <c r="J15" s="14">
        <f>+'A) Base RI'!G15+'A) Base RI'!H15</f>
        <v>1345353.4000000001</v>
      </c>
      <c r="K15" s="14">
        <f>+'A) Base RI'!I15</f>
        <v>2595680.86</v>
      </c>
      <c r="L15" s="14">
        <f>+'A) Base RI'!J15</f>
        <v>859110.54</v>
      </c>
      <c r="M15" s="14">
        <f>+'A) Base RI'!K15</f>
        <v>124585.5</v>
      </c>
      <c r="N15" s="14">
        <f>+'A) Base RI'!Q15</f>
        <v>97140.47</v>
      </c>
      <c r="O15" s="14">
        <f t="shared" si="1"/>
        <v>2784134.8076923075</v>
      </c>
      <c r="P15" s="14">
        <f>+'A) Base RI'!L15</f>
        <v>3619375.25</v>
      </c>
      <c r="Q15" s="42">
        <f>'A) Base RI'!Y15</f>
        <v>1.3</v>
      </c>
      <c r="R15" s="4">
        <f t="shared" si="2"/>
        <v>24890362.277692307</v>
      </c>
      <c r="S15" s="41">
        <f>'A) Base RI'!T15</f>
        <v>68</v>
      </c>
      <c r="T15" s="4">
        <f t="shared" si="3"/>
        <v>21981641.969999999</v>
      </c>
      <c r="U15" s="4">
        <f t="shared" si="4"/>
        <v>366034.73937782802</v>
      </c>
      <c r="V15" s="14">
        <f>+'A) Base RI'!O15</f>
        <v>1562250.5</v>
      </c>
      <c r="W15" s="14">
        <f>+'A) Base RI'!P15</f>
        <v>1388024.65</v>
      </c>
      <c r="X15" s="14">
        <f>+'A) Base RI'!R15</f>
        <v>931892.05</v>
      </c>
      <c r="Y15" s="4">
        <f t="shared" si="5"/>
        <v>3882167.2</v>
      </c>
      <c r="Z15" s="14">
        <f>+'A) Base RI'!N15</f>
        <v>34479.550000000003</v>
      </c>
      <c r="AA15" s="14">
        <f>'A) Base RI'!U15</f>
        <v>7473</v>
      </c>
    </row>
    <row r="16" spans="1:27" x14ac:dyDescent="0.25">
      <c r="A16" s="12">
        <f>'A) Base RI'!A16</f>
        <v>5410</v>
      </c>
      <c r="B16" s="40" t="str">
        <f>'A) Base RI'!B16</f>
        <v>Ormont-Dessous</v>
      </c>
      <c r="C16" s="14">
        <f>'A) Base RI'!C16+'A) Base RI'!D16</f>
        <v>2348405.7999999998</v>
      </c>
      <c r="D16" s="14">
        <f>'A) Base RI'!V16</f>
        <v>-78867.820000000007</v>
      </c>
      <c r="E16" s="39">
        <f>'A) Base RI'!W16</f>
        <v>0</v>
      </c>
      <c r="F16" s="39">
        <f>'A) Base RI'!X16</f>
        <v>-105.2</v>
      </c>
      <c r="G16" s="4">
        <f t="shared" si="0"/>
        <v>2269432.7799999998</v>
      </c>
      <c r="H16" s="14">
        <f>+'A) Base RI'!E16</f>
        <v>0</v>
      </c>
      <c r="I16" s="14">
        <f>+'A) Base RI'!F16</f>
        <v>0</v>
      </c>
      <c r="J16" s="14">
        <f>+'A) Base RI'!G16+'A) Base RI'!H16</f>
        <v>135345.25</v>
      </c>
      <c r="K16" s="14">
        <f>+'A) Base RI'!I16</f>
        <v>0</v>
      </c>
      <c r="L16" s="14">
        <f>+'A) Base RI'!J16</f>
        <v>81208.710000000006</v>
      </c>
      <c r="M16" s="14">
        <f>+'A) Base RI'!K16</f>
        <v>9253</v>
      </c>
      <c r="N16" s="14">
        <f>+'A) Base RI'!Q16</f>
        <v>13945.7</v>
      </c>
      <c r="O16" s="14">
        <f t="shared" si="1"/>
        <v>352313.06666666665</v>
      </c>
      <c r="P16" s="14">
        <f>+'A) Base RI'!L16</f>
        <v>528469.6</v>
      </c>
      <c r="Q16" s="42">
        <f>'A) Base RI'!Y16</f>
        <v>1.5</v>
      </c>
      <c r="R16" s="4">
        <f t="shared" si="2"/>
        <v>2861498.5066666668</v>
      </c>
      <c r="S16" s="41">
        <f>'A) Base RI'!T16</f>
        <v>78.5</v>
      </c>
      <c r="T16" s="4">
        <f t="shared" si="3"/>
        <v>2499932.44</v>
      </c>
      <c r="U16" s="4">
        <f t="shared" si="4"/>
        <v>36452.210276008496</v>
      </c>
      <c r="V16" s="14">
        <f>+'A) Base RI'!O16</f>
        <v>17062.7</v>
      </c>
      <c r="W16" s="14">
        <f>+'A) Base RI'!P16</f>
        <v>90373.4</v>
      </c>
      <c r="X16" s="14">
        <f>+'A) Base RI'!R16</f>
        <v>128800</v>
      </c>
      <c r="Y16" s="4">
        <f t="shared" si="5"/>
        <v>236236.09999999998</v>
      </c>
      <c r="Z16" s="14">
        <f>+'A) Base RI'!N16</f>
        <v>0</v>
      </c>
      <c r="AA16" s="14">
        <f>'A) Base RI'!U16</f>
        <v>1105</v>
      </c>
    </row>
    <row r="17" spans="1:27" x14ac:dyDescent="0.25">
      <c r="A17" s="12">
        <f>'A) Base RI'!A17</f>
        <v>5411</v>
      </c>
      <c r="B17" s="40" t="str">
        <f>'A) Base RI'!B17</f>
        <v>Ormont-Dessus</v>
      </c>
      <c r="C17" s="14">
        <f>'A) Base RI'!C17+'A) Base RI'!D17</f>
        <v>4484571.46</v>
      </c>
      <c r="D17" s="14">
        <f>'A) Base RI'!V17</f>
        <v>-36450.97</v>
      </c>
      <c r="E17" s="39">
        <f>'A) Base RI'!W17</f>
        <v>0</v>
      </c>
      <c r="F17" s="39">
        <f>'A) Base RI'!X17</f>
        <v>-1499.14</v>
      </c>
      <c r="G17" s="4">
        <f t="shared" si="0"/>
        <v>4446621.3500000006</v>
      </c>
      <c r="H17" s="14">
        <f>+'A) Base RI'!E17</f>
        <v>0</v>
      </c>
      <c r="I17" s="14">
        <f>+'A) Base RI'!F17</f>
        <v>0</v>
      </c>
      <c r="J17" s="14">
        <f>+'A) Base RI'!G17+'A) Base RI'!H17</f>
        <v>134950</v>
      </c>
      <c r="K17" s="14">
        <f>+'A) Base RI'!I17</f>
        <v>64149.7</v>
      </c>
      <c r="L17" s="14">
        <f>+'A) Base RI'!J17</f>
        <v>179211.59</v>
      </c>
      <c r="M17" s="14">
        <f>+'A) Base RI'!K17</f>
        <v>23783.5</v>
      </c>
      <c r="N17" s="14">
        <f>+'A) Base RI'!Q17</f>
        <v>14429.55</v>
      </c>
      <c r="O17" s="14">
        <f t="shared" si="1"/>
        <v>764496.6</v>
      </c>
      <c r="P17" s="14">
        <f>+'A) Base RI'!L17</f>
        <v>1146744.8999999999</v>
      </c>
      <c r="Q17" s="42">
        <f>'A) Base RI'!Y17</f>
        <v>1.5</v>
      </c>
      <c r="R17" s="4">
        <f t="shared" si="2"/>
        <v>5627642.29</v>
      </c>
      <c r="S17" s="41">
        <f>'A) Base RI'!T17</f>
        <v>76</v>
      </c>
      <c r="T17" s="4">
        <f t="shared" si="3"/>
        <v>4839362.1900000004</v>
      </c>
      <c r="U17" s="4">
        <f t="shared" si="4"/>
        <v>74047.924868421047</v>
      </c>
      <c r="V17" s="14">
        <f>+'A) Base RI'!O17</f>
        <v>23631.599999999999</v>
      </c>
      <c r="W17" s="14">
        <f>+'A) Base RI'!P17</f>
        <v>336512.55</v>
      </c>
      <c r="X17" s="14">
        <f>+'A) Base RI'!R17</f>
        <v>104044.1</v>
      </c>
      <c r="Y17" s="4">
        <f t="shared" si="5"/>
        <v>464188.25</v>
      </c>
      <c r="Z17" s="14">
        <f>+'A) Base RI'!N17</f>
        <v>10854.5</v>
      </c>
      <c r="AA17" s="14">
        <f>'A) Base RI'!U17</f>
        <v>1479</v>
      </c>
    </row>
    <row r="18" spans="1:27" x14ac:dyDescent="0.25">
      <c r="A18" s="12">
        <f>'A) Base RI'!A18</f>
        <v>5412</v>
      </c>
      <c r="B18" s="40" t="str">
        <f>'A) Base RI'!B18</f>
        <v>Rennaz</v>
      </c>
      <c r="C18" s="14">
        <f>'A) Base RI'!C18+'A) Base RI'!D18</f>
        <v>1198154.19</v>
      </c>
      <c r="D18" s="14">
        <f>'A) Base RI'!V18</f>
        <v>-18791.439999999999</v>
      </c>
      <c r="E18" s="39">
        <f>'A) Base RI'!W18</f>
        <v>0</v>
      </c>
      <c r="F18" s="39">
        <f>'A) Base RI'!X18</f>
        <v>-52.86</v>
      </c>
      <c r="G18" s="4">
        <f t="shared" si="0"/>
        <v>1179309.8899999999</v>
      </c>
      <c r="H18" s="14">
        <f>+'A) Base RI'!E18</f>
        <v>0</v>
      </c>
      <c r="I18" s="14">
        <f>+'A) Base RI'!F18</f>
        <v>0</v>
      </c>
      <c r="J18" s="14">
        <f>+'A) Base RI'!G18+'A) Base RI'!H18</f>
        <v>312426.25</v>
      </c>
      <c r="K18" s="14">
        <f>+'A) Base RI'!I18</f>
        <v>23170.799999999999</v>
      </c>
      <c r="L18" s="14">
        <f>+'A) Base RI'!J18</f>
        <v>36783.83</v>
      </c>
      <c r="M18" s="14">
        <f>+'A) Base RI'!K18</f>
        <v>23145.5</v>
      </c>
      <c r="N18" s="14">
        <f>+'A) Base RI'!Q18</f>
        <v>-1517.97</v>
      </c>
      <c r="O18" s="14">
        <f t="shared" si="1"/>
        <v>196817.1</v>
      </c>
      <c r="P18" s="14">
        <f>+'A) Base RI'!L18</f>
        <v>196817.1</v>
      </c>
      <c r="Q18" s="42">
        <f>'A) Base RI'!Y18</f>
        <v>1</v>
      </c>
      <c r="R18" s="4">
        <f t="shared" si="2"/>
        <v>1770135.4000000001</v>
      </c>
      <c r="S18" s="41">
        <f>'A) Base RI'!T18</f>
        <v>67.5</v>
      </c>
      <c r="T18" s="4">
        <f t="shared" si="3"/>
        <v>1550172.8</v>
      </c>
      <c r="U18" s="4">
        <f t="shared" si="4"/>
        <v>26224.228148148151</v>
      </c>
      <c r="V18" s="14">
        <f>+'A) Base RI'!O18</f>
        <v>0</v>
      </c>
      <c r="W18" s="14">
        <f>+'A) Base RI'!P18</f>
        <v>73676</v>
      </c>
      <c r="X18" s="14">
        <f>+'A) Base RI'!R18</f>
        <v>82352.55</v>
      </c>
      <c r="Y18" s="4">
        <f t="shared" si="5"/>
        <v>156028.54999999999</v>
      </c>
      <c r="Z18" s="14">
        <f>+'A) Base RI'!N18</f>
        <v>86684.75</v>
      </c>
      <c r="AA18" s="14">
        <f>'A) Base RI'!U18</f>
        <v>843</v>
      </c>
    </row>
    <row r="19" spans="1:27" x14ac:dyDescent="0.25">
      <c r="A19" s="12">
        <f>'A) Base RI'!A19</f>
        <v>5413</v>
      </c>
      <c r="B19" s="40" t="str">
        <f>'A) Base RI'!B19</f>
        <v>Roche</v>
      </c>
      <c r="C19" s="14">
        <f>'A) Base RI'!C19+'A) Base RI'!D19</f>
        <v>1945291.1</v>
      </c>
      <c r="D19" s="14">
        <f>'A) Base RI'!V19</f>
        <v>-98624.99</v>
      </c>
      <c r="E19" s="39">
        <f>'A) Base RI'!W19</f>
        <v>0</v>
      </c>
      <c r="F19" s="39">
        <f>'A) Base RI'!X19</f>
        <v>-108.11</v>
      </c>
      <c r="G19" s="4">
        <f t="shared" si="0"/>
        <v>1846558</v>
      </c>
      <c r="H19" s="14">
        <f>+'A) Base RI'!E19</f>
        <v>0</v>
      </c>
      <c r="I19" s="14">
        <f>+'A) Base RI'!F19</f>
        <v>0</v>
      </c>
      <c r="J19" s="14">
        <f>+'A) Base RI'!G19+'A) Base RI'!H19</f>
        <v>483711.7</v>
      </c>
      <c r="K19" s="14">
        <f>+'A) Base RI'!I19</f>
        <v>3794.75</v>
      </c>
      <c r="L19" s="14">
        <f>+'A) Base RI'!J19</f>
        <v>81110.37</v>
      </c>
      <c r="M19" s="14">
        <f>+'A) Base RI'!K19</f>
        <v>-15394.5</v>
      </c>
      <c r="N19" s="14">
        <f>+'A) Base RI'!Q19</f>
        <v>34315.96</v>
      </c>
      <c r="O19" s="14">
        <f t="shared" si="1"/>
        <v>212751.25</v>
      </c>
      <c r="P19" s="14">
        <f>+'A) Base RI'!L19</f>
        <v>212751.25</v>
      </c>
      <c r="Q19" s="42">
        <f>'A) Base RI'!Y19</f>
        <v>1</v>
      </c>
      <c r="R19" s="4">
        <f t="shared" si="2"/>
        <v>2646847.5300000003</v>
      </c>
      <c r="S19" s="41">
        <f>'A) Base RI'!T19</f>
        <v>68</v>
      </c>
      <c r="T19" s="4">
        <f t="shared" si="3"/>
        <v>2449490.7800000003</v>
      </c>
      <c r="U19" s="4">
        <f t="shared" si="4"/>
        <v>38924.228382352943</v>
      </c>
      <c r="V19" s="14">
        <f>+'A) Base RI'!O19</f>
        <v>0</v>
      </c>
      <c r="W19" s="14">
        <f>+'A) Base RI'!P19</f>
        <v>188309.6</v>
      </c>
      <c r="X19" s="14">
        <f>+'A) Base RI'!R19</f>
        <v>50387.1</v>
      </c>
      <c r="Y19" s="4">
        <f t="shared" si="5"/>
        <v>238696.7</v>
      </c>
      <c r="Z19" s="14">
        <f>+'A) Base RI'!N19</f>
        <v>194227.4</v>
      </c>
      <c r="AA19" s="14">
        <f>'A) Base RI'!U19</f>
        <v>1597</v>
      </c>
    </row>
    <row r="20" spans="1:27" x14ac:dyDescent="0.25">
      <c r="A20" s="12">
        <f>'A) Base RI'!A20</f>
        <v>5414</v>
      </c>
      <c r="B20" s="40" t="str">
        <f>'A) Base RI'!B20</f>
        <v>Villeneuve</v>
      </c>
      <c r="C20" s="14">
        <f>'A) Base RI'!C20+'A) Base RI'!D20</f>
        <v>8229621.71</v>
      </c>
      <c r="D20" s="14">
        <f>'A) Base RI'!V20</f>
        <v>-232841.62</v>
      </c>
      <c r="E20" s="39">
        <f>'A) Base RI'!W20</f>
        <v>0</v>
      </c>
      <c r="F20" s="39">
        <f>'A) Base RI'!X20</f>
        <v>-1327.95</v>
      </c>
      <c r="G20" s="4">
        <f t="shared" si="0"/>
        <v>7995452.1399999997</v>
      </c>
      <c r="H20" s="14">
        <f>+'A) Base RI'!E20</f>
        <v>0</v>
      </c>
      <c r="I20" s="14">
        <f>+'A) Base RI'!F20</f>
        <v>0</v>
      </c>
      <c r="J20" s="14">
        <f>+'A) Base RI'!G20+'A) Base RI'!H20</f>
        <v>1376383.2</v>
      </c>
      <c r="K20" s="14">
        <f>+'A) Base RI'!I20</f>
        <v>12346.9</v>
      </c>
      <c r="L20" s="14">
        <f>+'A) Base RI'!J20</f>
        <v>459007.83</v>
      </c>
      <c r="M20" s="14">
        <f>+'A) Base RI'!K20</f>
        <v>145740</v>
      </c>
      <c r="N20" s="14">
        <f>+'A) Base RI'!Q20</f>
        <v>32626.799999999999</v>
      </c>
      <c r="O20" s="14">
        <f t="shared" si="1"/>
        <v>1009022.65</v>
      </c>
      <c r="P20" s="14">
        <f>+'A) Base RI'!L20</f>
        <v>1009022.65</v>
      </c>
      <c r="Q20" s="42">
        <f>'A) Base RI'!Y20</f>
        <v>1</v>
      </c>
      <c r="R20" s="4">
        <f t="shared" si="2"/>
        <v>11030579.520000001</v>
      </c>
      <c r="S20" s="41">
        <f>'A) Base RI'!T20</f>
        <v>69</v>
      </c>
      <c r="T20" s="4">
        <f t="shared" si="3"/>
        <v>9875816.870000001</v>
      </c>
      <c r="U20" s="4">
        <f t="shared" si="4"/>
        <v>159863.47130434786</v>
      </c>
      <c r="V20" s="14">
        <f>+'A) Base RI'!O20</f>
        <v>76875.399999999994</v>
      </c>
      <c r="W20" s="14">
        <f>+'A) Base RI'!P20</f>
        <v>572736</v>
      </c>
      <c r="X20" s="14">
        <f>+'A) Base RI'!R20</f>
        <v>267302.90000000002</v>
      </c>
      <c r="Y20" s="4">
        <f t="shared" si="5"/>
        <v>916914.3</v>
      </c>
      <c r="Z20" s="14">
        <f>+'A) Base RI'!N20</f>
        <v>878222.3</v>
      </c>
      <c r="AA20" s="14">
        <f>'A) Base RI'!U20</f>
        <v>5457</v>
      </c>
    </row>
    <row r="21" spans="1:27" x14ac:dyDescent="0.25">
      <c r="A21" s="12">
        <f>'A) Base RI'!A21</f>
        <v>5415</v>
      </c>
      <c r="B21" s="40" t="str">
        <f>'A) Base RI'!B21</f>
        <v>Yvorne</v>
      </c>
      <c r="C21" s="14">
        <f>'A) Base RI'!C21+'A) Base RI'!D21</f>
        <v>2035453.51</v>
      </c>
      <c r="D21" s="14">
        <f>'A) Base RI'!V21</f>
        <v>-23559.81</v>
      </c>
      <c r="E21" s="39">
        <f>'A) Base RI'!W21</f>
        <v>0</v>
      </c>
      <c r="F21" s="39">
        <f>'A) Base RI'!X21</f>
        <v>-385.28</v>
      </c>
      <c r="G21" s="4">
        <f t="shared" si="0"/>
        <v>2011508.42</v>
      </c>
      <c r="H21" s="14">
        <f>+'A) Base RI'!E21</f>
        <v>0</v>
      </c>
      <c r="I21" s="14">
        <f>+'A) Base RI'!F21</f>
        <v>0</v>
      </c>
      <c r="J21" s="14">
        <f>+'A) Base RI'!G21+'A) Base RI'!H21</f>
        <v>138063.25</v>
      </c>
      <c r="K21" s="14">
        <f>+'A) Base RI'!I21</f>
        <v>0</v>
      </c>
      <c r="L21" s="14">
        <f>+'A) Base RI'!J21</f>
        <v>52824.83</v>
      </c>
      <c r="M21" s="14">
        <f>+'A) Base RI'!K21</f>
        <v>9650</v>
      </c>
      <c r="N21" s="14">
        <f>+'A) Base RI'!Q21</f>
        <v>25897.13</v>
      </c>
      <c r="O21" s="14">
        <f t="shared" si="1"/>
        <v>209338.36666666667</v>
      </c>
      <c r="P21" s="14">
        <f>+'A) Base RI'!L21</f>
        <v>314007.55</v>
      </c>
      <c r="Q21" s="42">
        <f>'A) Base RI'!Y21</f>
        <v>1.5</v>
      </c>
      <c r="R21" s="4">
        <f t="shared" si="2"/>
        <v>2447281.9966666666</v>
      </c>
      <c r="S21" s="41">
        <f>'A) Base RI'!T21</f>
        <v>68.5</v>
      </c>
      <c r="T21" s="4">
        <f t="shared" si="3"/>
        <v>2228293.63</v>
      </c>
      <c r="U21" s="4">
        <f t="shared" si="4"/>
        <v>35726.744476885644</v>
      </c>
      <c r="V21" s="14">
        <f>+'A) Base RI'!O21</f>
        <v>43074.6</v>
      </c>
      <c r="W21" s="14">
        <f>+'A) Base RI'!P21</f>
        <v>105100.6</v>
      </c>
      <c r="X21" s="14">
        <f>+'A) Base RI'!R21</f>
        <v>73410.05</v>
      </c>
      <c r="Y21" s="4">
        <f t="shared" si="5"/>
        <v>221585.25</v>
      </c>
      <c r="Z21" s="14">
        <f>+'A) Base RI'!N21</f>
        <v>37558.5</v>
      </c>
      <c r="AA21" s="14">
        <f>'A) Base RI'!U21</f>
        <v>1061</v>
      </c>
    </row>
    <row r="22" spans="1:27" x14ac:dyDescent="0.25">
      <c r="A22" s="12">
        <f>'A) Base RI'!A22</f>
        <v>5421</v>
      </c>
      <c r="B22" s="40" t="str">
        <f>'A) Base RI'!B22</f>
        <v>Apples</v>
      </c>
      <c r="C22" s="14">
        <f>'A) Base RI'!C22+'A) Base RI'!D22</f>
        <v>3743881.96</v>
      </c>
      <c r="D22" s="14">
        <f>'A) Base RI'!V22</f>
        <v>-35641.96</v>
      </c>
      <c r="E22" s="39">
        <f>'A) Base RI'!W22</f>
        <v>0</v>
      </c>
      <c r="F22" s="39">
        <f>'A) Base RI'!X22</f>
        <v>-836.88</v>
      </c>
      <c r="G22" s="4">
        <f t="shared" si="0"/>
        <v>3707403.12</v>
      </c>
      <c r="H22" s="14">
        <f>+'A) Base RI'!E22</f>
        <v>0</v>
      </c>
      <c r="I22" s="14">
        <f>+'A) Base RI'!F22</f>
        <v>0</v>
      </c>
      <c r="J22" s="14">
        <f>+'A) Base RI'!G22+'A) Base RI'!H22</f>
        <v>214848.75</v>
      </c>
      <c r="K22" s="14">
        <f>+'A) Base RI'!I22</f>
        <v>103474.4</v>
      </c>
      <c r="L22" s="14">
        <f>+'A) Base RI'!J22</f>
        <v>177561.4</v>
      </c>
      <c r="M22" s="14">
        <f>+'A) Base RI'!K22</f>
        <v>10157.5</v>
      </c>
      <c r="N22" s="14">
        <f>+'A) Base RI'!Q22</f>
        <v>0</v>
      </c>
      <c r="O22" s="14">
        <f t="shared" si="1"/>
        <v>270977.65000000002</v>
      </c>
      <c r="P22" s="14">
        <f>+'A) Base RI'!L22</f>
        <v>270977.65000000002</v>
      </c>
      <c r="Q22" s="42">
        <f>'A) Base RI'!Y22</f>
        <v>1</v>
      </c>
      <c r="R22" s="4">
        <f t="shared" si="2"/>
        <v>4484422.82</v>
      </c>
      <c r="S22" s="41">
        <f>'A) Base RI'!T22</f>
        <v>76</v>
      </c>
      <c r="T22" s="4">
        <f t="shared" si="3"/>
        <v>4203287.67</v>
      </c>
      <c r="U22" s="4">
        <f t="shared" si="4"/>
        <v>59005.563421052633</v>
      </c>
      <c r="V22" s="14">
        <f>+'A) Base RI'!O22</f>
        <v>-16642.5</v>
      </c>
      <c r="W22" s="14">
        <f>+'A) Base RI'!P22</f>
        <v>49923.5</v>
      </c>
      <c r="X22" s="14">
        <f>+'A) Base RI'!R22</f>
        <v>16966.5</v>
      </c>
      <c r="Y22" s="4">
        <f t="shared" si="5"/>
        <v>50247.5</v>
      </c>
      <c r="Z22" s="14">
        <f>+'A) Base RI'!N22</f>
        <v>18941.900000000001</v>
      </c>
      <c r="AA22" s="14">
        <f>'A) Base RI'!U22</f>
        <v>1412</v>
      </c>
    </row>
    <row r="23" spans="1:27" x14ac:dyDescent="0.25">
      <c r="A23" s="12">
        <f>'A) Base RI'!A23</f>
        <v>5422</v>
      </c>
      <c r="B23" s="40" t="str">
        <f>'A) Base RI'!B23</f>
        <v>Aubonne</v>
      </c>
      <c r="C23" s="14">
        <f>'A) Base RI'!C23+'A) Base RI'!D23</f>
        <v>10796859.280000001</v>
      </c>
      <c r="D23" s="14">
        <f>'A) Base RI'!V23</f>
        <v>-131583.53</v>
      </c>
      <c r="E23" s="39">
        <f>'A) Base RI'!W23</f>
        <v>0</v>
      </c>
      <c r="F23" s="39">
        <f>'A) Base RI'!X23</f>
        <v>-1733.23</v>
      </c>
      <c r="G23" s="4">
        <f t="shared" si="0"/>
        <v>10663542.520000001</v>
      </c>
      <c r="H23" s="14">
        <f>+'A) Base RI'!E23</f>
        <v>0</v>
      </c>
      <c r="I23" s="14">
        <f>+'A) Base RI'!F23</f>
        <v>0</v>
      </c>
      <c r="J23" s="14">
        <f>+'A) Base RI'!G23+'A) Base RI'!H23</f>
        <v>2931938.45</v>
      </c>
      <c r="K23" s="14">
        <f>+'A) Base RI'!I23</f>
        <v>244858.9</v>
      </c>
      <c r="L23" s="14">
        <f>+'A) Base RI'!J23</f>
        <v>13806.26</v>
      </c>
      <c r="M23" s="14">
        <f>+'A) Base RI'!K23</f>
        <v>125799</v>
      </c>
      <c r="N23" s="14">
        <f>+'A) Base RI'!Q23</f>
        <v>7315.44</v>
      </c>
      <c r="O23" s="14">
        <f t="shared" si="1"/>
        <v>903935.44</v>
      </c>
      <c r="P23" s="14">
        <f>+'A) Base RI'!L23</f>
        <v>903935.44</v>
      </c>
      <c r="Q23" s="42">
        <f>'A) Base RI'!Y23</f>
        <v>1</v>
      </c>
      <c r="R23" s="4">
        <f t="shared" si="2"/>
        <v>14891196.010000002</v>
      </c>
      <c r="S23" s="41">
        <f>'A) Base RI'!T23</f>
        <v>68</v>
      </c>
      <c r="T23" s="4">
        <f t="shared" si="3"/>
        <v>13861461.570000002</v>
      </c>
      <c r="U23" s="4">
        <f t="shared" si="4"/>
        <v>218988.17661764708</v>
      </c>
      <c r="V23" s="14">
        <f>+'A) Base RI'!O23</f>
        <v>18186.599999999999</v>
      </c>
      <c r="W23" s="14">
        <f>+'A) Base RI'!P23</f>
        <v>334267.65000000002</v>
      </c>
      <c r="X23" s="14">
        <f>+'A) Base RI'!R23</f>
        <v>221888.95</v>
      </c>
      <c r="Y23" s="4">
        <f t="shared" si="5"/>
        <v>574343.19999999995</v>
      </c>
      <c r="Z23" s="14">
        <f>+'A) Base RI'!N23</f>
        <v>679640.9</v>
      </c>
      <c r="AA23" s="14">
        <f>'A) Base RI'!U23</f>
        <v>3272</v>
      </c>
    </row>
    <row r="24" spans="1:27" x14ac:dyDescent="0.25">
      <c r="A24" s="12">
        <f>'A) Base RI'!A24</f>
        <v>5423</v>
      </c>
      <c r="B24" s="40" t="str">
        <f>'A) Base RI'!B24</f>
        <v>Ballens</v>
      </c>
      <c r="C24" s="14">
        <f>'A) Base RI'!C24+'A) Base RI'!D24</f>
        <v>949297.66</v>
      </c>
      <c r="D24" s="14">
        <f>'A) Base RI'!V24</f>
        <v>-1300.93</v>
      </c>
      <c r="E24" s="39">
        <f>'A) Base RI'!W24</f>
        <v>0</v>
      </c>
      <c r="F24" s="39">
        <f>'A) Base RI'!X24</f>
        <v>-933.89</v>
      </c>
      <c r="G24" s="4">
        <f t="shared" si="0"/>
        <v>947062.84</v>
      </c>
      <c r="H24" s="14">
        <f>+'A) Base RI'!E24</f>
        <v>0</v>
      </c>
      <c r="I24" s="14">
        <f>+'A) Base RI'!F24</f>
        <v>2640</v>
      </c>
      <c r="J24" s="14">
        <f>+'A) Base RI'!G24+'A) Base RI'!H24</f>
        <v>4075.65</v>
      </c>
      <c r="K24" s="14">
        <f>+'A) Base RI'!I24</f>
        <v>0</v>
      </c>
      <c r="L24" s="14">
        <f>+'A) Base RI'!J24</f>
        <v>28152.09</v>
      </c>
      <c r="M24" s="14">
        <f>+'A) Base RI'!K24</f>
        <v>-5229</v>
      </c>
      <c r="N24" s="14">
        <f>+'A) Base RI'!Q24</f>
        <v>11881.04</v>
      </c>
      <c r="O24" s="14">
        <f t="shared" si="1"/>
        <v>71123.199999999997</v>
      </c>
      <c r="P24" s="14">
        <f>+'A) Base RI'!L24</f>
        <v>35561.599999999999</v>
      </c>
      <c r="Q24" s="42">
        <f>'A) Base RI'!Y24</f>
        <v>0.5</v>
      </c>
      <c r="R24" s="4">
        <f t="shared" si="2"/>
        <v>1059705.82</v>
      </c>
      <c r="S24" s="41">
        <f>'A) Base RI'!T24</f>
        <v>69</v>
      </c>
      <c r="T24" s="4">
        <f t="shared" si="3"/>
        <v>991171.62</v>
      </c>
      <c r="U24" s="4">
        <f t="shared" si="4"/>
        <v>15358.055362318841</v>
      </c>
      <c r="V24" s="14">
        <f>+'A) Base RI'!O24</f>
        <v>0</v>
      </c>
      <c r="W24" s="14">
        <f>+'A) Base RI'!P24</f>
        <v>9537.2999999999993</v>
      </c>
      <c r="X24" s="14">
        <f>+'A) Base RI'!R24</f>
        <v>3339.8</v>
      </c>
      <c r="Y24" s="4">
        <f t="shared" si="5"/>
        <v>12877.099999999999</v>
      </c>
      <c r="Z24" s="14">
        <f>+'A) Base RI'!N24</f>
        <v>12734.2</v>
      </c>
      <c r="AA24" s="14">
        <f>'A) Base RI'!U24</f>
        <v>508</v>
      </c>
    </row>
    <row r="25" spans="1:27" x14ac:dyDescent="0.25">
      <c r="A25" s="12">
        <f>'A) Base RI'!A25</f>
        <v>5424</v>
      </c>
      <c r="B25" s="40" t="str">
        <f>'A) Base RI'!B25</f>
        <v>Berolle</v>
      </c>
      <c r="C25" s="14">
        <f>'A) Base RI'!C25+'A) Base RI'!D25</f>
        <v>577010.99</v>
      </c>
      <c r="D25" s="14">
        <f>'A) Base RI'!V25</f>
        <v>-7741.81</v>
      </c>
      <c r="E25" s="39">
        <f>'A) Base RI'!W25</f>
        <v>0</v>
      </c>
      <c r="F25" s="39">
        <f>'A) Base RI'!X25</f>
        <v>-89.23</v>
      </c>
      <c r="G25" s="4">
        <f t="shared" si="0"/>
        <v>569179.94999999995</v>
      </c>
      <c r="H25" s="14">
        <f>+'A) Base RI'!E25</f>
        <v>0</v>
      </c>
      <c r="I25" s="14">
        <f>+'A) Base RI'!F25</f>
        <v>0</v>
      </c>
      <c r="J25" s="14">
        <f>+'A) Base RI'!G25+'A) Base RI'!H25</f>
        <v>-19.950000000000195</v>
      </c>
      <c r="K25" s="14">
        <f>+'A) Base RI'!I25</f>
        <v>33149</v>
      </c>
      <c r="L25" s="14">
        <f>+'A) Base RI'!J25</f>
        <v>45661.2</v>
      </c>
      <c r="M25" s="14">
        <f>+'A) Base RI'!K25</f>
        <v>94.5</v>
      </c>
      <c r="N25" s="14">
        <f>+'A) Base RI'!Q25</f>
        <v>0</v>
      </c>
      <c r="O25" s="14">
        <f t="shared" si="1"/>
        <v>49420</v>
      </c>
      <c r="P25" s="14">
        <f>+'A) Base RI'!L25</f>
        <v>49420</v>
      </c>
      <c r="Q25" s="42">
        <f>'A) Base RI'!Y25</f>
        <v>1</v>
      </c>
      <c r="R25" s="4">
        <f t="shared" si="2"/>
        <v>697484.7</v>
      </c>
      <c r="S25" s="41">
        <f>'A) Base RI'!T25</f>
        <v>77</v>
      </c>
      <c r="T25" s="4">
        <f t="shared" si="3"/>
        <v>647970.19999999995</v>
      </c>
      <c r="U25" s="4">
        <f t="shared" si="4"/>
        <v>9058.2428571428572</v>
      </c>
      <c r="V25" s="14">
        <f>+'A) Base RI'!O25</f>
        <v>6884</v>
      </c>
      <c r="W25" s="14">
        <f>+'A) Base RI'!P25</f>
        <v>27894.05</v>
      </c>
      <c r="X25" s="14">
        <f>+'A) Base RI'!R25</f>
        <v>12503.55</v>
      </c>
      <c r="Y25" s="4">
        <f t="shared" si="5"/>
        <v>47281.600000000006</v>
      </c>
      <c r="Z25" s="14">
        <f>+'A) Base RI'!N25</f>
        <v>0</v>
      </c>
      <c r="AA25" s="14">
        <f>'A) Base RI'!U25</f>
        <v>301</v>
      </c>
    </row>
    <row r="26" spans="1:27" x14ac:dyDescent="0.25">
      <c r="A26" s="12">
        <f>'A) Base RI'!A26</f>
        <v>5425</v>
      </c>
      <c r="B26" s="40" t="str">
        <f>'A) Base RI'!B26</f>
        <v>Bière</v>
      </c>
      <c r="C26" s="14">
        <f>'A) Base RI'!C26+'A) Base RI'!D26</f>
        <v>2267737.61</v>
      </c>
      <c r="D26" s="14">
        <f>'A) Base RI'!V26</f>
        <v>-38273.43</v>
      </c>
      <c r="E26" s="39">
        <f>'A) Base RI'!W26</f>
        <v>0</v>
      </c>
      <c r="F26" s="39">
        <f>'A) Base RI'!X26</f>
        <v>-92.69</v>
      </c>
      <c r="G26" s="4">
        <f t="shared" si="0"/>
        <v>2229371.4899999998</v>
      </c>
      <c r="H26" s="14">
        <f>+'A) Base RI'!E26</f>
        <v>0</v>
      </c>
      <c r="I26" s="14">
        <f>+'A) Base RI'!F26</f>
        <v>0</v>
      </c>
      <c r="J26" s="14">
        <f>+'A) Base RI'!G26+'A) Base RI'!H26</f>
        <v>146227.15</v>
      </c>
      <c r="K26" s="14">
        <f>+'A) Base RI'!I26</f>
        <v>0</v>
      </c>
      <c r="L26" s="14">
        <f>+'A) Base RI'!J26</f>
        <v>94786.12</v>
      </c>
      <c r="M26" s="14">
        <f>+'A) Base RI'!K26</f>
        <v>13629.5</v>
      </c>
      <c r="N26" s="14">
        <f>+'A) Base RI'!Q26</f>
        <v>7929.86</v>
      </c>
      <c r="O26" s="14">
        <f t="shared" si="1"/>
        <v>188142.7</v>
      </c>
      <c r="P26" s="14">
        <f>+'A) Base RI'!L26</f>
        <v>94071.35</v>
      </c>
      <c r="Q26" s="42">
        <f>'A) Base RI'!Y26</f>
        <v>0.5</v>
      </c>
      <c r="R26" s="4">
        <f t="shared" si="2"/>
        <v>2680086.8199999998</v>
      </c>
      <c r="S26" s="41">
        <f>'A) Base RI'!T26</f>
        <v>68</v>
      </c>
      <c r="T26" s="4">
        <f t="shared" si="3"/>
        <v>2478314.6199999996</v>
      </c>
      <c r="U26" s="4">
        <f t="shared" si="4"/>
        <v>39413.041470588236</v>
      </c>
      <c r="V26" s="14">
        <f>+'A) Base RI'!O26</f>
        <v>142828.79999999999</v>
      </c>
      <c r="W26" s="14">
        <f>+'A) Base RI'!P26</f>
        <v>100091.85</v>
      </c>
      <c r="X26" s="14">
        <f>+'A) Base RI'!R26</f>
        <v>103205.8</v>
      </c>
      <c r="Y26" s="4">
        <f t="shared" si="5"/>
        <v>346126.45</v>
      </c>
      <c r="Z26" s="14">
        <f>+'A) Base RI'!N26</f>
        <v>47803.7</v>
      </c>
      <c r="AA26" s="14">
        <f>'A) Base RI'!U26</f>
        <v>1546</v>
      </c>
    </row>
    <row r="27" spans="1:27" x14ac:dyDescent="0.25">
      <c r="A27" s="12">
        <f>'A) Base RI'!A27</f>
        <v>5426</v>
      </c>
      <c r="B27" s="40" t="str">
        <f>'A) Base RI'!B27</f>
        <v>Bougy-Villars</v>
      </c>
      <c r="C27" s="14">
        <f>'A) Base RI'!C27+'A) Base RI'!D27</f>
        <v>1768857.23</v>
      </c>
      <c r="D27" s="14">
        <f>'A) Base RI'!V27</f>
        <v>-61316.11</v>
      </c>
      <c r="E27" s="39">
        <f>'A) Base RI'!W27</f>
        <v>0</v>
      </c>
      <c r="F27" s="39">
        <f>'A) Base RI'!X27</f>
        <v>-2141.73</v>
      </c>
      <c r="G27" s="4">
        <f t="shared" si="0"/>
        <v>1705399.39</v>
      </c>
      <c r="H27" s="14">
        <f>+'A) Base RI'!E27</f>
        <v>0</v>
      </c>
      <c r="I27" s="14">
        <f>+'A) Base RI'!F27</f>
        <v>0</v>
      </c>
      <c r="J27" s="14">
        <f>+'A) Base RI'!G27+'A) Base RI'!H27</f>
        <v>64765.3</v>
      </c>
      <c r="K27" s="14">
        <f>+'A) Base RI'!I27</f>
        <v>564261.55000000005</v>
      </c>
      <c r="L27" s="14">
        <f>+'A) Base RI'!J27</f>
        <v>45521.1</v>
      </c>
      <c r="M27" s="14">
        <f>+'A) Base RI'!K27</f>
        <v>4457</v>
      </c>
      <c r="N27" s="14">
        <f>+'A) Base RI'!Q27</f>
        <v>28646.06</v>
      </c>
      <c r="O27" s="14">
        <f t="shared" si="1"/>
        <v>226148.15</v>
      </c>
      <c r="P27" s="14">
        <f>+'A) Base RI'!L27</f>
        <v>226148.15</v>
      </c>
      <c r="Q27" s="42">
        <f>'A) Base RI'!Y27</f>
        <v>1</v>
      </c>
      <c r="R27" s="4">
        <f t="shared" si="2"/>
        <v>2639198.5500000003</v>
      </c>
      <c r="S27" s="41">
        <f>'A) Base RI'!T27</f>
        <v>62</v>
      </c>
      <c r="T27" s="4">
        <f t="shared" si="3"/>
        <v>2408593.4000000004</v>
      </c>
      <c r="U27" s="4">
        <f t="shared" si="4"/>
        <v>42567.7185483871</v>
      </c>
      <c r="V27" s="14">
        <f>+'A) Base RI'!O27</f>
        <v>5580057</v>
      </c>
      <c r="W27" s="14">
        <f>+'A) Base RI'!P27</f>
        <v>30668</v>
      </c>
      <c r="X27" s="14">
        <f>+'A) Base RI'!R27</f>
        <v>52895.1</v>
      </c>
      <c r="Y27" s="4">
        <f t="shared" si="5"/>
        <v>5663620.0999999996</v>
      </c>
      <c r="Z27" s="14">
        <f>+'A) Base RI'!N27</f>
        <v>18980.099999999999</v>
      </c>
      <c r="AA27" s="14">
        <f>'A) Base RI'!U27</f>
        <v>467</v>
      </c>
    </row>
    <row r="28" spans="1:27" x14ac:dyDescent="0.25">
      <c r="A28" s="12">
        <f>'A) Base RI'!A28</f>
        <v>5427</v>
      </c>
      <c r="B28" s="40" t="str">
        <f>'A) Base RI'!B28</f>
        <v>Féchy</v>
      </c>
      <c r="C28" s="14">
        <f>'A) Base RI'!C28+'A) Base RI'!D28</f>
        <v>4077997.48</v>
      </c>
      <c r="D28" s="14">
        <f>'A) Base RI'!V28</f>
        <v>-280.08</v>
      </c>
      <c r="E28" s="39">
        <f>'A) Base RI'!W28</f>
        <v>0</v>
      </c>
      <c r="F28" s="39">
        <f>'A) Base RI'!X28</f>
        <v>0</v>
      </c>
      <c r="G28" s="4">
        <f t="shared" si="0"/>
        <v>4077717.4</v>
      </c>
      <c r="H28" s="14">
        <f>+'A) Base RI'!E28</f>
        <v>0</v>
      </c>
      <c r="I28" s="14">
        <f>+'A) Base RI'!F28</f>
        <v>0</v>
      </c>
      <c r="J28" s="14">
        <f>+'A) Base RI'!G28+'A) Base RI'!H28</f>
        <v>11135.8</v>
      </c>
      <c r="K28" s="14">
        <f>+'A) Base RI'!I28</f>
        <v>0</v>
      </c>
      <c r="L28" s="14">
        <f>+'A) Base RI'!J28</f>
        <v>-14751.18</v>
      </c>
      <c r="M28" s="14">
        <f>+'A) Base RI'!K28</f>
        <v>2738</v>
      </c>
      <c r="N28" s="14">
        <f>+'A) Base RI'!Q28</f>
        <v>0</v>
      </c>
      <c r="O28" s="14">
        <f t="shared" si="1"/>
        <v>325507.42307692306</v>
      </c>
      <c r="P28" s="14">
        <f>+'A) Base RI'!L28</f>
        <v>423159.65</v>
      </c>
      <c r="Q28" s="42">
        <f>'A) Base RI'!Y28</f>
        <v>1.3</v>
      </c>
      <c r="R28" s="4">
        <f t="shared" si="2"/>
        <v>4402347.4430769226</v>
      </c>
      <c r="S28" s="41">
        <f>'A) Base RI'!T28</f>
        <v>64</v>
      </c>
      <c r="T28" s="4">
        <f t="shared" si="3"/>
        <v>4074102.0199999996</v>
      </c>
      <c r="U28" s="4">
        <f t="shared" si="4"/>
        <v>68786.678798076915</v>
      </c>
      <c r="V28" s="14">
        <f>+'A) Base RI'!O28</f>
        <v>9416.9</v>
      </c>
      <c r="W28" s="14">
        <f>+'A) Base RI'!P28</f>
        <v>153965</v>
      </c>
      <c r="X28" s="14">
        <f>+'A) Base RI'!R28</f>
        <v>181710.8</v>
      </c>
      <c r="Y28" s="4">
        <f t="shared" si="5"/>
        <v>345092.69999999995</v>
      </c>
      <c r="Z28" s="14">
        <f>+'A) Base RI'!N28</f>
        <v>9672.0499999999993</v>
      </c>
      <c r="AA28" s="14">
        <f>'A) Base RI'!U28</f>
        <v>887</v>
      </c>
    </row>
    <row r="29" spans="1:27" x14ac:dyDescent="0.25">
      <c r="A29" s="12">
        <f>'A) Base RI'!A29</f>
        <v>5428</v>
      </c>
      <c r="B29" s="40" t="str">
        <f>'A) Base RI'!B29</f>
        <v>Gimel</v>
      </c>
      <c r="C29" s="14">
        <f>'A) Base RI'!C29+'A) Base RI'!D29</f>
        <v>3529158.5500000003</v>
      </c>
      <c r="D29" s="14">
        <f>'A) Base RI'!V29</f>
        <v>-42603.93</v>
      </c>
      <c r="E29" s="39">
        <f>'A) Base RI'!W29</f>
        <v>0</v>
      </c>
      <c r="F29" s="39">
        <f>'A) Base RI'!X29</f>
        <v>-103.45</v>
      </c>
      <c r="G29" s="4">
        <f t="shared" si="0"/>
        <v>3486451.17</v>
      </c>
      <c r="H29" s="14">
        <f>+'A) Base RI'!E29</f>
        <v>0</v>
      </c>
      <c r="I29" s="14">
        <f>+'A) Base RI'!F29</f>
        <v>0</v>
      </c>
      <c r="J29" s="14">
        <f>+'A) Base RI'!G29+'A) Base RI'!H29</f>
        <v>146155.04999999999</v>
      </c>
      <c r="K29" s="14">
        <f>+'A) Base RI'!I29</f>
        <v>42660.1</v>
      </c>
      <c r="L29" s="14">
        <f>+'A) Base RI'!J29</f>
        <v>139520.24</v>
      </c>
      <c r="M29" s="14">
        <f>+'A) Base RI'!K29</f>
        <v>12206.5</v>
      </c>
      <c r="N29" s="14">
        <f>+'A) Base RI'!Q29</f>
        <v>7503.59</v>
      </c>
      <c r="O29" s="14">
        <f t="shared" si="1"/>
        <v>312833.87500000006</v>
      </c>
      <c r="P29" s="14">
        <f>+'A) Base RI'!L29</f>
        <v>375400.65</v>
      </c>
      <c r="Q29" s="42">
        <f>'A) Base RI'!Y29</f>
        <v>1.2</v>
      </c>
      <c r="R29" s="4">
        <f t="shared" si="2"/>
        <v>4147330.5249999994</v>
      </c>
      <c r="S29" s="41">
        <f>'A) Base RI'!T29</f>
        <v>71.5</v>
      </c>
      <c r="T29" s="4">
        <f t="shared" si="3"/>
        <v>3822290.1499999994</v>
      </c>
      <c r="U29" s="4">
        <f t="shared" si="4"/>
        <v>58004.622727272719</v>
      </c>
      <c r="V29" s="14">
        <f>+'A) Base RI'!O29</f>
        <v>177477.2</v>
      </c>
      <c r="W29" s="14">
        <f>+'A) Base RI'!P29</f>
        <v>191030.9</v>
      </c>
      <c r="X29" s="14">
        <f>+'A) Base RI'!R29</f>
        <v>144497.04999999999</v>
      </c>
      <c r="Y29" s="4">
        <f t="shared" si="5"/>
        <v>513005.14999999997</v>
      </c>
      <c r="Z29" s="14">
        <f>+'A) Base RI'!N29</f>
        <v>194411.7</v>
      </c>
      <c r="AA29" s="14">
        <f>'A) Base RI'!U29</f>
        <v>1948</v>
      </c>
    </row>
    <row r="30" spans="1:27" x14ac:dyDescent="0.25">
      <c r="A30" s="12">
        <f>'A) Base RI'!A30</f>
        <v>5429</v>
      </c>
      <c r="B30" s="40" t="str">
        <f>'A) Base RI'!B30</f>
        <v>Longirod</v>
      </c>
      <c r="C30" s="14">
        <f>'A) Base RI'!C30+'A) Base RI'!D30</f>
        <v>887412.48</v>
      </c>
      <c r="D30" s="14">
        <f>'A) Base RI'!V30</f>
        <v>-25347.96</v>
      </c>
      <c r="E30" s="39">
        <f>'A) Base RI'!W30</f>
        <v>0</v>
      </c>
      <c r="F30" s="39">
        <f>'A) Base RI'!X30</f>
        <v>0</v>
      </c>
      <c r="G30" s="4">
        <f t="shared" si="0"/>
        <v>862064.52</v>
      </c>
      <c r="H30" s="14">
        <f>+'A) Base RI'!E30</f>
        <v>0</v>
      </c>
      <c r="I30" s="14">
        <f>+'A) Base RI'!F30</f>
        <v>0</v>
      </c>
      <c r="J30" s="14">
        <f>+'A) Base RI'!G30+'A) Base RI'!H30</f>
        <v>10687.65</v>
      </c>
      <c r="K30" s="14">
        <f>+'A) Base RI'!I30</f>
        <v>0</v>
      </c>
      <c r="L30" s="14">
        <f>+'A) Base RI'!J30</f>
        <v>12589.59</v>
      </c>
      <c r="M30" s="14">
        <f>+'A) Base RI'!K30</f>
        <v>1064</v>
      </c>
      <c r="N30" s="14">
        <f>+'A) Base RI'!Q30</f>
        <v>11095.95</v>
      </c>
      <c r="O30" s="14">
        <f t="shared" si="1"/>
        <v>88377.600000000006</v>
      </c>
      <c r="P30" s="14">
        <f>+'A) Base RI'!L30</f>
        <v>88377.600000000006</v>
      </c>
      <c r="Q30" s="42">
        <f>'A) Base RI'!Y30</f>
        <v>1</v>
      </c>
      <c r="R30" s="4">
        <f t="shared" si="2"/>
        <v>985879.30999999994</v>
      </c>
      <c r="S30" s="41">
        <f>'A) Base RI'!T30</f>
        <v>81</v>
      </c>
      <c r="T30" s="4">
        <f t="shared" si="3"/>
        <v>896437.71</v>
      </c>
      <c r="U30" s="4">
        <f t="shared" si="4"/>
        <v>12171.349506172839</v>
      </c>
      <c r="V30" s="14">
        <f>+'A) Base RI'!O30</f>
        <v>0</v>
      </c>
      <c r="W30" s="14">
        <f>+'A) Base RI'!P30</f>
        <v>99177.55</v>
      </c>
      <c r="X30" s="14">
        <f>+'A) Base RI'!R30</f>
        <v>67851.399999999994</v>
      </c>
      <c r="Y30" s="4">
        <f t="shared" si="5"/>
        <v>167028.95000000001</v>
      </c>
      <c r="Z30" s="14">
        <f>+'A) Base RI'!N30</f>
        <v>0</v>
      </c>
      <c r="AA30" s="14">
        <f>'A) Base RI'!U30</f>
        <v>460</v>
      </c>
    </row>
    <row r="31" spans="1:27" x14ac:dyDescent="0.25">
      <c r="A31" s="12">
        <f>'A) Base RI'!A31</f>
        <v>5430</v>
      </c>
      <c r="B31" s="40" t="str">
        <f>'A) Base RI'!B31</f>
        <v>Marchissy</v>
      </c>
      <c r="C31" s="14">
        <f>'A) Base RI'!C31+'A) Base RI'!D31</f>
        <v>757046.39</v>
      </c>
      <c r="D31" s="14">
        <f>'A) Base RI'!V31</f>
        <v>-8618.16</v>
      </c>
      <c r="E31" s="39">
        <f>'A) Base RI'!W31</f>
        <v>0</v>
      </c>
      <c r="F31" s="39">
        <f>'A) Base RI'!X31</f>
        <v>-201.84</v>
      </c>
      <c r="G31" s="4">
        <f t="shared" si="0"/>
        <v>748226.39</v>
      </c>
      <c r="H31" s="14">
        <f>+'A) Base RI'!E31</f>
        <v>0</v>
      </c>
      <c r="I31" s="14">
        <f>+'A) Base RI'!F31</f>
        <v>0</v>
      </c>
      <c r="J31" s="14">
        <f>+'A) Base RI'!G31+'A) Base RI'!H31</f>
        <v>6028.05</v>
      </c>
      <c r="K31" s="14">
        <f>+'A) Base RI'!I31</f>
        <v>0</v>
      </c>
      <c r="L31" s="14">
        <f>+'A) Base RI'!J31</f>
        <v>-2505.7800000000002</v>
      </c>
      <c r="M31" s="14">
        <f>+'A) Base RI'!K31</f>
        <v>1356.5</v>
      </c>
      <c r="N31" s="14">
        <f>+'A) Base RI'!Q31</f>
        <v>3173.44</v>
      </c>
      <c r="O31" s="14">
        <f t="shared" si="1"/>
        <v>79001.45</v>
      </c>
      <c r="P31" s="14">
        <f>+'A) Base RI'!L31</f>
        <v>79001.45</v>
      </c>
      <c r="Q31" s="42">
        <f>'A) Base RI'!Y31</f>
        <v>1</v>
      </c>
      <c r="R31" s="4">
        <f t="shared" si="2"/>
        <v>835280.04999999993</v>
      </c>
      <c r="S31" s="41">
        <f>'A) Base RI'!T31</f>
        <v>79</v>
      </c>
      <c r="T31" s="4">
        <f t="shared" si="3"/>
        <v>754922.1</v>
      </c>
      <c r="U31" s="4">
        <f t="shared" si="4"/>
        <v>10573.165189873416</v>
      </c>
      <c r="V31" s="14">
        <f>+'A) Base RI'!O31</f>
        <v>0</v>
      </c>
      <c r="W31" s="14">
        <f>+'A) Base RI'!P31</f>
        <v>48368.15</v>
      </c>
      <c r="X31" s="14">
        <f>+'A) Base RI'!R31</f>
        <v>41408.6</v>
      </c>
      <c r="Y31" s="4">
        <f t="shared" si="5"/>
        <v>89776.75</v>
      </c>
      <c r="Z31" s="14">
        <f>+'A) Base RI'!N31</f>
        <v>9030.9500000000007</v>
      </c>
      <c r="AA31" s="14">
        <f>'A) Base RI'!U31</f>
        <v>430</v>
      </c>
    </row>
    <row r="32" spans="1:27" x14ac:dyDescent="0.25">
      <c r="A32" s="12">
        <f>'A) Base RI'!A32</f>
        <v>5431</v>
      </c>
      <c r="B32" s="40" t="str">
        <f>'A) Base RI'!B32</f>
        <v>Mollens</v>
      </c>
      <c r="C32" s="14">
        <f>'A) Base RI'!C32+'A) Base RI'!D32</f>
        <v>773849.25</v>
      </c>
      <c r="D32" s="14">
        <f>'A) Base RI'!V32</f>
        <v>-3822.8</v>
      </c>
      <c r="E32" s="39">
        <f>'A) Base RI'!W32</f>
        <v>0</v>
      </c>
      <c r="F32" s="39">
        <f>'A) Base RI'!X32</f>
        <v>-115.42</v>
      </c>
      <c r="G32" s="4">
        <f t="shared" si="0"/>
        <v>769911.02999999991</v>
      </c>
      <c r="H32" s="14">
        <f>+'A) Base RI'!E32</f>
        <v>0</v>
      </c>
      <c r="I32" s="14">
        <f>+'A) Base RI'!F32</f>
        <v>0</v>
      </c>
      <c r="J32" s="14">
        <f>+'A) Base RI'!G32+'A) Base RI'!H32</f>
        <v>660.8</v>
      </c>
      <c r="K32" s="14">
        <f>+'A) Base RI'!I32</f>
        <v>0</v>
      </c>
      <c r="L32" s="14">
        <f>+'A) Base RI'!J32</f>
        <v>10042.17</v>
      </c>
      <c r="M32" s="14">
        <f>+'A) Base RI'!K32</f>
        <v>300.5</v>
      </c>
      <c r="N32" s="14">
        <f>+'A) Base RI'!Q32</f>
        <v>0</v>
      </c>
      <c r="O32" s="14">
        <f t="shared" si="1"/>
        <v>48331.8</v>
      </c>
      <c r="P32" s="14">
        <f>+'A) Base RI'!L32</f>
        <v>48331.8</v>
      </c>
      <c r="Q32" s="42">
        <f>'A) Base RI'!Y32</f>
        <v>1</v>
      </c>
      <c r="R32" s="4">
        <f t="shared" si="2"/>
        <v>829246.3</v>
      </c>
      <c r="S32" s="41">
        <f>'A) Base RI'!T32</f>
        <v>74</v>
      </c>
      <c r="T32" s="4">
        <f t="shared" si="3"/>
        <v>780614</v>
      </c>
      <c r="U32" s="4">
        <f t="shared" si="4"/>
        <v>11206.031081081082</v>
      </c>
      <c r="V32" s="14">
        <f>+'A) Base RI'!O32</f>
        <v>0</v>
      </c>
      <c r="W32" s="14">
        <f>+'A) Base RI'!P32</f>
        <v>11739.25</v>
      </c>
      <c r="X32" s="14">
        <f>+'A) Base RI'!R32</f>
        <v>38039.949999999997</v>
      </c>
      <c r="Y32" s="4">
        <f t="shared" si="5"/>
        <v>49779.199999999997</v>
      </c>
      <c r="Z32" s="14">
        <f>+'A) Base RI'!N32</f>
        <v>0</v>
      </c>
      <c r="AA32" s="14">
        <f>'A) Base RI'!U32</f>
        <v>295</v>
      </c>
    </row>
    <row r="33" spans="1:27" x14ac:dyDescent="0.25">
      <c r="A33" s="12">
        <f>'A) Base RI'!A33</f>
        <v>5432</v>
      </c>
      <c r="B33" s="40" t="str">
        <f>'A) Base RI'!B33</f>
        <v>Montherod</v>
      </c>
      <c r="C33" s="14">
        <f>'A) Base RI'!C33+'A) Base RI'!D33</f>
        <v>1190447.6600000001</v>
      </c>
      <c r="D33" s="14">
        <f>'A) Base RI'!V33</f>
        <v>-28065.99</v>
      </c>
      <c r="E33" s="39">
        <f>'A) Base RI'!W33</f>
        <v>0</v>
      </c>
      <c r="F33" s="39">
        <f>'A) Base RI'!X33</f>
        <v>-31.8</v>
      </c>
      <c r="G33" s="4">
        <f t="shared" si="0"/>
        <v>1162349.8700000001</v>
      </c>
      <c r="H33" s="14">
        <f>+'A) Base RI'!E33</f>
        <v>0</v>
      </c>
      <c r="I33" s="14">
        <f>+'A) Base RI'!F33</f>
        <v>0</v>
      </c>
      <c r="J33" s="14">
        <f>+'A) Base RI'!G33+'A) Base RI'!H33</f>
        <v>57706.799999999996</v>
      </c>
      <c r="K33" s="14">
        <f>+'A) Base RI'!I33</f>
        <v>0</v>
      </c>
      <c r="L33" s="14">
        <f>+'A) Base RI'!J33</f>
        <v>65044.54</v>
      </c>
      <c r="M33" s="14">
        <f>+'A) Base RI'!K33</f>
        <v>5103.5</v>
      </c>
      <c r="N33" s="14">
        <f>+'A) Base RI'!Q33</f>
        <v>790.59</v>
      </c>
      <c r="O33" s="14">
        <f t="shared" si="1"/>
        <v>91587.4</v>
      </c>
      <c r="P33" s="14">
        <f>+'A) Base RI'!L33</f>
        <v>91587.4</v>
      </c>
      <c r="Q33" s="42">
        <f>'A) Base RI'!Y33</f>
        <v>1</v>
      </c>
      <c r="R33" s="4">
        <f t="shared" si="2"/>
        <v>1382582.7000000002</v>
      </c>
      <c r="S33" s="41">
        <f>'A) Base RI'!T33</f>
        <v>78</v>
      </c>
      <c r="T33" s="4">
        <f t="shared" si="3"/>
        <v>1285891.8000000003</v>
      </c>
      <c r="U33" s="4">
        <f t="shared" si="4"/>
        <v>17725.419230769232</v>
      </c>
      <c r="V33" s="14">
        <f>+'A) Base RI'!O33</f>
        <v>44885.2</v>
      </c>
      <c r="W33" s="14">
        <f>+'A) Base RI'!P33</f>
        <v>14080</v>
      </c>
      <c r="X33" s="14">
        <f>+'A) Base RI'!R33</f>
        <v>51697.65</v>
      </c>
      <c r="Y33" s="4">
        <f t="shared" si="5"/>
        <v>110662.85</v>
      </c>
      <c r="Z33" s="14">
        <f>+'A) Base RI'!N33</f>
        <v>11765.7</v>
      </c>
      <c r="AA33" s="14">
        <f>'A) Base RI'!U33</f>
        <v>522</v>
      </c>
    </row>
    <row r="34" spans="1:27" x14ac:dyDescent="0.25">
      <c r="A34" s="12">
        <f>'A) Base RI'!A34</f>
        <v>5434</v>
      </c>
      <c r="B34" s="40" t="str">
        <f>'A) Base RI'!B34</f>
        <v>Saint-George</v>
      </c>
      <c r="C34" s="14">
        <f>'A) Base RI'!C34+'A) Base RI'!D34</f>
        <v>2177245.42</v>
      </c>
      <c r="D34" s="14">
        <f>'A) Base RI'!V34</f>
        <v>-7056.2</v>
      </c>
      <c r="E34" s="39">
        <f>'A) Base RI'!W34</f>
        <v>0</v>
      </c>
      <c r="F34" s="39">
        <f>'A) Base RI'!X34</f>
        <v>0</v>
      </c>
      <c r="G34" s="4">
        <f t="shared" si="0"/>
        <v>2170189.2199999997</v>
      </c>
      <c r="H34" s="14">
        <f>+'A) Base RI'!E34</f>
        <v>0</v>
      </c>
      <c r="I34" s="14">
        <f>+'A) Base RI'!F34</f>
        <v>0</v>
      </c>
      <c r="J34" s="14">
        <f>+'A) Base RI'!G34+'A) Base RI'!H34</f>
        <v>45696.6</v>
      </c>
      <c r="K34" s="14">
        <f>+'A) Base RI'!I34</f>
        <v>0</v>
      </c>
      <c r="L34" s="14">
        <f>+'A) Base RI'!J34</f>
        <v>40785.25</v>
      </c>
      <c r="M34" s="14">
        <f>+'A) Base RI'!K34</f>
        <v>0</v>
      </c>
      <c r="N34" s="14">
        <f>+'A) Base RI'!Q34</f>
        <v>1600.11</v>
      </c>
      <c r="O34" s="14">
        <f t="shared" si="1"/>
        <v>200586.4</v>
      </c>
      <c r="P34" s="14">
        <f>+'A) Base RI'!L34</f>
        <v>200586.4</v>
      </c>
      <c r="Q34" s="42">
        <f>'A) Base RI'!Y34</f>
        <v>1</v>
      </c>
      <c r="R34" s="4">
        <f t="shared" si="2"/>
        <v>2458857.5799999996</v>
      </c>
      <c r="S34" s="41">
        <f>'A) Base RI'!T34</f>
        <v>68.5</v>
      </c>
      <c r="T34" s="4">
        <f t="shared" si="3"/>
        <v>2258271.1799999997</v>
      </c>
      <c r="U34" s="4">
        <f t="shared" si="4"/>
        <v>35895.731094890507</v>
      </c>
      <c r="V34" s="14">
        <f>+'A) Base RI'!O34</f>
        <v>51215.199999999997</v>
      </c>
      <c r="W34" s="14">
        <f>+'A) Base RI'!P34</f>
        <v>77779.899999999994</v>
      </c>
      <c r="X34" s="14">
        <f>+'A) Base RI'!R34</f>
        <v>57894.55</v>
      </c>
      <c r="Y34" s="4">
        <f t="shared" si="5"/>
        <v>186889.65</v>
      </c>
      <c r="Z34" s="14">
        <f>+'A) Base RI'!N34</f>
        <v>35108.800000000003</v>
      </c>
      <c r="AA34" s="14">
        <f>'A) Base RI'!U34</f>
        <v>991</v>
      </c>
    </row>
    <row r="35" spans="1:27" x14ac:dyDescent="0.25">
      <c r="A35" s="12">
        <f>'A) Base RI'!A35</f>
        <v>5435</v>
      </c>
      <c r="B35" s="40" t="str">
        <f>'A) Base RI'!B35</f>
        <v>Saint-Livres</v>
      </c>
      <c r="C35" s="14">
        <f>'A) Base RI'!C35+'A) Base RI'!D35</f>
        <v>1352681.5999999999</v>
      </c>
      <c r="D35" s="14">
        <f>'A) Base RI'!V35</f>
        <v>-36760.92</v>
      </c>
      <c r="E35" s="39">
        <f>'A) Base RI'!W35</f>
        <v>0</v>
      </c>
      <c r="F35" s="39">
        <f>'A) Base RI'!X35</f>
        <v>-0.91</v>
      </c>
      <c r="G35" s="4">
        <f t="shared" si="0"/>
        <v>1315919.77</v>
      </c>
      <c r="H35" s="14">
        <f>+'A) Base RI'!E35</f>
        <v>0</v>
      </c>
      <c r="I35" s="14">
        <f>+'A) Base RI'!F35</f>
        <v>0</v>
      </c>
      <c r="J35" s="14">
        <f>+'A) Base RI'!G35+'A) Base RI'!H35</f>
        <v>17381.5</v>
      </c>
      <c r="K35" s="14">
        <f>+'A) Base RI'!I35</f>
        <v>0</v>
      </c>
      <c r="L35" s="14">
        <f>+'A) Base RI'!J35</f>
        <v>90637.82</v>
      </c>
      <c r="M35" s="14">
        <f>+'A) Base RI'!K35</f>
        <v>0</v>
      </c>
      <c r="N35" s="14">
        <f>+'A) Base RI'!Q35</f>
        <v>4134.6499999999996</v>
      </c>
      <c r="O35" s="14">
        <f t="shared" si="1"/>
        <v>117397.2</v>
      </c>
      <c r="P35" s="14">
        <f>+'A) Base RI'!L35</f>
        <v>117397.2</v>
      </c>
      <c r="Q35" s="42">
        <f>'A) Base RI'!Y35</f>
        <v>1</v>
      </c>
      <c r="R35" s="4">
        <f t="shared" si="2"/>
        <v>1545470.94</v>
      </c>
      <c r="S35" s="41">
        <f>'A) Base RI'!T35</f>
        <v>69</v>
      </c>
      <c r="T35" s="4">
        <f t="shared" si="3"/>
        <v>1428073.74</v>
      </c>
      <c r="U35" s="4">
        <f t="shared" si="4"/>
        <v>22398.12956521739</v>
      </c>
      <c r="V35" s="14">
        <f>+'A) Base RI'!O35</f>
        <v>0</v>
      </c>
      <c r="W35" s="14">
        <f>+'A) Base RI'!P35</f>
        <v>9516.15</v>
      </c>
      <c r="X35" s="14">
        <f>+'A) Base RI'!R35</f>
        <v>9444.35</v>
      </c>
      <c r="Y35" s="4">
        <f t="shared" si="5"/>
        <v>18960.5</v>
      </c>
      <c r="Z35" s="14">
        <f>+'A) Base RI'!N35</f>
        <v>1994.1</v>
      </c>
      <c r="AA35" s="14">
        <f>'A) Base RI'!U35</f>
        <v>689</v>
      </c>
    </row>
    <row r="36" spans="1:27" x14ac:dyDescent="0.25">
      <c r="A36" s="12">
        <f>'A) Base RI'!A36</f>
        <v>5436</v>
      </c>
      <c r="B36" s="40" t="str">
        <f>'A) Base RI'!B36</f>
        <v>Saint-Oyens</v>
      </c>
      <c r="C36" s="14">
        <f>'A) Base RI'!C36+'A) Base RI'!D36</f>
        <v>778080.34</v>
      </c>
      <c r="D36" s="14">
        <f>'A) Base RI'!V36</f>
        <v>-5768.66</v>
      </c>
      <c r="E36" s="39">
        <f>'A) Base RI'!W36</f>
        <v>0</v>
      </c>
      <c r="F36" s="39">
        <f>'A) Base RI'!X36</f>
        <v>0</v>
      </c>
      <c r="G36" s="4">
        <f t="shared" si="0"/>
        <v>772311.67999999993</v>
      </c>
      <c r="H36" s="14">
        <f>+'A) Base RI'!E36</f>
        <v>0</v>
      </c>
      <c r="I36" s="14">
        <f>+'A) Base RI'!F36</f>
        <v>0</v>
      </c>
      <c r="J36" s="14">
        <f>+'A) Base RI'!G36+'A) Base RI'!H36</f>
        <v>-206.1</v>
      </c>
      <c r="K36" s="14">
        <f>+'A) Base RI'!I36</f>
        <v>0</v>
      </c>
      <c r="L36" s="14">
        <f>+'A) Base RI'!J36</f>
        <v>15444.16</v>
      </c>
      <c r="M36" s="14">
        <f>+'A) Base RI'!K36</f>
        <v>0</v>
      </c>
      <c r="N36" s="14">
        <f>+'A) Base RI'!Q36</f>
        <v>0</v>
      </c>
      <c r="O36" s="14">
        <f t="shared" si="1"/>
        <v>60893.249999999993</v>
      </c>
      <c r="P36" s="14">
        <f>+'A) Base RI'!L36</f>
        <v>48714.6</v>
      </c>
      <c r="Q36" s="42">
        <f>'A) Base RI'!Y36</f>
        <v>0.8</v>
      </c>
      <c r="R36" s="4">
        <f t="shared" si="2"/>
        <v>848442.99</v>
      </c>
      <c r="S36" s="41">
        <f>'A) Base RI'!T36</f>
        <v>81</v>
      </c>
      <c r="T36" s="4">
        <f t="shared" si="3"/>
        <v>787549.74</v>
      </c>
      <c r="U36" s="4">
        <f t="shared" si="4"/>
        <v>10474.604814814815</v>
      </c>
      <c r="V36" s="14">
        <f>+'A) Base RI'!O36</f>
        <v>0</v>
      </c>
      <c r="W36" s="14">
        <f>+'A) Base RI'!P36</f>
        <v>55317.5</v>
      </c>
      <c r="X36" s="14">
        <f>+'A) Base RI'!R36</f>
        <v>9207.35</v>
      </c>
      <c r="Y36" s="4">
        <f t="shared" si="5"/>
        <v>64524.85</v>
      </c>
      <c r="Z36" s="14">
        <f>+'A) Base RI'!N36</f>
        <v>0</v>
      </c>
      <c r="AA36" s="14">
        <f>'A) Base RI'!U36</f>
        <v>350</v>
      </c>
    </row>
    <row r="37" spans="1:27" x14ac:dyDescent="0.25">
      <c r="A37" s="12">
        <f>'A) Base RI'!A37</f>
        <v>5437</v>
      </c>
      <c r="B37" s="40" t="str">
        <f>'A) Base RI'!B37</f>
        <v>Saubraz</v>
      </c>
      <c r="C37" s="14">
        <f>'A) Base RI'!C37+'A) Base RI'!D37</f>
        <v>741466.29</v>
      </c>
      <c r="D37" s="14">
        <f>'A) Base RI'!V37</f>
        <v>-41063.760000000002</v>
      </c>
      <c r="E37" s="39">
        <f>'A) Base RI'!W37</f>
        <v>0</v>
      </c>
      <c r="F37" s="39">
        <f>'A) Base RI'!X37</f>
        <v>0</v>
      </c>
      <c r="G37" s="4">
        <f t="shared" si="0"/>
        <v>700402.53</v>
      </c>
      <c r="H37" s="14">
        <f>+'A) Base RI'!E37</f>
        <v>0</v>
      </c>
      <c r="I37" s="14">
        <f>+'A) Base RI'!F37</f>
        <v>-20</v>
      </c>
      <c r="J37" s="14">
        <f>+'A) Base RI'!G37+'A) Base RI'!H37</f>
        <v>5573.25</v>
      </c>
      <c r="K37" s="14">
        <f>+'A) Base RI'!I37</f>
        <v>0</v>
      </c>
      <c r="L37" s="14">
        <f>+'A) Base RI'!J37</f>
        <v>32824.35</v>
      </c>
      <c r="M37" s="14">
        <f>+'A) Base RI'!K37</f>
        <v>697</v>
      </c>
      <c r="N37" s="14">
        <f>+'A) Base RI'!Q37</f>
        <v>12233.07</v>
      </c>
      <c r="O37" s="14">
        <f t="shared" si="1"/>
        <v>59393.25</v>
      </c>
      <c r="P37" s="14">
        <f>+'A) Base RI'!L37</f>
        <v>59393.25</v>
      </c>
      <c r="Q37" s="42">
        <f>'A) Base RI'!Y37</f>
        <v>1</v>
      </c>
      <c r="R37" s="4">
        <f t="shared" si="2"/>
        <v>811103.45</v>
      </c>
      <c r="S37" s="41">
        <f>'A) Base RI'!T37</f>
        <v>80</v>
      </c>
      <c r="T37" s="4">
        <f t="shared" si="3"/>
        <v>751033.2</v>
      </c>
      <c r="U37" s="4">
        <f t="shared" si="4"/>
        <v>10138.793125</v>
      </c>
      <c r="V37" s="14">
        <f>+'A) Base RI'!O37</f>
        <v>59045.9</v>
      </c>
      <c r="W37" s="14">
        <f>+'A) Base RI'!P37</f>
        <v>42051.3</v>
      </c>
      <c r="X37" s="14">
        <f>+'A) Base RI'!R37</f>
        <v>1655.3</v>
      </c>
      <c r="Y37" s="4">
        <f t="shared" si="5"/>
        <v>102752.50000000001</v>
      </c>
      <c r="Z37" s="14">
        <f>+'A) Base RI'!N37</f>
        <v>965.2</v>
      </c>
      <c r="AA37" s="14">
        <f>'A) Base RI'!U37</f>
        <v>420</v>
      </c>
    </row>
    <row r="38" spans="1:27" x14ac:dyDescent="0.25">
      <c r="A38" s="12">
        <f>'A) Base RI'!A38</f>
        <v>5451</v>
      </c>
      <c r="B38" s="40" t="str">
        <f>'A) Base RI'!B38</f>
        <v>Avenches</v>
      </c>
      <c r="C38" s="14">
        <f>'A) Base RI'!C38+'A) Base RI'!D38</f>
        <v>5465727.3200000003</v>
      </c>
      <c r="D38" s="14">
        <f>'A) Base RI'!V38</f>
        <v>-225519.44</v>
      </c>
      <c r="E38" s="39">
        <f>'A) Base RI'!W38</f>
        <v>0</v>
      </c>
      <c r="F38" s="39">
        <f>'A) Base RI'!X38</f>
        <v>-382.28</v>
      </c>
      <c r="G38" s="4">
        <f t="shared" si="0"/>
        <v>5239825.5999999996</v>
      </c>
      <c r="H38" s="14">
        <f>+'A) Base RI'!E38</f>
        <v>0</v>
      </c>
      <c r="I38" s="14">
        <f>+'A) Base RI'!F38</f>
        <v>0</v>
      </c>
      <c r="J38" s="14">
        <f>+'A) Base RI'!G38+'A) Base RI'!H38</f>
        <v>591936.95000000007</v>
      </c>
      <c r="K38" s="14">
        <f>+'A) Base RI'!I38</f>
        <v>0</v>
      </c>
      <c r="L38" s="14">
        <f>+'A) Base RI'!J38</f>
        <v>625968.30000000005</v>
      </c>
      <c r="M38" s="14">
        <f>+'A) Base RI'!K38</f>
        <v>96453.5</v>
      </c>
      <c r="N38" s="14">
        <f>+'A) Base RI'!Q38</f>
        <v>73598.17</v>
      </c>
      <c r="O38" s="14">
        <f t="shared" si="1"/>
        <v>798349.5</v>
      </c>
      <c r="P38" s="14">
        <f>+'A) Base RI'!L38</f>
        <v>1197524.25</v>
      </c>
      <c r="Q38" s="42">
        <f>'A) Base RI'!Y38</f>
        <v>1.5</v>
      </c>
      <c r="R38" s="4">
        <f t="shared" si="2"/>
        <v>7426132.0199999996</v>
      </c>
      <c r="S38" s="41">
        <f>'A) Base RI'!T38</f>
        <v>68</v>
      </c>
      <c r="T38" s="4">
        <f t="shared" si="3"/>
        <v>6531329.0199999996</v>
      </c>
      <c r="U38" s="4">
        <f t="shared" si="4"/>
        <v>109207.82382352941</v>
      </c>
      <c r="V38" s="14">
        <f>+'A) Base RI'!O38</f>
        <v>63376.2</v>
      </c>
      <c r="W38" s="14">
        <f>+'A) Base RI'!P38</f>
        <v>613883.65</v>
      </c>
      <c r="X38" s="14">
        <f>+'A) Base RI'!R38</f>
        <v>158487.4</v>
      </c>
      <c r="Y38" s="4">
        <f t="shared" si="5"/>
        <v>835747.25</v>
      </c>
      <c r="Z38" s="14">
        <f>+'A) Base RI'!N38</f>
        <v>558913.6</v>
      </c>
      <c r="AA38" s="14">
        <f>'A) Base RI'!U38</f>
        <v>4129</v>
      </c>
    </row>
    <row r="39" spans="1:27" x14ac:dyDescent="0.25">
      <c r="A39" s="12">
        <f>'A) Base RI'!A39</f>
        <v>5456</v>
      </c>
      <c r="B39" s="40" t="str">
        <f>'A) Base RI'!B39</f>
        <v>Cudrefin</v>
      </c>
      <c r="C39" s="14">
        <f>'A) Base RI'!C39+'A) Base RI'!D39</f>
        <v>2601178.3600000003</v>
      </c>
      <c r="D39" s="14">
        <f>'A) Base RI'!V39</f>
        <v>-78436.03</v>
      </c>
      <c r="E39" s="39">
        <f>'A) Base RI'!W39</f>
        <v>0</v>
      </c>
      <c r="F39" s="39">
        <f>'A) Base RI'!X39</f>
        <v>-8.08</v>
      </c>
      <c r="G39" s="4">
        <f t="shared" si="0"/>
        <v>2522734.2500000005</v>
      </c>
      <c r="H39" s="14">
        <f>+'A) Base RI'!E39</f>
        <v>0</v>
      </c>
      <c r="I39" s="14">
        <f>+'A) Base RI'!F39</f>
        <v>0</v>
      </c>
      <c r="J39" s="14">
        <f>+'A) Base RI'!G39+'A) Base RI'!H39</f>
        <v>111496.7</v>
      </c>
      <c r="K39" s="14">
        <f>+'A) Base RI'!I39</f>
        <v>0</v>
      </c>
      <c r="L39" s="14">
        <f>+'A) Base RI'!J39</f>
        <v>55091.4</v>
      </c>
      <c r="M39" s="14">
        <f>+'A) Base RI'!K39</f>
        <v>8012</v>
      </c>
      <c r="N39" s="14">
        <f>+'A) Base RI'!Q39</f>
        <v>59652.05</v>
      </c>
      <c r="O39" s="14">
        <f t="shared" si="1"/>
        <v>274068.89999999997</v>
      </c>
      <c r="P39" s="14">
        <f>+'A) Base RI'!L39</f>
        <v>411103.35</v>
      </c>
      <c r="Q39" s="42">
        <f>'A) Base RI'!Y39</f>
        <v>1.5</v>
      </c>
      <c r="R39" s="4">
        <f t="shared" si="2"/>
        <v>3031055.3000000003</v>
      </c>
      <c r="S39" s="41">
        <f>'A) Base RI'!T39</f>
        <v>59</v>
      </c>
      <c r="T39" s="4">
        <f t="shared" si="3"/>
        <v>2748974.4000000004</v>
      </c>
      <c r="U39" s="4">
        <f t="shared" si="4"/>
        <v>51373.818644067804</v>
      </c>
      <c r="V39" s="14">
        <f>+'A) Base RI'!O39</f>
        <v>16142.9</v>
      </c>
      <c r="W39" s="14">
        <f>+'A) Base RI'!P39</f>
        <v>107693.5</v>
      </c>
      <c r="X39" s="14">
        <f>+'A) Base RI'!R39</f>
        <v>47623.75</v>
      </c>
      <c r="Y39" s="4">
        <f t="shared" si="5"/>
        <v>171460.15</v>
      </c>
      <c r="Z39" s="14">
        <f>+'A) Base RI'!N39</f>
        <v>3697.85</v>
      </c>
      <c r="AA39" s="14">
        <f>'A) Base RI'!U39</f>
        <v>1555</v>
      </c>
    </row>
    <row r="40" spans="1:27" x14ac:dyDescent="0.25">
      <c r="A40" s="12">
        <f>'A) Base RI'!A40</f>
        <v>5458</v>
      </c>
      <c r="B40" s="40" t="str">
        <f>'A) Base RI'!B40</f>
        <v>Faoug</v>
      </c>
      <c r="C40" s="14">
        <f>'A) Base RI'!C40+'A) Base RI'!D40</f>
        <v>1765226.36</v>
      </c>
      <c r="D40" s="14">
        <f>'A) Base RI'!V40</f>
        <v>-24124.11</v>
      </c>
      <c r="E40" s="39">
        <f>'A) Base RI'!W40</f>
        <v>0</v>
      </c>
      <c r="F40" s="39">
        <f>'A) Base RI'!X40</f>
        <v>-47.79</v>
      </c>
      <c r="G40" s="4">
        <f t="shared" si="0"/>
        <v>1741054.46</v>
      </c>
      <c r="H40" s="14">
        <f>+'A) Base RI'!E40</f>
        <v>0</v>
      </c>
      <c r="I40" s="14">
        <f>+'A) Base RI'!F40</f>
        <v>0</v>
      </c>
      <c r="J40" s="14">
        <f>+'A) Base RI'!G40+'A) Base RI'!H40</f>
        <v>80169.099999999991</v>
      </c>
      <c r="K40" s="14">
        <f>+'A) Base RI'!I40</f>
        <v>0</v>
      </c>
      <c r="L40" s="14">
        <f>+'A) Base RI'!J40</f>
        <v>21022</v>
      </c>
      <c r="M40" s="14">
        <f>+'A) Base RI'!K40</f>
        <v>6279.5</v>
      </c>
      <c r="N40" s="14">
        <f>+'A) Base RI'!Q40</f>
        <v>18050.04</v>
      </c>
      <c r="O40" s="14">
        <f t="shared" si="1"/>
        <v>161718.85</v>
      </c>
      <c r="P40" s="14">
        <f>+'A) Base RI'!L40</f>
        <v>161718.85</v>
      </c>
      <c r="Q40" s="42">
        <f>'A) Base RI'!Y40</f>
        <v>1</v>
      </c>
      <c r="R40" s="4">
        <f t="shared" si="2"/>
        <v>2028293.9500000002</v>
      </c>
      <c r="S40" s="41">
        <f>'A) Base RI'!T40</f>
        <v>64</v>
      </c>
      <c r="T40" s="4">
        <f t="shared" si="3"/>
        <v>1860295.6</v>
      </c>
      <c r="U40" s="4">
        <f t="shared" si="4"/>
        <v>31692.092968750003</v>
      </c>
      <c r="V40" s="14">
        <f>+'A) Base RI'!O40</f>
        <v>17841.7</v>
      </c>
      <c r="W40" s="14">
        <f>+'A) Base RI'!P40</f>
        <v>71797.95</v>
      </c>
      <c r="X40" s="14">
        <f>+'A) Base RI'!R40</f>
        <v>58119.8</v>
      </c>
      <c r="Y40" s="4">
        <f t="shared" si="5"/>
        <v>147759.45000000001</v>
      </c>
      <c r="Z40" s="14">
        <f>+'A) Base RI'!N40</f>
        <v>0</v>
      </c>
      <c r="AA40" s="14">
        <f>'A) Base RI'!U40</f>
        <v>870</v>
      </c>
    </row>
    <row r="41" spans="1:27" x14ac:dyDescent="0.25">
      <c r="A41" s="12">
        <f>'A) Base RI'!A41</f>
        <v>5464</v>
      </c>
      <c r="B41" s="40" t="str">
        <f>'A) Base RI'!B41</f>
        <v>Vully-les-Lacs</v>
      </c>
      <c r="C41" s="14">
        <f>'A) Base RI'!C41+'A) Base RI'!D41</f>
        <v>5743250.9799999995</v>
      </c>
      <c r="D41" s="14">
        <f>'A) Base RI'!V41</f>
        <v>-123882.68</v>
      </c>
      <c r="E41" s="39">
        <f>'A) Base RI'!W41</f>
        <v>0</v>
      </c>
      <c r="F41" s="39">
        <f>'A) Base RI'!X41</f>
        <v>-572.84</v>
      </c>
      <c r="G41" s="4">
        <f t="shared" si="0"/>
        <v>5618795.46</v>
      </c>
      <c r="H41" s="14">
        <f>+'A) Base RI'!E41</f>
        <v>0</v>
      </c>
      <c r="I41" s="14">
        <f>+'A) Base RI'!F41</f>
        <v>0</v>
      </c>
      <c r="J41" s="14">
        <f>+'A) Base RI'!G41+'A) Base RI'!H41</f>
        <v>67549.05</v>
      </c>
      <c r="K41" s="14">
        <f>+'A) Base RI'!I41</f>
        <v>0</v>
      </c>
      <c r="L41" s="14">
        <f>+'A) Base RI'!J41</f>
        <v>155206.01</v>
      </c>
      <c r="M41" s="14">
        <f>+'A) Base RI'!K41</f>
        <v>16847.5</v>
      </c>
      <c r="N41" s="14">
        <f>+'A) Base RI'!Q41</f>
        <v>36442.75</v>
      </c>
      <c r="O41" s="14">
        <f t="shared" si="1"/>
        <v>557955.03333333333</v>
      </c>
      <c r="P41" s="14">
        <f>+'A) Base RI'!L41</f>
        <v>836932.55</v>
      </c>
      <c r="Q41" s="42">
        <f>'A) Base RI'!Y41</f>
        <v>1.5</v>
      </c>
      <c r="R41" s="4">
        <f t="shared" si="2"/>
        <v>6452795.8033333328</v>
      </c>
      <c r="S41" s="41">
        <f>'A) Base RI'!T41</f>
        <v>67</v>
      </c>
      <c r="T41" s="4">
        <f t="shared" si="3"/>
        <v>5877993.2699999996</v>
      </c>
      <c r="U41" s="4">
        <f t="shared" si="4"/>
        <v>96310.385124378095</v>
      </c>
      <c r="V41" s="14">
        <f>+'A) Base RI'!O41</f>
        <v>309242.5</v>
      </c>
      <c r="W41" s="14">
        <f>+'A) Base RI'!P41</f>
        <v>360572.65</v>
      </c>
      <c r="X41" s="14">
        <f>+'A) Base RI'!R41</f>
        <v>393647.75</v>
      </c>
      <c r="Y41" s="4">
        <f t="shared" si="5"/>
        <v>1063462.8999999999</v>
      </c>
      <c r="Z41" s="14">
        <f>+'A) Base RI'!N41</f>
        <v>0</v>
      </c>
      <c r="AA41" s="14">
        <f>'A) Base RI'!U41</f>
        <v>2935</v>
      </c>
    </row>
    <row r="42" spans="1:27" x14ac:dyDescent="0.25">
      <c r="A42" s="12">
        <f>'A) Base RI'!A42</f>
        <v>5471</v>
      </c>
      <c r="B42" s="40" t="str">
        <f>'A) Base RI'!B42</f>
        <v>Bettens</v>
      </c>
      <c r="C42" s="14">
        <f>'A) Base RI'!C42+'A) Base RI'!D42</f>
        <v>1076650.55</v>
      </c>
      <c r="D42" s="14">
        <f>'A) Base RI'!V42</f>
        <v>-9343.36</v>
      </c>
      <c r="E42" s="39">
        <f>'A) Base RI'!W42</f>
        <v>0</v>
      </c>
      <c r="F42" s="39">
        <f>'A) Base RI'!X42</f>
        <v>-2.19</v>
      </c>
      <c r="G42" s="4">
        <f t="shared" si="0"/>
        <v>1067305</v>
      </c>
      <c r="H42" s="14">
        <f>+'A) Base RI'!E42</f>
        <v>0</v>
      </c>
      <c r="I42" s="14">
        <f>+'A) Base RI'!F42</f>
        <v>0</v>
      </c>
      <c r="J42" s="14">
        <f>+'A) Base RI'!G42+'A) Base RI'!H42</f>
        <v>-26222.949999999997</v>
      </c>
      <c r="K42" s="14">
        <f>+'A) Base RI'!I42</f>
        <v>0</v>
      </c>
      <c r="L42" s="14">
        <f>+'A) Base RI'!J42</f>
        <v>17173.900000000001</v>
      </c>
      <c r="M42" s="14">
        <f>+'A) Base RI'!K42</f>
        <v>2860.5</v>
      </c>
      <c r="N42" s="14">
        <f>+'A) Base RI'!Q42</f>
        <v>0</v>
      </c>
      <c r="O42" s="14">
        <f t="shared" si="1"/>
        <v>90319.611111111109</v>
      </c>
      <c r="P42" s="14">
        <f>+'A) Base RI'!L42</f>
        <v>81287.649999999994</v>
      </c>
      <c r="Q42" s="42">
        <f>'A) Base RI'!Y42</f>
        <v>0.9</v>
      </c>
      <c r="R42" s="4">
        <f t="shared" si="2"/>
        <v>1151436.061111111</v>
      </c>
      <c r="S42" s="41">
        <f>'A) Base RI'!T42</f>
        <v>70</v>
      </c>
      <c r="T42" s="4">
        <f t="shared" si="3"/>
        <v>1058255.95</v>
      </c>
      <c r="U42" s="4">
        <f t="shared" si="4"/>
        <v>16449.086587301586</v>
      </c>
      <c r="V42" s="14">
        <f>+'A) Base RI'!O42</f>
        <v>6801.6</v>
      </c>
      <c r="W42" s="14">
        <f>+'A) Base RI'!P42</f>
        <v>32286.1</v>
      </c>
      <c r="X42" s="14">
        <f>+'A) Base RI'!R42</f>
        <v>16600.75</v>
      </c>
      <c r="Y42" s="4">
        <f t="shared" si="5"/>
        <v>55688.45</v>
      </c>
      <c r="Z42" s="14">
        <f>+'A) Base RI'!N42</f>
        <v>0</v>
      </c>
      <c r="AA42" s="14">
        <f>'A) Base RI'!U42</f>
        <v>584</v>
      </c>
    </row>
    <row r="43" spans="1:27" x14ac:dyDescent="0.25">
      <c r="A43" s="12">
        <f>'A) Base RI'!A43</f>
        <v>5472</v>
      </c>
      <c r="B43" s="40" t="str">
        <f>'A) Base RI'!B43</f>
        <v>Bournens</v>
      </c>
      <c r="C43" s="14">
        <f>'A) Base RI'!C43+'A) Base RI'!D43</f>
        <v>1026499.69</v>
      </c>
      <c r="D43" s="14">
        <f>'A) Base RI'!V43</f>
        <v>-3485.33</v>
      </c>
      <c r="E43" s="39">
        <f>'A) Base RI'!W43</f>
        <v>0</v>
      </c>
      <c r="F43" s="39">
        <f>'A) Base RI'!X43</f>
        <v>-54.83</v>
      </c>
      <c r="G43" s="4">
        <f t="shared" si="0"/>
        <v>1022959.53</v>
      </c>
      <c r="H43" s="14">
        <f>+'A) Base RI'!E43</f>
        <v>0</v>
      </c>
      <c r="I43" s="14">
        <f>+'A) Base RI'!F43</f>
        <v>0</v>
      </c>
      <c r="J43" s="14">
        <f>+'A) Base RI'!G43+'A) Base RI'!H43</f>
        <v>6901.85</v>
      </c>
      <c r="K43" s="14">
        <f>+'A) Base RI'!I43</f>
        <v>0</v>
      </c>
      <c r="L43" s="14">
        <f>+'A) Base RI'!J43</f>
        <v>15448.31</v>
      </c>
      <c r="M43" s="14">
        <f>+'A) Base RI'!K43</f>
        <v>543.5</v>
      </c>
      <c r="N43" s="14">
        <f>+'A) Base RI'!Q43</f>
        <v>19417.25</v>
      </c>
      <c r="O43" s="14">
        <f t="shared" si="1"/>
        <v>70073.649999999994</v>
      </c>
      <c r="P43" s="14">
        <f>+'A) Base RI'!L43</f>
        <v>70073.649999999994</v>
      </c>
      <c r="Q43" s="42">
        <f>'A) Base RI'!Y43</f>
        <v>1</v>
      </c>
      <c r="R43" s="4">
        <f t="shared" si="2"/>
        <v>1135344.0899999999</v>
      </c>
      <c r="S43" s="41">
        <f>'A) Base RI'!T43</f>
        <v>80</v>
      </c>
      <c r="T43" s="4">
        <f t="shared" si="3"/>
        <v>1064726.94</v>
      </c>
      <c r="U43" s="4">
        <f t="shared" si="4"/>
        <v>14191.801124999998</v>
      </c>
      <c r="V43" s="14">
        <f>+'A) Base RI'!O43</f>
        <v>0</v>
      </c>
      <c r="W43" s="14">
        <f>+'A) Base RI'!P43</f>
        <v>62578.6</v>
      </c>
      <c r="X43" s="14">
        <f>+'A) Base RI'!R43</f>
        <v>47894.85</v>
      </c>
      <c r="Y43" s="4">
        <f t="shared" si="5"/>
        <v>110473.45</v>
      </c>
      <c r="Z43" s="14">
        <f>+'A) Base RI'!N43</f>
        <v>0</v>
      </c>
      <c r="AA43" s="14">
        <f>'A) Base RI'!U43</f>
        <v>370</v>
      </c>
    </row>
    <row r="44" spans="1:27" x14ac:dyDescent="0.25">
      <c r="A44" s="12">
        <f>'A) Base RI'!A44</f>
        <v>5473</v>
      </c>
      <c r="B44" s="40" t="str">
        <f>'A) Base RI'!B44</f>
        <v>Boussens</v>
      </c>
      <c r="C44" s="14">
        <f>'A) Base RI'!C44+'A) Base RI'!D44</f>
        <v>2045804.12</v>
      </c>
      <c r="D44" s="14">
        <f>'A) Base RI'!V44</f>
        <v>-16446.28</v>
      </c>
      <c r="E44" s="39">
        <f>'A) Base RI'!W44</f>
        <v>0</v>
      </c>
      <c r="F44" s="39">
        <f>'A) Base RI'!X44</f>
        <v>-20.57</v>
      </c>
      <c r="G44" s="4">
        <f t="shared" si="0"/>
        <v>2029337.27</v>
      </c>
      <c r="H44" s="14">
        <f>+'A) Base RI'!E44</f>
        <v>0</v>
      </c>
      <c r="I44" s="14">
        <f>+'A) Base RI'!F44</f>
        <v>0</v>
      </c>
      <c r="J44" s="14">
        <f>+'A) Base RI'!G44+'A) Base RI'!H44</f>
        <v>49820.800000000003</v>
      </c>
      <c r="K44" s="14">
        <f>+'A) Base RI'!I44</f>
        <v>0</v>
      </c>
      <c r="L44" s="14">
        <f>+'A) Base RI'!J44</f>
        <v>7734.2</v>
      </c>
      <c r="M44" s="14">
        <f>+'A) Base RI'!K44</f>
        <v>2078.5</v>
      </c>
      <c r="N44" s="14">
        <f>+'A) Base RI'!Q44</f>
        <v>3751.18</v>
      </c>
      <c r="O44" s="14">
        <f t="shared" si="1"/>
        <v>167514.70000000001</v>
      </c>
      <c r="P44" s="14">
        <f>+'A) Base RI'!L44</f>
        <v>167514.70000000001</v>
      </c>
      <c r="Q44" s="42">
        <f>'A) Base RI'!Y44</f>
        <v>1</v>
      </c>
      <c r="R44" s="4">
        <f t="shared" si="2"/>
        <v>2260236.65</v>
      </c>
      <c r="S44" s="41">
        <f>'A) Base RI'!T44</f>
        <v>69</v>
      </c>
      <c r="T44" s="4">
        <f t="shared" si="3"/>
        <v>2090643.45</v>
      </c>
      <c r="U44" s="4">
        <f t="shared" si="4"/>
        <v>32757.052898550723</v>
      </c>
      <c r="V44" s="14">
        <f>+'A) Base RI'!O44</f>
        <v>0</v>
      </c>
      <c r="W44" s="14">
        <f>+'A) Base RI'!P44</f>
        <v>73404.100000000006</v>
      </c>
      <c r="X44" s="14">
        <f>+'A) Base RI'!R44</f>
        <v>40460.050000000003</v>
      </c>
      <c r="Y44" s="4">
        <f t="shared" si="5"/>
        <v>113864.15000000001</v>
      </c>
      <c r="Z44" s="14">
        <f>+'A) Base RI'!N44</f>
        <v>0</v>
      </c>
      <c r="AA44" s="14">
        <f>'A) Base RI'!U44</f>
        <v>980</v>
      </c>
    </row>
    <row r="45" spans="1:27" x14ac:dyDescent="0.25">
      <c r="A45" s="12">
        <f>'A) Base RI'!A45</f>
        <v>5474</v>
      </c>
      <c r="B45" s="40" t="str">
        <f>'A) Base RI'!B45</f>
        <v>La Chaux (Cossonay)</v>
      </c>
      <c r="C45" s="14">
        <f>'A) Base RI'!C45+'A) Base RI'!D45</f>
        <v>883894.27</v>
      </c>
      <c r="D45" s="14">
        <f>'A) Base RI'!V45</f>
        <v>-5864.71</v>
      </c>
      <c r="E45" s="39">
        <f>'A) Base RI'!W45</f>
        <v>0</v>
      </c>
      <c r="F45" s="39">
        <f>'A) Base RI'!X45</f>
        <v>-21.41</v>
      </c>
      <c r="G45" s="4">
        <f t="shared" si="0"/>
        <v>878008.15</v>
      </c>
      <c r="H45" s="14">
        <f>+'A) Base RI'!E45</f>
        <v>0</v>
      </c>
      <c r="I45" s="14">
        <f>+'A) Base RI'!F45</f>
        <v>0</v>
      </c>
      <c r="J45" s="14">
        <f>+'A) Base RI'!G45+'A) Base RI'!H45</f>
        <v>11341</v>
      </c>
      <c r="K45" s="14">
        <f>+'A) Base RI'!I45</f>
        <v>33864.199999999997</v>
      </c>
      <c r="L45" s="14">
        <f>+'A) Base RI'!J45</f>
        <v>5842.99</v>
      </c>
      <c r="M45" s="14">
        <f>+'A) Base RI'!K45</f>
        <v>560</v>
      </c>
      <c r="N45" s="14">
        <f>+'A) Base RI'!Q45</f>
        <v>0</v>
      </c>
      <c r="O45" s="14">
        <f t="shared" si="1"/>
        <v>65597.791666666672</v>
      </c>
      <c r="P45" s="14">
        <f>+'A) Base RI'!L45</f>
        <v>78717.350000000006</v>
      </c>
      <c r="Q45" s="42">
        <f>'A) Base RI'!Y45</f>
        <v>1.2</v>
      </c>
      <c r="R45" s="4">
        <f t="shared" si="2"/>
        <v>995214.1316666666</v>
      </c>
      <c r="S45" s="41">
        <f>'A) Base RI'!T45</f>
        <v>77</v>
      </c>
      <c r="T45" s="4">
        <f t="shared" si="3"/>
        <v>929056.34</v>
      </c>
      <c r="U45" s="4">
        <f t="shared" si="4"/>
        <v>12924.858852813852</v>
      </c>
      <c r="V45" s="14">
        <f>+'A) Base RI'!O45</f>
        <v>1114.2</v>
      </c>
      <c r="W45" s="14">
        <f>+'A) Base RI'!P45</f>
        <v>61855.75</v>
      </c>
      <c r="X45" s="14">
        <f>+'A) Base RI'!R45</f>
        <v>39296.75</v>
      </c>
      <c r="Y45" s="4">
        <f t="shared" si="5"/>
        <v>102266.7</v>
      </c>
      <c r="Z45" s="14">
        <f>+'A) Base RI'!N45</f>
        <v>0</v>
      </c>
      <c r="AA45" s="14">
        <f>'A) Base RI'!U45</f>
        <v>421</v>
      </c>
    </row>
    <row r="46" spans="1:27" x14ac:dyDescent="0.25">
      <c r="A46" s="12">
        <f>'A) Base RI'!A46</f>
        <v>5475</v>
      </c>
      <c r="B46" s="40" t="str">
        <f>'A) Base RI'!B46</f>
        <v>Chavannes-le-Veyron</v>
      </c>
      <c r="C46" s="14">
        <f>'A) Base RI'!C46+'A) Base RI'!D46</f>
        <v>190954.38</v>
      </c>
      <c r="D46" s="14">
        <f>'A) Base RI'!V46</f>
        <v>-4320.66</v>
      </c>
      <c r="E46" s="39">
        <f>'A) Base RI'!W46</f>
        <v>0</v>
      </c>
      <c r="F46" s="39">
        <f>'A) Base RI'!X46</f>
        <v>0</v>
      </c>
      <c r="G46" s="4">
        <f t="shared" si="0"/>
        <v>186633.72</v>
      </c>
      <c r="H46" s="14">
        <f>+'A) Base RI'!E46</f>
        <v>0</v>
      </c>
      <c r="I46" s="14">
        <f>+'A) Base RI'!F46</f>
        <v>0</v>
      </c>
      <c r="J46" s="14">
        <f>+'A) Base RI'!G46+'A) Base RI'!H46</f>
        <v>1967.3000000000002</v>
      </c>
      <c r="K46" s="14">
        <f>+'A) Base RI'!I46</f>
        <v>0</v>
      </c>
      <c r="L46" s="14">
        <f>+'A) Base RI'!J46</f>
        <v>-2299.14</v>
      </c>
      <c r="M46" s="14">
        <f>+'A) Base RI'!K46</f>
        <v>0</v>
      </c>
      <c r="N46" s="14">
        <f>+'A) Base RI'!Q46</f>
        <v>0</v>
      </c>
      <c r="O46" s="14">
        <f t="shared" si="1"/>
        <v>19503.3</v>
      </c>
      <c r="P46" s="14">
        <f>+'A) Base RI'!L46</f>
        <v>19503.3</v>
      </c>
      <c r="Q46" s="42">
        <f>'A) Base RI'!Y46</f>
        <v>1</v>
      </c>
      <c r="R46" s="4">
        <f t="shared" si="2"/>
        <v>205805.17999999996</v>
      </c>
      <c r="S46" s="41">
        <f>'A) Base RI'!T46</f>
        <v>77</v>
      </c>
      <c r="T46" s="4">
        <f t="shared" si="3"/>
        <v>186301.87999999998</v>
      </c>
      <c r="U46" s="4">
        <f t="shared" si="4"/>
        <v>2672.7945454545452</v>
      </c>
      <c r="V46" s="14">
        <f>+'A) Base RI'!O46</f>
        <v>0</v>
      </c>
      <c r="W46" s="14">
        <f>+'A) Base RI'!P46</f>
        <v>46905.1</v>
      </c>
      <c r="X46" s="14">
        <f>+'A) Base RI'!R46</f>
        <v>21188.1</v>
      </c>
      <c r="Y46" s="4">
        <f t="shared" si="5"/>
        <v>68093.2</v>
      </c>
      <c r="Z46" s="14">
        <f>+'A) Base RI'!N46</f>
        <v>0</v>
      </c>
      <c r="AA46" s="14">
        <f>'A) Base RI'!U46</f>
        <v>143</v>
      </c>
    </row>
    <row r="47" spans="1:27" x14ac:dyDescent="0.25">
      <c r="A47" s="12">
        <f>'A) Base RI'!A47</f>
        <v>5476</v>
      </c>
      <c r="B47" s="40" t="str">
        <f>'A) Base RI'!B47</f>
        <v>Chevilly</v>
      </c>
      <c r="C47" s="14">
        <f>'A) Base RI'!C47+'A) Base RI'!D47</f>
        <v>704165.27</v>
      </c>
      <c r="D47" s="14">
        <f>'A) Base RI'!V47</f>
        <v>-214.75</v>
      </c>
      <c r="E47" s="39">
        <f>'A) Base RI'!W47</f>
        <v>0</v>
      </c>
      <c r="F47" s="39">
        <f>'A) Base RI'!X47</f>
        <v>-0.28999999999999998</v>
      </c>
      <c r="G47" s="4">
        <f t="shared" si="0"/>
        <v>703950.23</v>
      </c>
      <c r="H47" s="14">
        <f>+'A) Base RI'!E47</f>
        <v>0</v>
      </c>
      <c r="I47" s="14">
        <f>+'A) Base RI'!F47</f>
        <v>0</v>
      </c>
      <c r="J47" s="14">
        <f>+'A) Base RI'!G47+'A) Base RI'!H47</f>
        <v>3558.5</v>
      </c>
      <c r="K47" s="14">
        <f>+'A) Base RI'!I47</f>
        <v>0</v>
      </c>
      <c r="L47" s="14">
        <f>+'A) Base RI'!J47</f>
        <v>1869.03</v>
      </c>
      <c r="M47" s="14">
        <f>+'A) Base RI'!K47</f>
        <v>0</v>
      </c>
      <c r="N47" s="14">
        <f>+'A) Base RI'!Q47</f>
        <v>0</v>
      </c>
      <c r="O47" s="14">
        <f t="shared" si="1"/>
        <v>48970.700000000004</v>
      </c>
      <c r="P47" s="14">
        <f>+'A) Base RI'!L47</f>
        <v>73456.05</v>
      </c>
      <c r="Q47" s="42">
        <f>'A) Base RI'!Y47</f>
        <v>1.5</v>
      </c>
      <c r="R47" s="4">
        <f t="shared" si="2"/>
        <v>758348.46</v>
      </c>
      <c r="S47" s="41">
        <f>'A) Base RI'!T47</f>
        <v>74</v>
      </c>
      <c r="T47" s="4">
        <f t="shared" si="3"/>
        <v>709377.76</v>
      </c>
      <c r="U47" s="4">
        <f t="shared" si="4"/>
        <v>10247.952162162162</v>
      </c>
      <c r="V47" s="14">
        <f>+'A) Base RI'!O47</f>
        <v>2343.5</v>
      </c>
      <c r="W47" s="14">
        <f>+'A) Base RI'!P47</f>
        <v>14736.3</v>
      </c>
      <c r="X47" s="14">
        <f>+'A) Base RI'!R47</f>
        <v>36331.1</v>
      </c>
      <c r="Y47" s="4">
        <f t="shared" si="5"/>
        <v>53410.899999999994</v>
      </c>
      <c r="Z47" s="14">
        <f>+'A) Base RI'!N47</f>
        <v>0</v>
      </c>
      <c r="AA47" s="14">
        <f>'A) Base RI'!U47</f>
        <v>299</v>
      </c>
    </row>
    <row r="48" spans="1:27" x14ac:dyDescent="0.25">
      <c r="A48" s="12">
        <f>'A) Base RI'!A48</f>
        <v>5477</v>
      </c>
      <c r="B48" s="40" t="str">
        <f>'A) Base RI'!B48</f>
        <v>Cossonay</v>
      </c>
      <c r="C48" s="14">
        <f>'A) Base RI'!C48+'A) Base RI'!D48</f>
        <v>7336632.5499999998</v>
      </c>
      <c r="D48" s="14">
        <f>'A) Base RI'!V48</f>
        <v>-76554.539999999994</v>
      </c>
      <c r="E48" s="39">
        <f>'A) Base RI'!W48</f>
        <v>0</v>
      </c>
      <c r="F48" s="39">
        <f>'A) Base RI'!X48</f>
        <v>-107.47</v>
      </c>
      <c r="G48" s="4">
        <f t="shared" si="0"/>
        <v>7259970.54</v>
      </c>
      <c r="H48" s="14">
        <f>+'A) Base RI'!E48</f>
        <v>0</v>
      </c>
      <c r="I48" s="14">
        <f>+'A) Base RI'!F48</f>
        <v>0</v>
      </c>
      <c r="J48" s="14">
        <f>+'A) Base RI'!G48+'A) Base RI'!H48</f>
        <v>708200</v>
      </c>
      <c r="K48" s="14">
        <f>+'A) Base RI'!I48</f>
        <v>0</v>
      </c>
      <c r="L48" s="14">
        <f>+'A) Base RI'!J48</f>
        <v>140217.67000000001</v>
      </c>
      <c r="M48" s="14">
        <f>+'A) Base RI'!K48</f>
        <v>29691</v>
      </c>
      <c r="N48" s="14">
        <f>+'A) Base RI'!Q48</f>
        <v>58945.7</v>
      </c>
      <c r="O48" s="14">
        <f t="shared" si="1"/>
        <v>530415.1</v>
      </c>
      <c r="P48" s="14">
        <f>+'A) Base RI'!L48</f>
        <v>530415.1</v>
      </c>
      <c r="Q48" s="42">
        <f>'A) Base RI'!Y48</f>
        <v>1</v>
      </c>
      <c r="R48" s="4">
        <f t="shared" si="2"/>
        <v>8727440.0099999998</v>
      </c>
      <c r="S48" s="41">
        <f>'A) Base RI'!T48</f>
        <v>69.3</v>
      </c>
      <c r="T48" s="4">
        <f t="shared" si="3"/>
        <v>8167333.9100000001</v>
      </c>
      <c r="U48" s="4">
        <f t="shared" si="4"/>
        <v>125937.08528138528</v>
      </c>
      <c r="V48" s="14">
        <f>+'A) Base RI'!O48</f>
        <v>108778.3</v>
      </c>
      <c r="W48" s="14">
        <f>+'A) Base RI'!P48</f>
        <v>306024.84999999998</v>
      </c>
      <c r="X48" s="14">
        <f>+'A) Base RI'!R48</f>
        <v>199563.45</v>
      </c>
      <c r="Y48" s="4">
        <f t="shared" si="5"/>
        <v>614366.6</v>
      </c>
      <c r="Z48" s="14">
        <f>+'A) Base RI'!N48</f>
        <v>76748.2</v>
      </c>
      <c r="AA48" s="14">
        <f>'A) Base RI'!U48</f>
        <v>3632</v>
      </c>
    </row>
    <row r="49" spans="1:27" x14ac:dyDescent="0.25">
      <c r="A49" s="12">
        <f>'A) Base RI'!A49</f>
        <v>5478</v>
      </c>
      <c r="B49" s="40" t="str">
        <f>'A) Base RI'!B49</f>
        <v>Cottens</v>
      </c>
      <c r="C49" s="14">
        <f>'A) Base RI'!C49+'A) Base RI'!D49</f>
        <v>979705.21</v>
      </c>
      <c r="D49" s="14">
        <f>'A) Base RI'!V49</f>
        <v>-8548.5</v>
      </c>
      <c r="E49" s="39">
        <f>'A) Base RI'!W49</f>
        <v>0</v>
      </c>
      <c r="F49" s="39">
        <f>'A) Base RI'!X49</f>
        <v>-17.579999999999998</v>
      </c>
      <c r="G49" s="4">
        <f t="shared" si="0"/>
        <v>971139.13</v>
      </c>
      <c r="H49" s="14">
        <f>+'A) Base RI'!E49</f>
        <v>0</v>
      </c>
      <c r="I49" s="14">
        <f>+'A) Base RI'!F49</f>
        <v>0</v>
      </c>
      <c r="J49" s="14">
        <f>+'A) Base RI'!G49+'A) Base RI'!H49</f>
        <v>14478.95</v>
      </c>
      <c r="K49" s="14">
        <f>+'A) Base RI'!I49</f>
        <v>0</v>
      </c>
      <c r="L49" s="14">
        <f>+'A) Base RI'!J49</f>
        <v>4194.6499999999996</v>
      </c>
      <c r="M49" s="14">
        <f>+'A) Base RI'!K49</f>
        <v>250</v>
      </c>
      <c r="N49" s="14">
        <f>+'A) Base RI'!Q49</f>
        <v>4390.4799999999996</v>
      </c>
      <c r="O49" s="14">
        <f t="shared" si="1"/>
        <v>75980.3</v>
      </c>
      <c r="P49" s="14">
        <f>+'A) Base RI'!L49</f>
        <v>75980.3</v>
      </c>
      <c r="Q49" s="42">
        <f>'A) Base RI'!Y49</f>
        <v>1</v>
      </c>
      <c r="R49" s="4">
        <f t="shared" si="2"/>
        <v>1070433.51</v>
      </c>
      <c r="S49" s="41">
        <f>'A) Base RI'!T49</f>
        <v>74</v>
      </c>
      <c r="T49" s="4">
        <f t="shared" si="3"/>
        <v>994203.21</v>
      </c>
      <c r="U49" s="4">
        <f t="shared" si="4"/>
        <v>14465.317702702703</v>
      </c>
      <c r="V49" s="14">
        <f>+'A) Base RI'!O49</f>
        <v>0</v>
      </c>
      <c r="W49" s="14">
        <f>+'A) Base RI'!P49</f>
        <v>14205.5</v>
      </c>
      <c r="X49" s="14">
        <f>+'A) Base RI'!R49</f>
        <v>5973.9</v>
      </c>
      <c r="Y49" s="4">
        <f t="shared" si="5"/>
        <v>20179.400000000001</v>
      </c>
      <c r="Z49" s="14">
        <f>+'A) Base RI'!N49</f>
        <v>0</v>
      </c>
      <c r="AA49" s="14">
        <f>'A) Base RI'!U49</f>
        <v>483</v>
      </c>
    </row>
    <row r="50" spans="1:27" x14ac:dyDescent="0.25">
      <c r="A50" s="12">
        <f>'A) Base RI'!A50</f>
        <v>5479</v>
      </c>
      <c r="B50" s="40" t="str">
        <f>'A) Base RI'!B50</f>
        <v>Cuarnens</v>
      </c>
      <c r="C50" s="14">
        <f>'A) Base RI'!C50+'A) Base RI'!D50</f>
        <v>791218.61</v>
      </c>
      <c r="D50" s="14">
        <f>'A) Base RI'!V50</f>
        <v>-42837.46</v>
      </c>
      <c r="E50" s="39">
        <f>'A) Base RI'!W50</f>
        <v>0</v>
      </c>
      <c r="F50" s="39">
        <f>'A) Base RI'!X50</f>
        <v>-0.08</v>
      </c>
      <c r="G50" s="4">
        <f t="shared" si="0"/>
        <v>748381.07000000007</v>
      </c>
      <c r="H50" s="14">
        <f>+'A) Base RI'!E50</f>
        <v>0</v>
      </c>
      <c r="I50" s="14">
        <f>+'A) Base RI'!F50</f>
        <v>0</v>
      </c>
      <c r="J50" s="14">
        <f>+'A) Base RI'!G50+'A) Base RI'!H50</f>
        <v>12564.4</v>
      </c>
      <c r="K50" s="14">
        <f>+'A) Base RI'!I50</f>
        <v>40429.71</v>
      </c>
      <c r="L50" s="14">
        <f>+'A) Base RI'!J50</f>
        <v>21169.16</v>
      </c>
      <c r="M50" s="14">
        <f>+'A) Base RI'!K50</f>
        <v>1890</v>
      </c>
      <c r="N50" s="14">
        <f>+'A) Base RI'!Q50</f>
        <v>0</v>
      </c>
      <c r="O50" s="14">
        <f t="shared" si="1"/>
        <v>65902.75</v>
      </c>
      <c r="P50" s="14">
        <f>+'A) Base RI'!L50</f>
        <v>65902.75</v>
      </c>
      <c r="Q50" s="42">
        <f>'A) Base RI'!Y50</f>
        <v>1</v>
      </c>
      <c r="R50" s="4">
        <f t="shared" si="2"/>
        <v>890337.09000000008</v>
      </c>
      <c r="S50" s="41">
        <f>'A) Base RI'!T50</f>
        <v>77</v>
      </c>
      <c r="T50" s="4">
        <f t="shared" si="3"/>
        <v>822544.34000000008</v>
      </c>
      <c r="U50" s="4">
        <f t="shared" si="4"/>
        <v>11562.819350649352</v>
      </c>
      <c r="V50" s="14">
        <f>+'A) Base RI'!O50</f>
        <v>25000</v>
      </c>
      <c r="W50" s="14">
        <f>+'A) Base RI'!P50</f>
        <v>42131.3</v>
      </c>
      <c r="X50" s="14">
        <f>+'A) Base RI'!R50</f>
        <v>29771.9</v>
      </c>
      <c r="Y50" s="4">
        <f t="shared" si="5"/>
        <v>96903.200000000012</v>
      </c>
      <c r="Z50" s="14">
        <f>+'A) Base RI'!N50</f>
        <v>8132.25</v>
      </c>
      <c r="AA50" s="14">
        <f>'A) Base RI'!U50</f>
        <v>481</v>
      </c>
    </row>
    <row r="51" spans="1:27" x14ac:dyDescent="0.25">
      <c r="A51" s="12">
        <f>'A) Base RI'!A51</f>
        <v>5480</v>
      </c>
      <c r="B51" s="40" t="str">
        <f>'A) Base RI'!B51</f>
        <v>Daillens</v>
      </c>
      <c r="C51" s="14">
        <f>'A) Base RI'!C51+'A) Base RI'!D51</f>
        <v>2232418.0699999998</v>
      </c>
      <c r="D51" s="14">
        <f>'A) Base RI'!V51</f>
        <v>-33758.92</v>
      </c>
      <c r="E51" s="39">
        <f>'A) Base RI'!W51</f>
        <v>0</v>
      </c>
      <c r="F51" s="39">
        <f>'A) Base RI'!X51</f>
        <v>-95.75</v>
      </c>
      <c r="G51" s="4">
        <f t="shared" si="0"/>
        <v>2198563.4</v>
      </c>
      <c r="H51" s="14">
        <f>+'A) Base RI'!E51</f>
        <v>0</v>
      </c>
      <c r="I51" s="14">
        <f>+'A) Base RI'!F51</f>
        <v>0</v>
      </c>
      <c r="J51" s="14">
        <f>+'A) Base RI'!G51+'A) Base RI'!H51</f>
        <v>-49669.7</v>
      </c>
      <c r="K51" s="14">
        <f>+'A) Base RI'!I51</f>
        <v>0</v>
      </c>
      <c r="L51" s="14">
        <f>+'A) Base RI'!J51</f>
        <v>36012.11</v>
      </c>
      <c r="M51" s="14">
        <f>+'A) Base RI'!K51</f>
        <v>1988.2</v>
      </c>
      <c r="N51" s="14">
        <f>+'A) Base RI'!Q51</f>
        <v>12027.72</v>
      </c>
      <c r="O51" s="14">
        <f t="shared" si="1"/>
        <v>275576.90000000002</v>
      </c>
      <c r="P51" s="14">
        <f>+'A) Base RI'!L51</f>
        <v>275576.90000000002</v>
      </c>
      <c r="Q51" s="42">
        <f>'A) Base RI'!Y51</f>
        <v>1</v>
      </c>
      <c r="R51" s="4">
        <f t="shared" si="2"/>
        <v>2474498.63</v>
      </c>
      <c r="S51" s="41">
        <f>'A) Base RI'!T51</f>
        <v>71</v>
      </c>
      <c r="T51" s="4">
        <f t="shared" si="3"/>
        <v>2196933.5299999998</v>
      </c>
      <c r="U51" s="4">
        <f t="shared" si="4"/>
        <v>34852.093380281687</v>
      </c>
      <c r="V51" s="14">
        <f>+'A) Base RI'!O51</f>
        <v>10104.5</v>
      </c>
      <c r="W51" s="14">
        <f>+'A) Base RI'!P51</f>
        <v>82259.75</v>
      </c>
      <c r="X51" s="14">
        <f>+'A) Base RI'!R51</f>
        <v>18261.95</v>
      </c>
      <c r="Y51" s="4">
        <f t="shared" si="5"/>
        <v>110626.2</v>
      </c>
      <c r="Z51" s="14">
        <f>+'A) Base RI'!N51</f>
        <v>137463</v>
      </c>
      <c r="AA51" s="14">
        <f>'A) Base RI'!U51</f>
        <v>958</v>
      </c>
    </row>
    <row r="52" spans="1:27" x14ac:dyDescent="0.25">
      <c r="A52" s="12">
        <f>'A) Base RI'!A52</f>
        <v>5481</v>
      </c>
      <c r="B52" s="40" t="str">
        <f>'A) Base RI'!B52</f>
        <v>Dizy</v>
      </c>
      <c r="C52" s="14">
        <f>'A) Base RI'!C52+'A) Base RI'!D52</f>
        <v>631868.63</v>
      </c>
      <c r="D52" s="14">
        <f>'A) Base RI'!V52</f>
        <v>-1256.8900000000001</v>
      </c>
      <c r="E52" s="39">
        <f>'A) Base RI'!W52</f>
        <v>0</v>
      </c>
      <c r="F52" s="39">
        <f>'A) Base RI'!X52</f>
        <v>-10.75</v>
      </c>
      <c r="G52" s="4">
        <f t="shared" si="0"/>
        <v>630600.99</v>
      </c>
      <c r="H52" s="14">
        <f>+'A) Base RI'!E52</f>
        <v>0</v>
      </c>
      <c r="I52" s="14">
        <f>+'A) Base RI'!F52</f>
        <v>0</v>
      </c>
      <c r="J52" s="14">
        <f>+'A) Base RI'!G52+'A) Base RI'!H52</f>
        <v>35367.450000000004</v>
      </c>
      <c r="K52" s="14">
        <f>+'A) Base RI'!I52</f>
        <v>0</v>
      </c>
      <c r="L52" s="14">
        <f>+'A) Base RI'!J52</f>
        <v>2160.37</v>
      </c>
      <c r="M52" s="14">
        <f>+'A) Base RI'!K52</f>
        <v>0</v>
      </c>
      <c r="N52" s="14">
        <f>+'A) Base RI'!Q52</f>
        <v>0</v>
      </c>
      <c r="O52" s="14">
        <f t="shared" si="1"/>
        <v>34991.15</v>
      </c>
      <c r="P52" s="14">
        <f>+'A) Base RI'!L52</f>
        <v>34991.15</v>
      </c>
      <c r="Q52" s="42">
        <f>'A) Base RI'!Y52</f>
        <v>1</v>
      </c>
      <c r="R52" s="4">
        <f t="shared" si="2"/>
        <v>703119.96</v>
      </c>
      <c r="S52" s="41">
        <f>'A) Base RI'!T52</f>
        <v>79</v>
      </c>
      <c r="T52" s="4">
        <f t="shared" si="3"/>
        <v>668128.80999999994</v>
      </c>
      <c r="U52" s="4">
        <f t="shared" si="4"/>
        <v>8900.2526582278479</v>
      </c>
      <c r="V52" s="14">
        <f>+'A) Base RI'!O52</f>
        <v>0</v>
      </c>
      <c r="W52" s="14">
        <f>+'A) Base RI'!P52</f>
        <v>20790</v>
      </c>
      <c r="X52" s="14">
        <f>+'A) Base RI'!R52</f>
        <v>2916.65</v>
      </c>
      <c r="Y52" s="4">
        <f t="shared" si="5"/>
        <v>23706.65</v>
      </c>
      <c r="Z52" s="14">
        <f>+'A) Base RI'!N52</f>
        <v>0</v>
      </c>
      <c r="AA52" s="14">
        <f>'A) Base RI'!U52</f>
        <v>222</v>
      </c>
    </row>
    <row r="53" spans="1:27" x14ac:dyDescent="0.25">
      <c r="A53" s="12">
        <f>'A) Base RI'!A53</f>
        <v>5482</v>
      </c>
      <c r="B53" s="40" t="str">
        <f>'A) Base RI'!B53</f>
        <v>Eclépens</v>
      </c>
      <c r="C53" s="14">
        <f>'A) Base RI'!C53+'A) Base RI'!D53</f>
        <v>1310048.8600000001</v>
      </c>
      <c r="D53" s="14">
        <f>'A) Base RI'!V53</f>
        <v>-30060.78</v>
      </c>
      <c r="E53" s="39">
        <f>'A) Base RI'!W53</f>
        <v>0</v>
      </c>
      <c r="F53" s="39">
        <f>'A) Base RI'!X53</f>
        <v>-62.25</v>
      </c>
      <c r="G53" s="4">
        <f t="shared" si="0"/>
        <v>1279925.83</v>
      </c>
      <c r="H53" s="14">
        <f>+'A) Base RI'!E53</f>
        <v>0</v>
      </c>
      <c r="I53" s="14">
        <f>+'A) Base RI'!F53</f>
        <v>0</v>
      </c>
      <c r="J53" s="14">
        <f>+'A) Base RI'!G53+'A) Base RI'!H53</f>
        <v>-474189.5</v>
      </c>
      <c r="K53" s="14">
        <f>+'A) Base RI'!I53</f>
        <v>0</v>
      </c>
      <c r="L53" s="14">
        <f>+'A) Base RI'!J53</f>
        <v>2988.91</v>
      </c>
      <c r="M53" s="14">
        <f>+'A) Base RI'!K53</f>
        <v>40807</v>
      </c>
      <c r="N53" s="14">
        <f>+'A) Base RI'!Q53</f>
        <v>3439.5</v>
      </c>
      <c r="O53" s="14">
        <f t="shared" si="1"/>
        <v>379460.6</v>
      </c>
      <c r="P53" s="14">
        <f>+'A) Base RI'!L53</f>
        <v>379460.6</v>
      </c>
      <c r="Q53" s="42">
        <f>'A) Base RI'!Y53</f>
        <v>1</v>
      </c>
      <c r="R53" s="4">
        <f t="shared" si="2"/>
        <v>1232432.3400000001</v>
      </c>
      <c r="S53" s="41">
        <f>'A) Base RI'!T53</f>
        <v>46</v>
      </c>
      <c r="T53" s="4">
        <f t="shared" si="3"/>
        <v>812164.74000000011</v>
      </c>
      <c r="U53" s="4">
        <f t="shared" si="4"/>
        <v>26792.007391304349</v>
      </c>
      <c r="V53" s="14">
        <f>+'A) Base RI'!O53</f>
        <v>-23684.400000000001</v>
      </c>
      <c r="W53" s="14">
        <f>+'A) Base RI'!P53</f>
        <v>100222.25</v>
      </c>
      <c r="X53" s="14">
        <f>+'A) Base RI'!R53</f>
        <v>203293.8</v>
      </c>
      <c r="Y53" s="4">
        <f t="shared" si="5"/>
        <v>279831.65000000002</v>
      </c>
      <c r="Z53" s="14">
        <f>+'A) Base RI'!N53</f>
        <v>177330.05</v>
      </c>
      <c r="AA53" s="14">
        <f>'A) Base RI'!U53</f>
        <v>1043</v>
      </c>
    </row>
    <row r="54" spans="1:27" x14ac:dyDescent="0.25">
      <c r="A54" s="12">
        <f>'A) Base RI'!A54</f>
        <v>5483</v>
      </c>
      <c r="B54" s="40" t="str">
        <f>'A) Base RI'!B54</f>
        <v>Ferreyres</v>
      </c>
      <c r="C54" s="14">
        <f>'A) Base RI'!C54+'A) Base RI'!D54</f>
        <v>681779.83</v>
      </c>
      <c r="D54" s="14">
        <f>'A) Base RI'!V54</f>
        <v>-72.400000000000006</v>
      </c>
      <c r="E54" s="39">
        <f>'A) Base RI'!W54</f>
        <v>0</v>
      </c>
      <c r="F54" s="39">
        <f>'A) Base RI'!X54</f>
        <v>-423.63</v>
      </c>
      <c r="G54" s="4">
        <f t="shared" si="0"/>
        <v>681283.79999999993</v>
      </c>
      <c r="H54" s="14">
        <f>+'A) Base RI'!E54</f>
        <v>0</v>
      </c>
      <c r="I54" s="14">
        <f>+'A) Base RI'!F54</f>
        <v>0</v>
      </c>
      <c r="J54" s="14">
        <f>+'A) Base RI'!G54+'A) Base RI'!H54</f>
        <v>9642.9500000000007</v>
      </c>
      <c r="K54" s="14">
        <f>+'A) Base RI'!I54</f>
        <v>0</v>
      </c>
      <c r="L54" s="14">
        <f>+'A) Base RI'!J54</f>
        <v>3726.27</v>
      </c>
      <c r="M54" s="14">
        <f>+'A) Base RI'!K54</f>
        <v>175.5</v>
      </c>
      <c r="N54" s="14">
        <f>+'A) Base RI'!Q54</f>
        <v>0</v>
      </c>
      <c r="O54" s="14">
        <f t="shared" si="1"/>
        <v>47984.5</v>
      </c>
      <c r="P54" s="14">
        <f>+'A) Base RI'!L54</f>
        <v>47984.5</v>
      </c>
      <c r="Q54" s="42">
        <f>'A) Base RI'!Y54</f>
        <v>1</v>
      </c>
      <c r="R54" s="4">
        <f t="shared" si="2"/>
        <v>742813.0199999999</v>
      </c>
      <c r="S54" s="41">
        <f>'A) Base RI'!T54</f>
        <v>76</v>
      </c>
      <c r="T54" s="4">
        <f t="shared" si="3"/>
        <v>694653.0199999999</v>
      </c>
      <c r="U54" s="4">
        <f t="shared" si="4"/>
        <v>9773.8555263157887</v>
      </c>
      <c r="V54" s="14">
        <f>+'A) Base RI'!O54</f>
        <v>0</v>
      </c>
      <c r="W54" s="14">
        <f>+'A) Base RI'!P54</f>
        <v>9735</v>
      </c>
      <c r="X54" s="14">
        <f>+'A) Base RI'!R54</f>
        <v>0</v>
      </c>
      <c r="Y54" s="4">
        <f t="shared" si="5"/>
        <v>9735</v>
      </c>
      <c r="Z54" s="14">
        <f>+'A) Base RI'!N54</f>
        <v>0</v>
      </c>
      <c r="AA54" s="14">
        <f>'A) Base RI'!U54</f>
        <v>316</v>
      </c>
    </row>
    <row r="55" spans="1:27" x14ac:dyDescent="0.25">
      <c r="A55" s="12">
        <f>'A) Base RI'!A55</f>
        <v>5484</v>
      </c>
      <c r="B55" s="40" t="str">
        <f>'A) Base RI'!B55</f>
        <v>Gollion</v>
      </c>
      <c r="C55" s="14">
        <f>'A) Base RI'!C55+'A) Base RI'!D55</f>
        <v>1794896.57</v>
      </c>
      <c r="D55" s="14">
        <f>'A) Base RI'!V55</f>
        <v>-23421.48</v>
      </c>
      <c r="E55" s="39">
        <f>'A) Base RI'!W55</f>
        <v>0</v>
      </c>
      <c r="F55" s="39">
        <f>'A) Base RI'!X55</f>
        <v>-14.14</v>
      </c>
      <c r="G55" s="4">
        <f t="shared" si="0"/>
        <v>1771460.9500000002</v>
      </c>
      <c r="H55" s="14">
        <f>+'A) Base RI'!E55</f>
        <v>0</v>
      </c>
      <c r="I55" s="14">
        <f>+'A) Base RI'!F55</f>
        <v>0</v>
      </c>
      <c r="J55" s="14">
        <f>+'A) Base RI'!G55+'A) Base RI'!H55</f>
        <v>174298.85</v>
      </c>
      <c r="K55" s="14">
        <f>+'A) Base RI'!I55</f>
        <v>0</v>
      </c>
      <c r="L55" s="14">
        <f>+'A) Base RI'!J55</f>
        <v>57192.78</v>
      </c>
      <c r="M55" s="14">
        <f>+'A) Base RI'!K55</f>
        <v>4515.5</v>
      </c>
      <c r="N55" s="14">
        <f>+'A) Base RI'!Q55</f>
        <v>0</v>
      </c>
      <c r="O55" s="14">
        <f t="shared" si="1"/>
        <v>143247.29999999999</v>
      </c>
      <c r="P55" s="14">
        <f>+'A) Base RI'!L55</f>
        <v>143247.29999999999</v>
      </c>
      <c r="Q55" s="42">
        <f>'A) Base RI'!Y55</f>
        <v>1</v>
      </c>
      <c r="R55" s="4">
        <f t="shared" si="2"/>
        <v>2150715.3800000004</v>
      </c>
      <c r="S55" s="41">
        <f>'A) Base RI'!T55</f>
        <v>74</v>
      </c>
      <c r="T55" s="4">
        <f t="shared" si="3"/>
        <v>2002952.5800000003</v>
      </c>
      <c r="U55" s="4">
        <f t="shared" si="4"/>
        <v>29063.721351351356</v>
      </c>
      <c r="V55" s="14">
        <f>+'A) Base RI'!O55</f>
        <v>19542.599999999999</v>
      </c>
      <c r="W55" s="14">
        <f>+'A) Base RI'!P55</f>
        <v>170295.15</v>
      </c>
      <c r="X55" s="14">
        <f>+'A) Base RI'!R55</f>
        <v>13454.65</v>
      </c>
      <c r="Y55" s="4">
        <f t="shared" si="5"/>
        <v>203292.4</v>
      </c>
      <c r="Z55" s="14">
        <f>+'A) Base RI'!N55</f>
        <v>29146.95</v>
      </c>
      <c r="AA55" s="14">
        <f>'A) Base RI'!U55</f>
        <v>902</v>
      </c>
    </row>
    <row r="56" spans="1:27" x14ac:dyDescent="0.25">
      <c r="A56" s="12">
        <f>'A) Base RI'!A56</f>
        <v>5485</v>
      </c>
      <c r="B56" s="40" t="str">
        <f>'A) Base RI'!B56</f>
        <v>Grancy</v>
      </c>
      <c r="C56" s="14">
        <f>'A) Base RI'!C56+'A) Base RI'!D56</f>
        <v>971548.30999999994</v>
      </c>
      <c r="D56" s="14">
        <f>'A) Base RI'!V56</f>
        <v>-15477.86</v>
      </c>
      <c r="E56" s="39">
        <f>'A) Base RI'!W56</f>
        <v>0</v>
      </c>
      <c r="F56" s="39">
        <f>'A) Base RI'!X56</f>
        <v>-73.52</v>
      </c>
      <c r="G56" s="4">
        <f t="shared" si="0"/>
        <v>955996.92999999993</v>
      </c>
      <c r="H56" s="14">
        <f>+'A) Base RI'!E56</f>
        <v>0</v>
      </c>
      <c r="I56" s="14">
        <f>+'A) Base RI'!F56</f>
        <v>0</v>
      </c>
      <c r="J56" s="14">
        <f>+'A) Base RI'!G56+'A) Base RI'!H56</f>
        <v>18836.099999999999</v>
      </c>
      <c r="K56" s="14">
        <f>+'A) Base RI'!I56</f>
        <v>0</v>
      </c>
      <c r="L56" s="14">
        <f>+'A) Base RI'!J56</f>
        <v>13608.28</v>
      </c>
      <c r="M56" s="14">
        <f>+'A) Base RI'!K56</f>
        <v>0</v>
      </c>
      <c r="N56" s="14">
        <f>+'A) Base RI'!Q56</f>
        <v>0</v>
      </c>
      <c r="O56" s="14">
        <f t="shared" si="1"/>
        <v>66735.05</v>
      </c>
      <c r="P56" s="14">
        <f>+'A) Base RI'!L56</f>
        <v>66735.05</v>
      </c>
      <c r="Q56" s="42">
        <f>'A) Base RI'!Y56</f>
        <v>1</v>
      </c>
      <c r="R56" s="4">
        <f t="shared" si="2"/>
        <v>1055176.3599999999</v>
      </c>
      <c r="S56" s="41">
        <f>'A) Base RI'!T56</f>
        <v>70</v>
      </c>
      <c r="T56" s="4">
        <f t="shared" si="3"/>
        <v>988441.30999999994</v>
      </c>
      <c r="U56" s="4">
        <f t="shared" si="4"/>
        <v>15073.947999999999</v>
      </c>
      <c r="V56" s="14">
        <f>+'A) Base RI'!O56</f>
        <v>27651.4</v>
      </c>
      <c r="W56" s="14">
        <f>+'A) Base RI'!P56</f>
        <v>25932.5</v>
      </c>
      <c r="X56" s="14">
        <f>+'A) Base RI'!R56</f>
        <v>5992.5</v>
      </c>
      <c r="Y56" s="4">
        <f t="shared" si="5"/>
        <v>59576.4</v>
      </c>
      <c r="Z56" s="14">
        <f>+'A) Base RI'!N56</f>
        <v>7760.75</v>
      </c>
      <c r="AA56" s="14">
        <f>'A) Base RI'!U56</f>
        <v>408</v>
      </c>
    </row>
    <row r="57" spans="1:27" x14ac:dyDescent="0.25">
      <c r="A57" s="12">
        <f>'A) Base RI'!A57</f>
        <v>5486</v>
      </c>
      <c r="B57" s="40" t="str">
        <f>'A) Base RI'!B57</f>
        <v>L'Isle</v>
      </c>
      <c r="C57" s="14">
        <f>'A) Base RI'!C57+'A) Base RI'!D57</f>
        <v>1947730.63</v>
      </c>
      <c r="D57" s="14">
        <f>'A) Base RI'!V57</f>
        <v>-8831.39</v>
      </c>
      <c r="E57" s="39">
        <f>'A) Base RI'!W57</f>
        <v>0</v>
      </c>
      <c r="F57" s="39">
        <f>'A) Base RI'!X57</f>
        <v>0</v>
      </c>
      <c r="G57" s="4">
        <f t="shared" si="0"/>
        <v>1938899.24</v>
      </c>
      <c r="H57" s="14">
        <f>+'A) Base RI'!E57</f>
        <v>0</v>
      </c>
      <c r="I57" s="14">
        <f>+'A) Base RI'!F57</f>
        <v>0</v>
      </c>
      <c r="J57" s="14">
        <f>+'A) Base RI'!G57+'A) Base RI'!H57</f>
        <v>80286.850000000006</v>
      </c>
      <c r="K57" s="14">
        <f>+'A) Base RI'!I57</f>
        <v>45945.25</v>
      </c>
      <c r="L57" s="14">
        <f>+'A) Base RI'!J57</f>
        <v>24647.11</v>
      </c>
      <c r="M57" s="14">
        <f>+'A) Base RI'!K57</f>
        <v>6432</v>
      </c>
      <c r="N57" s="14">
        <f>+'A) Base RI'!Q57</f>
        <v>98.44</v>
      </c>
      <c r="O57" s="14">
        <f t="shared" si="1"/>
        <v>171119.65</v>
      </c>
      <c r="P57" s="14">
        <f>+'A) Base RI'!L57</f>
        <v>171119.65</v>
      </c>
      <c r="Q57" s="42">
        <f>'A) Base RI'!Y57</f>
        <v>1</v>
      </c>
      <c r="R57" s="4">
        <f t="shared" si="2"/>
        <v>2267428.54</v>
      </c>
      <c r="S57" s="41">
        <f>'A) Base RI'!T57</f>
        <v>76</v>
      </c>
      <c r="T57" s="4">
        <f t="shared" si="3"/>
        <v>2089876.8900000001</v>
      </c>
      <c r="U57" s="4">
        <f t="shared" si="4"/>
        <v>29834.586052631581</v>
      </c>
      <c r="V57" s="14">
        <f>+'A) Base RI'!O57</f>
        <v>9701.4</v>
      </c>
      <c r="W57" s="14">
        <f>+'A) Base RI'!P57</f>
        <v>105777.45</v>
      </c>
      <c r="X57" s="14">
        <f>+'A) Base RI'!R57</f>
        <v>47490.9</v>
      </c>
      <c r="Y57" s="4">
        <f t="shared" si="5"/>
        <v>162969.75</v>
      </c>
      <c r="Z57" s="14">
        <f>+'A) Base RI'!N57</f>
        <v>121802.3</v>
      </c>
      <c r="AA57" s="14">
        <f>'A) Base RI'!U57</f>
        <v>1033</v>
      </c>
    </row>
    <row r="58" spans="1:27" x14ac:dyDescent="0.25">
      <c r="A58" s="12">
        <f>'A) Base RI'!A58</f>
        <v>5487</v>
      </c>
      <c r="B58" s="40" t="str">
        <f>'A) Base RI'!B58</f>
        <v>Lussery-Villars</v>
      </c>
      <c r="C58" s="14">
        <f>'A) Base RI'!C58+'A) Base RI'!D58</f>
        <v>777409.75</v>
      </c>
      <c r="D58" s="14">
        <f>'A) Base RI'!V58</f>
        <v>-12172.16</v>
      </c>
      <c r="E58" s="39">
        <f>'A) Base RI'!W58</f>
        <v>0</v>
      </c>
      <c r="F58" s="39">
        <f>'A) Base RI'!X58</f>
        <v>-7.64</v>
      </c>
      <c r="G58" s="4">
        <f t="shared" si="0"/>
        <v>765229.95</v>
      </c>
      <c r="H58" s="14">
        <f>+'A) Base RI'!E58</f>
        <v>0</v>
      </c>
      <c r="I58" s="14">
        <f>+'A) Base RI'!F58</f>
        <v>0</v>
      </c>
      <c r="J58" s="14">
        <f>+'A) Base RI'!G58+'A) Base RI'!H58</f>
        <v>15796.7</v>
      </c>
      <c r="K58" s="14">
        <f>+'A) Base RI'!I58</f>
        <v>0</v>
      </c>
      <c r="L58" s="14">
        <f>+'A) Base RI'!J58</f>
        <v>30480.59</v>
      </c>
      <c r="M58" s="14">
        <f>+'A) Base RI'!K58</f>
        <v>1085.5</v>
      </c>
      <c r="N58" s="14">
        <f>+'A) Base RI'!Q58</f>
        <v>12725.49</v>
      </c>
      <c r="O58" s="14">
        <f t="shared" si="1"/>
        <v>68460.100000000006</v>
      </c>
      <c r="P58" s="14">
        <f>+'A) Base RI'!L58</f>
        <v>68460.100000000006</v>
      </c>
      <c r="Q58" s="42">
        <f>'A) Base RI'!Y58</f>
        <v>1</v>
      </c>
      <c r="R58" s="4">
        <f t="shared" si="2"/>
        <v>893778.32999999984</v>
      </c>
      <c r="S58" s="41">
        <f>'A) Base RI'!T58</f>
        <v>68</v>
      </c>
      <c r="T58" s="4">
        <f t="shared" si="3"/>
        <v>824232.72999999986</v>
      </c>
      <c r="U58" s="4">
        <f t="shared" si="4"/>
        <v>13143.798970588234</v>
      </c>
      <c r="V58" s="14">
        <f>+'A) Base RI'!O58</f>
        <v>0</v>
      </c>
      <c r="W58" s="14">
        <f>+'A) Base RI'!P58</f>
        <v>23207.5</v>
      </c>
      <c r="X58" s="14">
        <f>+'A) Base RI'!R58</f>
        <v>15248.35</v>
      </c>
      <c r="Y58" s="4">
        <f t="shared" si="5"/>
        <v>38455.85</v>
      </c>
      <c r="Z58" s="14">
        <f>+'A) Base RI'!N58</f>
        <v>3281.85</v>
      </c>
      <c r="AA58" s="14">
        <f>'A) Base RI'!U58</f>
        <v>462</v>
      </c>
    </row>
    <row r="59" spans="1:27" x14ac:dyDescent="0.25">
      <c r="A59" s="12">
        <f>'A) Base RI'!A59</f>
        <v>5488</v>
      </c>
      <c r="B59" s="40" t="str">
        <f>'A) Base RI'!B59</f>
        <v>Mauraz</v>
      </c>
      <c r="C59" s="14">
        <f>'A) Base RI'!C59+'A) Base RI'!D59</f>
        <v>117750.61000000002</v>
      </c>
      <c r="D59" s="14">
        <f>'A) Base RI'!V59</f>
        <v>-6553.04</v>
      </c>
      <c r="E59" s="39">
        <f>'A) Base RI'!W59</f>
        <v>0</v>
      </c>
      <c r="F59" s="39">
        <f>'A) Base RI'!X59</f>
        <v>0</v>
      </c>
      <c r="G59" s="4">
        <f t="shared" si="0"/>
        <v>111197.57000000002</v>
      </c>
      <c r="H59" s="14">
        <f>+'A) Base RI'!E59</f>
        <v>0</v>
      </c>
      <c r="I59" s="14">
        <f>+'A) Base RI'!F59</f>
        <v>0</v>
      </c>
      <c r="J59" s="14">
        <f>+'A) Base RI'!G59+'A) Base RI'!H59</f>
        <v>-909.19999999999993</v>
      </c>
      <c r="K59" s="14">
        <f>+'A) Base RI'!I59</f>
        <v>0</v>
      </c>
      <c r="L59" s="14">
        <f>+'A) Base RI'!J59</f>
        <v>0</v>
      </c>
      <c r="M59" s="14">
        <f>+'A) Base RI'!K59</f>
        <v>0</v>
      </c>
      <c r="N59" s="14">
        <f>+'A) Base RI'!Q59</f>
        <v>0</v>
      </c>
      <c r="O59" s="14">
        <f t="shared" si="1"/>
        <v>8474</v>
      </c>
      <c r="P59" s="14">
        <f>+'A) Base RI'!L59</f>
        <v>8474</v>
      </c>
      <c r="Q59" s="42">
        <f>'A) Base RI'!Y59</f>
        <v>1</v>
      </c>
      <c r="R59" s="4">
        <f t="shared" si="2"/>
        <v>118762.37000000002</v>
      </c>
      <c r="S59" s="41">
        <f>'A) Base RI'!T59</f>
        <v>74</v>
      </c>
      <c r="T59" s="4">
        <f t="shared" si="3"/>
        <v>110288.37000000002</v>
      </c>
      <c r="U59" s="4">
        <f t="shared" si="4"/>
        <v>1604.8968918918922</v>
      </c>
      <c r="V59" s="14">
        <f>+'A) Base RI'!O59</f>
        <v>0</v>
      </c>
      <c r="W59" s="14">
        <f>+'A) Base RI'!P59</f>
        <v>0</v>
      </c>
      <c r="X59" s="14">
        <f>+'A) Base RI'!R59</f>
        <v>0</v>
      </c>
      <c r="Y59" s="4">
        <f t="shared" si="5"/>
        <v>0</v>
      </c>
      <c r="Z59" s="14">
        <f>+'A) Base RI'!N59</f>
        <v>0</v>
      </c>
      <c r="AA59" s="14">
        <f>'A) Base RI'!U59</f>
        <v>53</v>
      </c>
    </row>
    <row r="60" spans="1:27" x14ac:dyDescent="0.25">
      <c r="A60" s="12">
        <f>'A) Base RI'!A60</f>
        <v>5489</v>
      </c>
      <c r="B60" s="40" t="str">
        <f>'A) Base RI'!B60</f>
        <v>Mex</v>
      </c>
      <c r="C60" s="14">
        <f>'A) Base RI'!C60+'A) Base RI'!D60</f>
        <v>2408235.48</v>
      </c>
      <c r="D60" s="14">
        <f>'A) Base RI'!V60</f>
        <v>-27562.59</v>
      </c>
      <c r="E60" s="39">
        <f>'A) Base RI'!W60</f>
        <v>0</v>
      </c>
      <c r="F60" s="39">
        <f>'A) Base RI'!X60</f>
        <v>-111.14</v>
      </c>
      <c r="G60" s="4">
        <f t="shared" si="0"/>
        <v>2380561.75</v>
      </c>
      <c r="H60" s="14">
        <f>+'A) Base RI'!E60</f>
        <v>0</v>
      </c>
      <c r="I60" s="14">
        <f>+'A) Base RI'!F60</f>
        <v>0</v>
      </c>
      <c r="J60" s="14">
        <f>+'A) Base RI'!G60+'A) Base RI'!H60</f>
        <v>131730.4</v>
      </c>
      <c r="K60" s="14">
        <f>+'A) Base RI'!I60</f>
        <v>0</v>
      </c>
      <c r="L60" s="14">
        <f>+'A) Base RI'!J60</f>
        <v>56247.63</v>
      </c>
      <c r="M60" s="14">
        <f>+'A) Base RI'!K60</f>
        <v>4261</v>
      </c>
      <c r="N60" s="14">
        <f>+'A) Base RI'!Q60</f>
        <v>23303.22</v>
      </c>
      <c r="O60" s="14">
        <f t="shared" si="1"/>
        <v>264916.2</v>
      </c>
      <c r="P60" s="14">
        <f>+'A) Base RI'!L60</f>
        <v>264916.2</v>
      </c>
      <c r="Q60" s="42">
        <f>'A) Base RI'!Y60</f>
        <v>1</v>
      </c>
      <c r="R60" s="4">
        <f t="shared" si="2"/>
        <v>2861020.2</v>
      </c>
      <c r="S60" s="41">
        <f>'A) Base RI'!T60</f>
        <v>61</v>
      </c>
      <c r="T60" s="4">
        <f t="shared" si="3"/>
        <v>2591843</v>
      </c>
      <c r="U60" s="4">
        <f t="shared" si="4"/>
        <v>46901.97049180328</v>
      </c>
      <c r="V60" s="14">
        <f>+'A) Base RI'!O60</f>
        <v>5029</v>
      </c>
      <c r="W60" s="14">
        <f>+'A) Base RI'!P60</f>
        <v>83567.199999999997</v>
      </c>
      <c r="X60" s="14">
        <f>+'A) Base RI'!R60</f>
        <v>36064.25</v>
      </c>
      <c r="Y60" s="4">
        <f t="shared" si="5"/>
        <v>124660.45</v>
      </c>
      <c r="Z60" s="14">
        <f>+'A) Base RI'!N60</f>
        <v>206830.25</v>
      </c>
      <c r="AA60" s="14">
        <f>'A) Base RI'!U60</f>
        <v>710</v>
      </c>
    </row>
    <row r="61" spans="1:27" x14ac:dyDescent="0.25">
      <c r="A61" s="12">
        <f>'A) Base RI'!A61</f>
        <v>5490</v>
      </c>
      <c r="B61" s="40" t="str">
        <f>'A) Base RI'!B61</f>
        <v>Moiry</v>
      </c>
      <c r="C61" s="14">
        <f>'A) Base RI'!C61+'A) Base RI'!D61</f>
        <v>557867.05000000005</v>
      </c>
      <c r="D61" s="14">
        <f>'A) Base RI'!V61</f>
        <v>-5895.97</v>
      </c>
      <c r="E61" s="39">
        <f>'A) Base RI'!W61</f>
        <v>0</v>
      </c>
      <c r="F61" s="39">
        <f>'A) Base RI'!X61</f>
        <v>-201.16</v>
      </c>
      <c r="G61" s="4">
        <f t="shared" si="0"/>
        <v>551769.92000000004</v>
      </c>
      <c r="H61" s="14">
        <f>+'A) Base RI'!E61</f>
        <v>0</v>
      </c>
      <c r="I61" s="14">
        <f>+'A) Base RI'!F61</f>
        <v>0</v>
      </c>
      <c r="J61" s="14">
        <f>+'A) Base RI'!G61+'A) Base RI'!H61</f>
        <v>11329.9</v>
      </c>
      <c r="K61" s="14">
        <f>+'A) Base RI'!I61</f>
        <v>0</v>
      </c>
      <c r="L61" s="14">
        <f>+'A) Base RI'!J61</f>
        <v>1952.59</v>
      </c>
      <c r="M61" s="14">
        <f>+'A) Base RI'!K61</f>
        <v>0</v>
      </c>
      <c r="N61" s="14">
        <f>+'A) Base RI'!Q61</f>
        <v>0</v>
      </c>
      <c r="O61" s="14">
        <f t="shared" si="1"/>
        <v>38067.699999999997</v>
      </c>
      <c r="P61" s="14">
        <f>+'A) Base RI'!L61</f>
        <v>38067.699999999997</v>
      </c>
      <c r="Q61" s="42">
        <f>'A) Base RI'!Y61</f>
        <v>1</v>
      </c>
      <c r="R61" s="4">
        <f t="shared" si="2"/>
        <v>603120.11</v>
      </c>
      <c r="S61" s="41">
        <f>'A) Base RI'!T61</f>
        <v>81</v>
      </c>
      <c r="T61" s="4">
        <f t="shared" si="3"/>
        <v>565052.41</v>
      </c>
      <c r="U61" s="4">
        <f t="shared" si="4"/>
        <v>7445.9272839506175</v>
      </c>
      <c r="V61" s="14">
        <f>+'A) Base RI'!O61</f>
        <v>0</v>
      </c>
      <c r="W61" s="14">
        <f>+'A) Base RI'!P61</f>
        <v>13533.55</v>
      </c>
      <c r="X61" s="14">
        <f>+'A) Base RI'!R61</f>
        <v>19728.05</v>
      </c>
      <c r="Y61" s="4">
        <f t="shared" si="5"/>
        <v>33261.599999999999</v>
      </c>
      <c r="Z61" s="14">
        <f>+'A) Base RI'!N61</f>
        <v>0</v>
      </c>
      <c r="AA61" s="14">
        <f>'A) Base RI'!U61</f>
        <v>304</v>
      </c>
    </row>
    <row r="62" spans="1:27" x14ac:dyDescent="0.25">
      <c r="A62" s="12">
        <f>'A) Base RI'!A62</f>
        <v>5491</v>
      </c>
      <c r="B62" s="40" t="str">
        <f>'A) Base RI'!B62</f>
        <v>Mont-la-Ville</v>
      </c>
      <c r="C62" s="14">
        <f>'A) Base RI'!C62+'A) Base RI'!D62</f>
        <v>603583.66999999993</v>
      </c>
      <c r="D62" s="14">
        <f>'A) Base RI'!V62</f>
        <v>-13431.11</v>
      </c>
      <c r="E62" s="39">
        <f>'A) Base RI'!W62</f>
        <v>0</v>
      </c>
      <c r="F62" s="39">
        <f>'A) Base RI'!X62</f>
        <v>0</v>
      </c>
      <c r="G62" s="4">
        <f t="shared" si="0"/>
        <v>590152.55999999994</v>
      </c>
      <c r="H62" s="14">
        <f>+'A) Base RI'!E62</f>
        <v>0</v>
      </c>
      <c r="I62" s="14">
        <f>+'A) Base RI'!F62</f>
        <v>0</v>
      </c>
      <c r="J62" s="14">
        <f>+'A) Base RI'!G62+'A) Base RI'!H62</f>
        <v>2339.65</v>
      </c>
      <c r="K62" s="14">
        <f>+'A) Base RI'!I62</f>
        <v>0</v>
      </c>
      <c r="L62" s="14">
        <f>+'A) Base RI'!J62</f>
        <v>10484.049999999999</v>
      </c>
      <c r="M62" s="14">
        <f>+'A) Base RI'!K62</f>
        <v>512.5</v>
      </c>
      <c r="N62" s="14">
        <f>+'A) Base RI'!Q62</f>
        <v>0</v>
      </c>
      <c r="O62" s="14">
        <f t="shared" si="1"/>
        <v>62000.1</v>
      </c>
      <c r="P62" s="14">
        <f>+'A) Base RI'!L62</f>
        <v>62000.1</v>
      </c>
      <c r="Q62" s="42">
        <f>'A) Base RI'!Y62</f>
        <v>1</v>
      </c>
      <c r="R62" s="4">
        <f t="shared" si="2"/>
        <v>665488.86</v>
      </c>
      <c r="S62" s="41">
        <f>'A) Base RI'!T62</f>
        <v>76</v>
      </c>
      <c r="T62" s="4">
        <f t="shared" si="3"/>
        <v>602976.26</v>
      </c>
      <c r="U62" s="4">
        <f t="shared" si="4"/>
        <v>8756.4323684210522</v>
      </c>
      <c r="V62" s="14">
        <f>+'A) Base RI'!O62</f>
        <v>16236</v>
      </c>
      <c r="W62" s="14">
        <f>+'A) Base RI'!P62</f>
        <v>44240.65</v>
      </c>
      <c r="X62" s="14">
        <f>+'A) Base RI'!R62</f>
        <v>55262.15</v>
      </c>
      <c r="Y62" s="4">
        <f t="shared" si="5"/>
        <v>115738.8</v>
      </c>
      <c r="Z62" s="14">
        <f>+'A) Base RI'!N62</f>
        <v>875.85</v>
      </c>
      <c r="AA62" s="14">
        <f>'A) Base RI'!U62</f>
        <v>402</v>
      </c>
    </row>
    <row r="63" spans="1:27" x14ac:dyDescent="0.25">
      <c r="A63" s="12">
        <f>'A) Base RI'!A63</f>
        <v>5492</v>
      </c>
      <c r="B63" s="40" t="str">
        <f>'A) Base RI'!B63</f>
        <v>Montricher</v>
      </c>
      <c r="C63" s="14">
        <f>'A) Base RI'!C63+'A) Base RI'!D63</f>
        <v>12494564.859999999</v>
      </c>
      <c r="D63" s="14">
        <f>'A) Base RI'!V63</f>
        <v>-13806.69</v>
      </c>
      <c r="E63" s="39">
        <f>'A) Base RI'!W63</f>
        <v>0</v>
      </c>
      <c r="F63" s="39">
        <f>'A) Base RI'!X63</f>
        <v>-5227.37</v>
      </c>
      <c r="G63" s="4">
        <f t="shared" si="0"/>
        <v>12475530.800000001</v>
      </c>
      <c r="H63" s="14">
        <f>+'A) Base RI'!E63</f>
        <v>0</v>
      </c>
      <c r="I63" s="14">
        <f>+'A) Base RI'!F63</f>
        <v>0</v>
      </c>
      <c r="J63" s="14">
        <f>+'A) Base RI'!G63+'A) Base RI'!H63</f>
        <v>141119.65</v>
      </c>
      <c r="K63" s="14">
        <f>+'A) Base RI'!I63</f>
        <v>0</v>
      </c>
      <c r="L63" s="14">
        <f>+'A) Base RI'!J63</f>
        <v>32490.799999999999</v>
      </c>
      <c r="M63" s="14">
        <f>+'A) Base RI'!K63</f>
        <v>32691</v>
      </c>
      <c r="N63" s="14">
        <f>+'A) Base RI'!Q63</f>
        <v>20595.77</v>
      </c>
      <c r="O63" s="14">
        <f t="shared" si="1"/>
        <v>215625.5</v>
      </c>
      <c r="P63" s="14">
        <f>+'A) Base RI'!L63</f>
        <v>64687.65</v>
      </c>
      <c r="Q63" s="42">
        <f>'A) Base RI'!Y63</f>
        <v>0.3</v>
      </c>
      <c r="R63" s="4">
        <f t="shared" si="2"/>
        <v>12918053.520000001</v>
      </c>
      <c r="S63" s="41">
        <f>'A) Base RI'!T63</f>
        <v>64</v>
      </c>
      <c r="T63" s="4">
        <f t="shared" si="3"/>
        <v>12669737.020000001</v>
      </c>
      <c r="U63" s="4">
        <f t="shared" si="4"/>
        <v>201844.58625000002</v>
      </c>
      <c r="V63" s="14">
        <f>+'A) Base RI'!O63</f>
        <v>23780.400000000001</v>
      </c>
      <c r="W63" s="14">
        <f>+'A) Base RI'!P63</f>
        <v>58300</v>
      </c>
      <c r="X63" s="14">
        <f>+'A) Base RI'!R63</f>
        <v>42505.35</v>
      </c>
      <c r="Y63" s="4">
        <f t="shared" si="5"/>
        <v>124585.75</v>
      </c>
      <c r="Z63" s="14">
        <f>+'A) Base RI'!N63</f>
        <v>1917</v>
      </c>
      <c r="AA63" s="14">
        <f>'A) Base RI'!U63</f>
        <v>951</v>
      </c>
    </row>
    <row r="64" spans="1:27" x14ac:dyDescent="0.25">
      <c r="A64" s="12">
        <f>'A) Base RI'!A64</f>
        <v>5493</v>
      </c>
      <c r="B64" s="40" t="str">
        <f>'A) Base RI'!B64</f>
        <v>Orny</v>
      </c>
      <c r="C64" s="14">
        <f>'A) Base RI'!C64+'A) Base RI'!D64</f>
        <v>644260.12</v>
      </c>
      <c r="D64" s="14">
        <f>'A) Base RI'!V64</f>
        <v>-55005.85</v>
      </c>
      <c r="E64" s="39">
        <f>'A) Base RI'!W64</f>
        <v>0</v>
      </c>
      <c r="F64" s="39">
        <f>'A) Base RI'!X64</f>
        <v>0</v>
      </c>
      <c r="G64" s="4">
        <f t="shared" si="0"/>
        <v>589254.27</v>
      </c>
      <c r="H64" s="14">
        <f>+'A) Base RI'!E64</f>
        <v>0</v>
      </c>
      <c r="I64" s="14">
        <f>+'A) Base RI'!F64</f>
        <v>0</v>
      </c>
      <c r="J64" s="14">
        <f>+'A) Base RI'!G64+'A) Base RI'!H64</f>
        <v>6831.0499999999993</v>
      </c>
      <c r="K64" s="14">
        <f>+'A) Base RI'!I64</f>
        <v>0</v>
      </c>
      <c r="L64" s="14">
        <f>+'A) Base RI'!J64</f>
        <v>13146.21</v>
      </c>
      <c r="M64" s="14">
        <f>+'A) Base RI'!K64</f>
        <v>133</v>
      </c>
      <c r="N64" s="14">
        <f>+'A) Base RI'!Q64</f>
        <v>3539.15</v>
      </c>
      <c r="O64" s="14">
        <f t="shared" si="1"/>
        <v>49871.538461538461</v>
      </c>
      <c r="P64" s="14">
        <f>+'A) Base RI'!L64</f>
        <v>32416.5</v>
      </c>
      <c r="Q64" s="42">
        <f>'A) Base RI'!Y64</f>
        <v>0.65</v>
      </c>
      <c r="R64" s="4">
        <f t="shared" si="2"/>
        <v>662775.21846153855</v>
      </c>
      <c r="S64" s="41">
        <f>'A) Base RI'!T64</f>
        <v>73</v>
      </c>
      <c r="T64" s="4">
        <f t="shared" si="3"/>
        <v>612770.68000000005</v>
      </c>
      <c r="U64" s="4">
        <f t="shared" si="4"/>
        <v>9079.112581664911</v>
      </c>
      <c r="V64" s="14">
        <f>+'A) Base RI'!O64</f>
        <v>224152.2</v>
      </c>
      <c r="W64" s="14">
        <f>+'A) Base RI'!P64</f>
        <v>0</v>
      </c>
      <c r="X64" s="14">
        <f>+'A) Base RI'!R64</f>
        <v>0</v>
      </c>
      <c r="Y64" s="4">
        <f t="shared" si="5"/>
        <v>224152.2</v>
      </c>
      <c r="Z64" s="14">
        <f>+'A) Base RI'!N64</f>
        <v>52227.15</v>
      </c>
      <c r="AA64" s="14">
        <f>'A) Base RI'!U64</f>
        <v>371</v>
      </c>
    </row>
    <row r="65" spans="1:27" x14ac:dyDescent="0.25">
      <c r="A65" s="12">
        <f>'A) Base RI'!A65</f>
        <v>5494</v>
      </c>
      <c r="B65" s="40" t="str">
        <f>'A) Base RI'!B65</f>
        <v>Pampigny</v>
      </c>
      <c r="C65" s="14">
        <f>'A) Base RI'!C65+'A) Base RI'!D65</f>
        <v>2462835.0299999998</v>
      </c>
      <c r="D65" s="14">
        <f>'A) Base RI'!V65</f>
        <v>-28008.05</v>
      </c>
      <c r="E65" s="39">
        <f>'A) Base RI'!W65</f>
        <v>0</v>
      </c>
      <c r="F65" s="39">
        <f>'A) Base RI'!X65</f>
        <v>-130.6</v>
      </c>
      <c r="G65" s="4">
        <f t="shared" si="0"/>
        <v>2434696.38</v>
      </c>
      <c r="H65" s="14">
        <f>+'A) Base RI'!E65</f>
        <v>0</v>
      </c>
      <c r="I65" s="14">
        <f>+'A) Base RI'!F65</f>
        <v>0</v>
      </c>
      <c r="J65" s="14">
        <f>+'A) Base RI'!G65+'A) Base RI'!H65</f>
        <v>64170.15</v>
      </c>
      <c r="K65" s="14">
        <f>+'A) Base RI'!I65</f>
        <v>0</v>
      </c>
      <c r="L65" s="14">
        <f>+'A) Base RI'!J65</f>
        <v>42897.66</v>
      </c>
      <c r="M65" s="14">
        <f>+'A) Base RI'!K65</f>
        <v>2601</v>
      </c>
      <c r="N65" s="14">
        <f>+'A) Base RI'!Q65</f>
        <v>16337.48</v>
      </c>
      <c r="O65" s="14">
        <f t="shared" si="1"/>
        <v>199146.76190476189</v>
      </c>
      <c r="P65" s="14">
        <f>+'A) Base RI'!L65</f>
        <v>209104.1</v>
      </c>
      <c r="Q65" s="42">
        <f>'A) Base RI'!Y65</f>
        <v>1.05</v>
      </c>
      <c r="R65" s="4">
        <f t="shared" si="2"/>
        <v>2759849.4319047621</v>
      </c>
      <c r="S65" s="41">
        <f>'A) Base RI'!T65</f>
        <v>75</v>
      </c>
      <c r="T65" s="4">
        <f t="shared" si="3"/>
        <v>2558101.67</v>
      </c>
      <c r="U65" s="4">
        <f t="shared" si="4"/>
        <v>36797.992425396827</v>
      </c>
      <c r="V65" s="14">
        <f>+'A) Base RI'!O65</f>
        <v>117664.4</v>
      </c>
      <c r="W65" s="14">
        <f>+'A) Base RI'!P65</f>
        <v>58073</v>
      </c>
      <c r="X65" s="14">
        <f>+'A) Base RI'!R65</f>
        <v>40662.35</v>
      </c>
      <c r="Y65" s="4">
        <f t="shared" si="5"/>
        <v>216399.75</v>
      </c>
      <c r="Z65" s="14">
        <f>+'A) Base RI'!N65</f>
        <v>21414.7</v>
      </c>
      <c r="AA65" s="14">
        <f>'A) Base RI'!U65</f>
        <v>1116</v>
      </c>
    </row>
    <row r="66" spans="1:27" x14ac:dyDescent="0.25">
      <c r="A66" s="12">
        <f>'A) Base RI'!A66</f>
        <v>5495</v>
      </c>
      <c r="B66" s="40" t="str">
        <f>'A) Base RI'!B66</f>
        <v>Penthalaz</v>
      </c>
      <c r="C66" s="14">
        <f>'A) Base RI'!C66+'A) Base RI'!D66</f>
        <v>6128829.959999999</v>
      </c>
      <c r="D66" s="14">
        <f>'A) Base RI'!V66</f>
        <v>-120476.32</v>
      </c>
      <c r="E66" s="39">
        <f>'A) Base RI'!W66</f>
        <v>0</v>
      </c>
      <c r="F66" s="39">
        <f>'A) Base RI'!X66</f>
        <v>-280.22000000000003</v>
      </c>
      <c r="G66" s="4">
        <f t="shared" si="0"/>
        <v>6008073.419999999</v>
      </c>
      <c r="H66" s="14">
        <f>+'A) Base RI'!E66</f>
        <v>0</v>
      </c>
      <c r="I66" s="14">
        <f>+'A) Base RI'!F66</f>
        <v>0</v>
      </c>
      <c r="J66" s="14">
        <f>+'A) Base RI'!G66+'A) Base RI'!H66</f>
        <v>479300.45</v>
      </c>
      <c r="K66" s="14">
        <f>+'A) Base RI'!I66</f>
        <v>41780.25</v>
      </c>
      <c r="L66" s="14">
        <f>+'A) Base RI'!J66</f>
        <v>244727.84</v>
      </c>
      <c r="M66" s="14">
        <f>+'A) Base RI'!K66</f>
        <v>73878.5</v>
      </c>
      <c r="N66" s="14">
        <f>+'A) Base RI'!Q66</f>
        <v>24248.82</v>
      </c>
      <c r="O66" s="14">
        <f t="shared" si="1"/>
        <v>486256.8</v>
      </c>
      <c r="P66" s="14">
        <f>+'A) Base RI'!L66</f>
        <v>486256.8</v>
      </c>
      <c r="Q66" s="42">
        <f>'A) Base RI'!Y66</f>
        <v>1</v>
      </c>
      <c r="R66" s="4">
        <f t="shared" si="2"/>
        <v>7358266.0799999991</v>
      </c>
      <c r="S66" s="41">
        <f>'A) Base RI'!T66</f>
        <v>74</v>
      </c>
      <c r="T66" s="4">
        <f t="shared" si="3"/>
        <v>6798130.7799999993</v>
      </c>
      <c r="U66" s="4">
        <f t="shared" si="4"/>
        <v>99436.02810810809</v>
      </c>
      <c r="V66" s="14">
        <f>+'A) Base RI'!O66</f>
        <v>75320</v>
      </c>
      <c r="W66" s="14">
        <f>+'A) Base RI'!P66</f>
        <v>79030.850000000006</v>
      </c>
      <c r="X66" s="14">
        <f>+'A) Base RI'!R66</f>
        <v>76468.800000000003</v>
      </c>
      <c r="Y66" s="4">
        <f t="shared" si="5"/>
        <v>230819.65000000002</v>
      </c>
      <c r="Z66" s="14">
        <f>+'A) Base RI'!N66</f>
        <v>168264.7</v>
      </c>
      <c r="AA66" s="14">
        <f>'A) Base RI'!U66</f>
        <v>3252</v>
      </c>
    </row>
    <row r="67" spans="1:27" x14ac:dyDescent="0.25">
      <c r="A67" s="12">
        <f>'A) Base RI'!A67</f>
        <v>5496</v>
      </c>
      <c r="B67" s="40" t="str">
        <f>'A) Base RI'!B67</f>
        <v>Penthaz</v>
      </c>
      <c r="C67" s="14">
        <f>'A) Base RI'!C67+'A) Base RI'!D67</f>
        <v>3239018.33</v>
      </c>
      <c r="D67" s="14">
        <f>'A) Base RI'!V67</f>
        <v>-32738.97</v>
      </c>
      <c r="E67" s="39">
        <f>'A) Base RI'!W67</f>
        <v>0</v>
      </c>
      <c r="F67" s="39">
        <f>'A) Base RI'!X67</f>
        <v>-1344.63</v>
      </c>
      <c r="G67" s="4">
        <f t="shared" si="0"/>
        <v>3204934.73</v>
      </c>
      <c r="H67" s="14">
        <f>+'A) Base RI'!E67</f>
        <v>0</v>
      </c>
      <c r="I67" s="14">
        <f>+'A) Base RI'!F67</f>
        <v>0</v>
      </c>
      <c r="J67" s="14">
        <f>+'A) Base RI'!G67+'A) Base RI'!H67</f>
        <v>156623</v>
      </c>
      <c r="K67" s="14">
        <f>+'A) Base RI'!I67</f>
        <v>0</v>
      </c>
      <c r="L67" s="14">
        <f>+'A) Base RI'!J67</f>
        <v>76022.87</v>
      </c>
      <c r="M67" s="14">
        <f>+'A) Base RI'!K67</f>
        <v>15258.5</v>
      </c>
      <c r="N67" s="14">
        <f>+'A) Base RI'!Q67</f>
        <v>14968.11</v>
      </c>
      <c r="O67" s="14">
        <f t="shared" si="1"/>
        <v>288493.75</v>
      </c>
      <c r="P67" s="14">
        <f>+'A) Base RI'!L67</f>
        <v>288493.75</v>
      </c>
      <c r="Q67" s="42">
        <f>'A) Base RI'!Y67</f>
        <v>1</v>
      </c>
      <c r="R67" s="4">
        <f t="shared" si="2"/>
        <v>3756300.96</v>
      </c>
      <c r="S67" s="41">
        <f>'A) Base RI'!T67</f>
        <v>71</v>
      </c>
      <c r="T67" s="4">
        <f t="shared" si="3"/>
        <v>3452548.71</v>
      </c>
      <c r="U67" s="4">
        <f t="shared" si="4"/>
        <v>52905.64732394366</v>
      </c>
      <c r="V67" s="14">
        <f>+'A) Base RI'!O67</f>
        <v>13.2</v>
      </c>
      <c r="W67" s="14">
        <f>+'A) Base RI'!P67</f>
        <v>84712.05</v>
      </c>
      <c r="X67" s="14">
        <f>+'A) Base RI'!R67</f>
        <v>24979.8</v>
      </c>
      <c r="Y67" s="4">
        <f t="shared" si="5"/>
        <v>109705.05</v>
      </c>
      <c r="Z67" s="14">
        <f>+'A) Base RI'!N67</f>
        <v>84768.55</v>
      </c>
      <c r="AA67" s="14">
        <f>'A) Base RI'!U67</f>
        <v>1703</v>
      </c>
    </row>
    <row r="68" spans="1:27" x14ac:dyDescent="0.25">
      <c r="A68" s="12">
        <f>'A) Base RI'!A68</f>
        <v>5497</v>
      </c>
      <c r="B68" s="40" t="str">
        <f>'A) Base RI'!B68</f>
        <v>Pompaples</v>
      </c>
      <c r="C68" s="14">
        <f>'A) Base RI'!C68+'A) Base RI'!D68</f>
        <v>1290550.42</v>
      </c>
      <c r="D68" s="14">
        <f>'A) Base RI'!V68</f>
        <v>-38479.18</v>
      </c>
      <c r="E68" s="39">
        <f>'A) Base RI'!W68</f>
        <v>0</v>
      </c>
      <c r="F68" s="39">
        <f>'A) Base RI'!X68</f>
        <v>-7.73</v>
      </c>
      <c r="G68" s="4">
        <f t="shared" si="0"/>
        <v>1252063.51</v>
      </c>
      <c r="H68" s="14">
        <f>+'A) Base RI'!E68</f>
        <v>0</v>
      </c>
      <c r="I68" s="14">
        <f>+'A) Base RI'!F68</f>
        <v>0</v>
      </c>
      <c r="J68" s="14">
        <f>+'A) Base RI'!G68+'A) Base RI'!H68</f>
        <v>12354.85</v>
      </c>
      <c r="K68" s="14">
        <f>+'A) Base RI'!I68</f>
        <v>0</v>
      </c>
      <c r="L68" s="14">
        <f>+'A) Base RI'!J68</f>
        <v>62153.62</v>
      </c>
      <c r="M68" s="14">
        <f>+'A) Base RI'!K68</f>
        <v>6367.5</v>
      </c>
      <c r="N68" s="14">
        <f>+'A) Base RI'!Q68</f>
        <v>15082.56</v>
      </c>
      <c r="O68" s="14">
        <f t="shared" si="1"/>
        <v>121970.1</v>
      </c>
      <c r="P68" s="14">
        <f>+'A) Base RI'!L68</f>
        <v>121970.1</v>
      </c>
      <c r="Q68" s="42">
        <f>'A) Base RI'!Y68</f>
        <v>1</v>
      </c>
      <c r="R68" s="4">
        <f t="shared" si="2"/>
        <v>1469992.1400000004</v>
      </c>
      <c r="S68" s="41">
        <f>'A) Base RI'!T68</f>
        <v>66</v>
      </c>
      <c r="T68" s="4">
        <f t="shared" si="3"/>
        <v>1341654.5400000003</v>
      </c>
      <c r="U68" s="4">
        <f t="shared" si="4"/>
        <v>22272.608181818188</v>
      </c>
      <c r="V68" s="14">
        <f>+'A) Base RI'!O68</f>
        <v>129693</v>
      </c>
      <c r="W68" s="14">
        <f>+'A) Base RI'!P68</f>
        <v>49863.7</v>
      </c>
      <c r="X68" s="14">
        <f>+'A) Base RI'!R68</f>
        <v>13534.7</v>
      </c>
      <c r="Y68" s="4">
        <f t="shared" si="5"/>
        <v>193091.40000000002</v>
      </c>
      <c r="Z68" s="14">
        <f>+'A) Base RI'!N68</f>
        <v>245491.55</v>
      </c>
      <c r="AA68" s="14">
        <f>'A) Base RI'!U68</f>
        <v>859</v>
      </c>
    </row>
    <row r="69" spans="1:27" x14ac:dyDescent="0.25">
      <c r="A69" s="12">
        <f>'A) Base RI'!A69</f>
        <v>5498</v>
      </c>
      <c r="B69" s="40" t="str">
        <f>'A) Base RI'!B69</f>
        <v>La Sarraz</v>
      </c>
      <c r="C69" s="14">
        <f>'A) Base RI'!C69+'A) Base RI'!D69</f>
        <v>4206215.4799999995</v>
      </c>
      <c r="D69" s="14">
        <f>'A) Base RI'!V69</f>
        <v>-50263.13</v>
      </c>
      <c r="E69" s="39">
        <f>'A) Base RI'!W69</f>
        <v>0</v>
      </c>
      <c r="F69" s="39">
        <f>'A) Base RI'!X69</f>
        <v>-12.78</v>
      </c>
      <c r="G69" s="4">
        <f t="shared" si="0"/>
        <v>4155939.57</v>
      </c>
      <c r="H69" s="14">
        <f>+'A) Base RI'!E69</f>
        <v>0</v>
      </c>
      <c r="I69" s="14">
        <f>+'A) Base RI'!F69</f>
        <v>0</v>
      </c>
      <c r="J69" s="14">
        <f>+'A) Base RI'!G69+'A) Base RI'!H69</f>
        <v>164603.9</v>
      </c>
      <c r="K69" s="14">
        <f>+'A) Base RI'!I69</f>
        <v>0</v>
      </c>
      <c r="L69" s="14">
        <f>+'A) Base RI'!J69</f>
        <v>146654.28</v>
      </c>
      <c r="M69" s="14">
        <f>+'A) Base RI'!K69</f>
        <v>20025</v>
      </c>
      <c r="N69" s="14">
        <f>+'A) Base RI'!Q69</f>
        <v>32354.06</v>
      </c>
      <c r="O69" s="14">
        <f t="shared" si="1"/>
        <v>351528.05</v>
      </c>
      <c r="P69" s="14">
        <f>+'A) Base RI'!L69</f>
        <v>351528.05</v>
      </c>
      <c r="Q69" s="42">
        <f>'A) Base RI'!Y69</f>
        <v>1</v>
      </c>
      <c r="R69" s="4">
        <f t="shared" si="2"/>
        <v>4871104.8599999994</v>
      </c>
      <c r="S69" s="41">
        <f>'A) Base RI'!T69</f>
        <v>66</v>
      </c>
      <c r="T69" s="4">
        <f t="shared" si="3"/>
        <v>4499551.8099999996</v>
      </c>
      <c r="U69" s="4">
        <f t="shared" si="4"/>
        <v>73804.61909090908</v>
      </c>
      <c r="V69" s="14">
        <f>+'A) Base RI'!O69</f>
        <v>50753.8</v>
      </c>
      <c r="W69" s="14">
        <f>+'A) Base RI'!P69</f>
        <v>102946.35</v>
      </c>
      <c r="X69" s="14">
        <f>+'A) Base RI'!R69</f>
        <v>147553.1</v>
      </c>
      <c r="Y69" s="4">
        <f t="shared" si="5"/>
        <v>301253.25</v>
      </c>
      <c r="Z69" s="14">
        <f>+'A) Base RI'!N69</f>
        <v>77197.350000000006</v>
      </c>
      <c r="AA69" s="14">
        <f>'A) Base RI'!U69</f>
        <v>2567</v>
      </c>
    </row>
    <row r="70" spans="1:27" x14ac:dyDescent="0.25">
      <c r="A70" s="12">
        <f>'A) Base RI'!A70</f>
        <v>5499</v>
      </c>
      <c r="B70" s="40" t="str">
        <f>'A) Base RI'!B70</f>
        <v>Senarclens</v>
      </c>
      <c r="C70" s="14">
        <f>'A) Base RI'!C70+'A) Base RI'!D70</f>
        <v>1135072.6499999999</v>
      </c>
      <c r="D70" s="14">
        <f>'A) Base RI'!V70</f>
        <v>-122.02</v>
      </c>
      <c r="E70" s="39">
        <f>'A) Base RI'!W70</f>
        <v>0</v>
      </c>
      <c r="F70" s="39">
        <f>'A) Base RI'!X70</f>
        <v>-486.9</v>
      </c>
      <c r="G70" s="4">
        <f t="shared" si="0"/>
        <v>1134463.73</v>
      </c>
      <c r="H70" s="14">
        <f>+'A) Base RI'!E70</f>
        <v>0</v>
      </c>
      <c r="I70" s="14">
        <f>+'A) Base RI'!F70</f>
        <v>0</v>
      </c>
      <c r="J70" s="14">
        <f>+'A) Base RI'!G70+'A) Base RI'!H70</f>
        <v>35790.9</v>
      </c>
      <c r="K70" s="14">
        <f>+'A) Base RI'!I70</f>
        <v>0</v>
      </c>
      <c r="L70" s="14">
        <f>+'A) Base RI'!J70</f>
        <v>20063.439999999999</v>
      </c>
      <c r="M70" s="14">
        <f>+'A) Base RI'!K70</f>
        <v>0</v>
      </c>
      <c r="N70" s="14">
        <f>+'A) Base RI'!Q70</f>
        <v>0</v>
      </c>
      <c r="O70" s="14">
        <f t="shared" si="1"/>
        <v>82818.600000000006</v>
      </c>
      <c r="P70" s="14">
        <f>+'A) Base RI'!L70</f>
        <v>82818.600000000006</v>
      </c>
      <c r="Q70" s="42">
        <f>'A) Base RI'!Y70</f>
        <v>1</v>
      </c>
      <c r="R70" s="4">
        <f t="shared" si="2"/>
        <v>1273136.67</v>
      </c>
      <c r="S70" s="41">
        <f>'A) Base RI'!T70</f>
        <v>68.5</v>
      </c>
      <c r="T70" s="4">
        <f t="shared" si="3"/>
        <v>1190318.0699999998</v>
      </c>
      <c r="U70" s="4">
        <f t="shared" si="4"/>
        <v>18585.936788321167</v>
      </c>
      <c r="V70" s="14">
        <f>+'A) Base RI'!O70</f>
        <v>29227.3</v>
      </c>
      <c r="W70" s="14">
        <f>+'A) Base RI'!P70</f>
        <v>45346.25</v>
      </c>
      <c r="X70" s="14">
        <f>+'A) Base RI'!R70</f>
        <v>34854.449999999997</v>
      </c>
      <c r="Y70" s="4">
        <f t="shared" si="5"/>
        <v>109428</v>
      </c>
      <c r="Z70" s="14">
        <f>+'A) Base RI'!N70</f>
        <v>12062.9</v>
      </c>
      <c r="AA70" s="14">
        <f>'A) Base RI'!U70</f>
        <v>459</v>
      </c>
    </row>
    <row r="71" spans="1:27" x14ac:dyDescent="0.25">
      <c r="A71" s="12">
        <f>'A) Base RI'!A71</f>
        <v>5500</v>
      </c>
      <c r="B71" s="40" t="str">
        <f>'A) Base RI'!B71</f>
        <v>Sévery</v>
      </c>
      <c r="C71" s="14">
        <f>'A) Base RI'!C71+'A) Base RI'!D71</f>
        <v>557701.30000000005</v>
      </c>
      <c r="D71" s="14">
        <f>'A) Base RI'!V71</f>
        <v>-5206.53</v>
      </c>
      <c r="E71" s="39">
        <f>'A) Base RI'!W71</f>
        <v>0</v>
      </c>
      <c r="F71" s="39">
        <f>'A) Base RI'!X71</f>
        <v>-6.37</v>
      </c>
      <c r="G71" s="4">
        <f t="shared" si="0"/>
        <v>552488.4</v>
      </c>
      <c r="H71" s="14">
        <f>+'A) Base RI'!E71</f>
        <v>0</v>
      </c>
      <c r="I71" s="14">
        <f>+'A) Base RI'!F71</f>
        <v>0</v>
      </c>
      <c r="J71" s="14">
        <f>+'A) Base RI'!G71+'A) Base RI'!H71</f>
        <v>6919.2000000000007</v>
      </c>
      <c r="K71" s="14">
        <f>+'A) Base RI'!I71</f>
        <v>0</v>
      </c>
      <c r="L71" s="14">
        <f>+'A) Base RI'!J71</f>
        <v>8896.19</v>
      </c>
      <c r="M71" s="14">
        <f>+'A) Base RI'!K71</f>
        <v>38.5</v>
      </c>
      <c r="N71" s="14">
        <f>+'A) Base RI'!Q71</f>
        <v>2344.79</v>
      </c>
      <c r="O71" s="14">
        <f t="shared" si="1"/>
        <v>39498.125</v>
      </c>
      <c r="P71" s="14">
        <f>+'A) Base RI'!L71</f>
        <v>47397.75</v>
      </c>
      <c r="Q71" s="42">
        <f>'A) Base RI'!Y71</f>
        <v>1.2</v>
      </c>
      <c r="R71" s="4">
        <f t="shared" si="2"/>
        <v>610185.20499999996</v>
      </c>
      <c r="S71" s="41">
        <f>'A) Base RI'!T71</f>
        <v>76</v>
      </c>
      <c r="T71" s="4">
        <f t="shared" si="3"/>
        <v>570648.57999999996</v>
      </c>
      <c r="U71" s="4">
        <f t="shared" si="4"/>
        <v>8028.7526973684207</v>
      </c>
      <c r="V71" s="14">
        <f>+'A) Base RI'!O71</f>
        <v>0</v>
      </c>
      <c r="W71" s="14">
        <f>+'A) Base RI'!P71</f>
        <v>11495</v>
      </c>
      <c r="X71" s="14">
        <f>+'A) Base RI'!R71</f>
        <v>0</v>
      </c>
      <c r="Y71" s="4">
        <f t="shared" si="5"/>
        <v>11495</v>
      </c>
      <c r="Z71" s="14">
        <f>+'A) Base RI'!N71</f>
        <v>4855.1499999999996</v>
      </c>
      <c r="AA71" s="14">
        <f>'A) Base RI'!U71</f>
        <v>243</v>
      </c>
    </row>
    <row r="72" spans="1:27" x14ac:dyDescent="0.25">
      <c r="A72" s="12">
        <f>'A) Base RI'!A72</f>
        <v>5501</v>
      </c>
      <c r="B72" s="40" t="str">
        <f>'A) Base RI'!B72</f>
        <v>Sullens</v>
      </c>
      <c r="C72" s="14">
        <f>'A) Base RI'!C72+'A) Base RI'!D72</f>
        <v>2194812.87</v>
      </c>
      <c r="D72" s="14">
        <f>'A) Base RI'!V72</f>
        <v>-4827.21</v>
      </c>
      <c r="E72" s="39">
        <f>'A) Base RI'!W72</f>
        <v>0</v>
      </c>
      <c r="F72" s="39">
        <f>'A) Base RI'!X72</f>
        <v>-1069.06</v>
      </c>
      <c r="G72" s="4">
        <f t="shared" ref="G72:G135" si="6">SUM(C72:F72)</f>
        <v>2188916.6</v>
      </c>
      <c r="H72" s="14">
        <f>+'A) Base RI'!E72</f>
        <v>0</v>
      </c>
      <c r="I72" s="14">
        <f>+'A) Base RI'!F72</f>
        <v>0</v>
      </c>
      <c r="J72" s="14">
        <f>+'A) Base RI'!G72+'A) Base RI'!H72</f>
        <v>35069.4</v>
      </c>
      <c r="K72" s="14">
        <f>+'A) Base RI'!I72</f>
        <v>38474.65</v>
      </c>
      <c r="L72" s="14">
        <f>+'A) Base RI'!J72</f>
        <v>49659.64</v>
      </c>
      <c r="M72" s="14">
        <f>+'A) Base RI'!K72</f>
        <v>-3875</v>
      </c>
      <c r="N72" s="14">
        <f>+'A) Base RI'!Q72</f>
        <v>6823.52</v>
      </c>
      <c r="O72" s="14">
        <f t="shared" ref="O72:O135" si="7">(P72/Q72)*1</f>
        <v>186566.7</v>
      </c>
      <c r="P72" s="14">
        <f>+'A) Base RI'!L72</f>
        <v>186566.7</v>
      </c>
      <c r="Q72" s="42">
        <f>'A) Base RI'!Y72</f>
        <v>1</v>
      </c>
      <c r="R72" s="4">
        <f t="shared" ref="R72:R135" si="8">SUM(G72:O72)</f>
        <v>2501635.5100000002</v>
      </c>
      <c r="S72" s="41">
        <f>'A) Base RI'!T72</f>
        <v>70</v>
      </c>
      <c r="T72" s="4">
        <f t="shared" ref="T72:T135" si="9">(G72+H72+J72+K72+L72+N72)</f>
        <v>2318943.81</v>
      </c>
      <c r="U72" s="4">
        <f t="shared" ref="U72:U135" si="10">R72/S72</f>
        <v>35737.650142857143</v>
      </c>
      <c r="V72" s="14">
        <f>+'A) Base RI'!O72</f>
        <v>99446.8</v>
      </c>
      <c r="W72" s="14">
        <f>+'A) Base RI'!P72</f>
        <v>187937.5</v>
      </c>
      <c r="X72" s="14">
        <f>+'A) Base RI'!R72</f>
        <v>57275.95</v>
      </c>
      <c r="Y72" s="4">
        <f t="shared" ref="Y72:Y135" si="11">SUM(V72:X72)</f>
        <v>344660.25</v>
      </c>
      <c r="Z72" s="14">
        <f>+'A) Base RI'!N72</f>
        <v>0</v>
      </c>
      <c r="AA72" s="14">
        <f>'A) Base RI'!U72</f>
        <v>978</v>
      </c>
    </row>
    <row r="73" spans="1:27" x14ac:dyDescent="0.25">
      <c r="A73" s="12">
        <f>'A) Base RI'!A73</f>
        <v>5503</v>
      </c>
      <c r="B73" s="40" t="str">
        <f>'A) Base RI'!B73</f>
        <v>Vufflens-la-Ville</v>
      </c>
      <c r="C73" s="14">
        <f>'A) Base RI'!C73+'A) Base RI'!D73</f>
        <v>3421165.89</v>
      </c>
      <c r="D73" s="14">
        <f>'A) Base RI'!V73</f>
        <v>-25518.639999999999</v>
      </c>
      <c r="E73" s="39">
        <f>'A) Base RI'!W73</f>
        <v>0</v>
      </c>
      <c r="F73" s="39">
        <f>'A) Base RI'!X73</f>
        <v>-186.91</v>
      </c>
      <c r="G73" s="4">
        <f t="shared" si="6"/>
        <v>3395460.34</v>
      </c>
      <c r="H73" s="14">
        <f>+'A) Base RI'!E73</f>
        <v>0</v>
      </c>
      <c r="I73" s="14">
        <f>+'A) Base RI'!F73</f>
        <v>0</v>
      </c>
      <c r="J73" s="14">
        <f>+'A) Base RI'!G73+'A) Base RI'!H73</f>
        <v>528516.65</v>
      </c>
      <c r="K73" s="14">
        <f>+'A) Base RI'!I73</f>
        <v>0</v>
      </c>
      <c r="L73" s="14">
        <f>+'A) Base RI'!J73</f>
        <v>89806.16</v>
      </c>
      <c r="M73" s="14">
        <f>+'A) Base RI'!K73</f>
        <v>10842</v>
      </c>
      <c r="N73" s="14">
        <f>+'A) Base RI'!Q73</f>
        <v>3633.85</v>
      </c>
      <c r="O73" s="14">
        <f t="shared" si="7"/>
        <v>321894.58333333337</v>
      </c>
      <c r="P73" s="14">
        <f>+'A) Base RI'!L73</f>
        <v>386273.5</v>
      </c>
      <c r="Q73" s="42">
        <f>'A) Base RI'!Y73</f>
        <v>1.2</v>
      </c>
      <c r="R73" s="4">
        <f t="shared" si="8"/>
        <v>4350153.583333333</v>
      </c>
      <c r="S73" s="41">
        <f>'A) Base RI'!T73</f>
        <v>67</v>
      </c>
      <c r="T73" s="4">
        <f t="shared" si="9"/>
        <v>4017417</v>
      </c>
      <c r="U73" s="4">
        <f t="shared" si="10"/>
        <v>64927.66542288557</v>
      </c>
      <c r="V73" s="14">
        <f>+'A) Base RI'!O73</f>
        <v>11301.7</v>
      </c>
      <c r="W73" s="14">
        <f>+'A) Base RI'!P73</f>
        <v>476178.2</v>
      </c>
      <c r="X73" s="14">
        <f>+'A) Base RI'!R73</f>
        <v>77878.8</v>
      </c>
      <c r="Y73" s="4">
        <f t="shared" si="11"/>
        <v>565358.70000000007</v>
      </c>
      <c r="Z73" s="14">
        <f>+'A) Base RI'!N73</f>
        <v>107223.5</v>
      </c>
      <c r="AA73" s="14">
        <f>'A) Base RI'!U73</f>
        <v>1252</v>
      </c>
    </row>
    <row r="74" spans="1:27" x14ac:dyDescent="0.25">
      <c r="A74" s="12">
        <f>'A) Base RI'!A74</f>
        <v>5511</v>
      </c>
      <c r="B74" s="40" t="str">
        <f>'A) Base RI'!B74</f>
        <v>Assens</v>
      </c>
      <c r="C74" s="14">
        <f>'A) Base RI'!C74+'A) Base RI'!D74</f>
        <v>2357563.37</v>
      </c>
      <c r="D74" s="14">
        <f>'A) Base RI'!V74</f>
        <v>-61950.69</v>
      </c>
      <c r="E74" s="39">
        <f>'A) Base RI'!W74</f>
        <v>0</v>
      </c>
      <c r="F74" s="39">
        <f>'A) Base RI'!X74</f>
        <v>-5.25</v>
      </c>
      <c r="G74" s="4">
        <f t="shared" si="6"/>
        <v>2295607.4300000002</v>
      </c>
      <c r="H74" s="14">
        <f>+'A) Base RI'!E74</f>
        <v>0</v>
      </c>
      <c r="I74" s="14">
        <f>+'A) Base RI'!F74</f>
        <v>0</v>
      </c>
      <c r="J74" s="14">
        <f>+'A) Base RI'!G74+'A) Base RI'!H74</f>
        <v>269592.15000000002</v>
      </c>
      <c r="K74" s="14">
        <f>+'A) Base RI'!I74</f>
        <v>0</v>
      </c>
      <c r="L74" s="14">
        <f>+'A) Base RI'!J74</f>
        <v>12612.06</v>
      </c>
      <c r="M74" s="14">
        <f>+'A) Base RI'!K74</f>
        <v>569</v>
      </c>
      <c r="N74" s="14">
        <f>+'A) Base RI'!Q74</f>
        <v>7207.96</v>
      </c>
      <c r="O74" s="14">
        <f t="shared" si="7"/>
        <v>213945.65</v>
      </c>
      <c r="P74" s="14">
        <f>+'A) Base RI'!L74</f>
        <v>213945.65</v>
      </c>
      <c r="Q74" s="42">
        <f>'A) Base RI'!Y74</f>
        <v>1</v>
      </c>
      <c r="R74" s="4">
        <f t="shared" si="8"/>
        <v>2799534.25</v>
      </c>
      <c r="S74" s="41">
        <f>'A) Base RI'!T74</f>
        <v>70</v>
      </c>
      <c r="T74" s="4">
        <f t="shared" si="9"/>
        <v>2585019.6</v>
      </c>
      <c r="U74" s="4">
        <f t="shared" si="10"/>
        <v>39993.346428571429</v>
      </c>
      <c r="V74" s="14">
        <f>+'A) Base RI'!O74</f>
        <v>0</v>
      </c>
      <c r="W74" s="14">
        <f>+'A) Base RI'!P74</f>
        <v>128803.65</v>
      </c>
      <c r="X74" s="14">
        <f>+'A) Base RI'!R74</f>
        <v>57606.5</v>
      </c>
      <c r="Y74" s="4">
        <f t="shared" si="11"/>
        <v>186410.15</v>
      </c>
      <c r="Z74" s="14">
        <f>+'A) Base RI'!N74</f>
        <v>9371</v>
      </c>
      <c r="AA74" s="14">
        <f>'A) Base RI'!U74</f>
        <v>1060</v>
      </c>
    </row>
    <row r="75" spans="1:27" x14ac:dyDescent="0.25">
      <c r="A75" s="12">
        <f>'A) Base RI'!A75</f>
        <v>5512</v>
      </c>
      <c r="B75" s="40" t="str">
        <f>'A) Base RI'!B75</f>
        <v>Bercher</v>
      </c>
      <c r="C75" s="14">
        <f>'A) Base RI'!C75+'A) Base RI'!D75</f>
        <v>2452752.62</v>
      </c>
      <c r="D75" s="14">
        <f>'A) Base RI'!V75</f>
        <v>-21499.08</v>
      </c>
      <c r="E75" s="39">
        <f>'A) Base RI'!W75</f>
        <v>0</v>
      </c>
      <c r="F75" s="39">
        <f>'A) Base RI'!X75</f>
        <v>-83.79</v>
      </c>
      <c r="G75" s="4">
        <f t="shared" si="6"/>
        <v>2431169.75</v>
      </c>
      <c r="H75" s="14">
        <f>+'A) Base RI'!E75</f>
        <v>0</v>
      </c>
      <c r="I75" s="14">
        <f>+'A) Base RI'!F75</f>
        <v>0</v>
      </c>
      <c r="J75" s="14">
        <f>+'A) Base RI'!G75+'A) Base RI'!H75</f>
        <v>43755.950000000004</v>
      </c>
      <c r="K75" s="14">
        <f>+'A) Base RI'!I75</f>
        <v>0</v>
      </c>
      <c r="L75" s="14">
        <f>+'A) Base RI'!J75</f>
        <v>58750.26</v>
      </c>
      <c r="M75" s="14">
        <f>+'A) Base RI'!K75</f>
        <v>5598.5</v>
      </c>
      <c r="N75" s="14">
        <f>+'A) Base RI'!Q75</f>
        <v>10067.56</v>
      </c>
      <c r="O75" s="14">
        <f t="shared" si="7"/>
        <v>223262.7</v>
      </c>
      <c r="P75" s="14">
        <f>+'A) Base RI'!L75</f>
        <v>223262.7</v>
      </c>
      <c r="Q75" s="42">
        <f>'A) Base RI'!Y75</f>
        <v>1</v>
      </c>
      <c r="R75" s="4">
        <f t="shared" si="8"/>
        <v>2772604.72</v>
      </c>
      <c r="S75" s="41">
        <f>'A) Base RI'!T75</f>
        <v>79</v>
      </c>
      <c r="T75" s="4">
        <f t="shared" si="9"/>
        <v>2543743.52</v>
      </c>
      <c r="U75" s="4">
        <f t="shared" si="10"/>
        <v>35096.262278481016</v>
      </c>
      <c r="V75" s="14">
        <f>+'A) Base RI'!O75</f>
        <v>20738.3</v>
      </c>
      <c r="W75" s="14">
        <f>+'A) Base RI'!P75</f>
        <v>183268.15</v>
      </c>
      <c r="X75" s="14">
        <f>+'A) Base RI'!R75</f>
        <v>91335.85</v>
      </c>
      <c r="Y75" s="4">
        <f t="shared" si="11"/>
        <v>295342.3</v>
      </c>
      <c r="Z75" s="14">
        <f>+'A) Base RI'!N75</f>
        <v>25548.9</v>
      </c>
      <c r="AA75" s="14">
        <f>'A) Base RI'!U75</f>
        <v>1157</v>
      </c>
    </row>
    <row r="76" spans="1:27" x14ac:dyDescent="0.25">
      <c r="A76" s="12">
        <f>'A) Base RI'!A76</f>
        <v>5513</v>
      </c>
      <c r="B76" s="40" t="str">
        <f>'A) Base RI'!B76</f>
        <v>Bioley-Orjulaz</v>
      </c>
      <c r="C76" s="14">
        <f>'A) Base RI'!C76+'A) Base RI'!D76</f>
        <v>851190.59000000008</v>
      </c>
      <c r="D76" s="14">
        <f>'A) Base RI'!V76</f>
        <v>-5338.94</v>
      </c>
      <c r="E76" s="39">
        <f>'A) Base RI'!W76</f>
        <v>0</v>
      </c>
      <c r="F76" s="39">
        <f>'A) Base RI'!X76</f>
        <v>0</v>
      </c>
      <c r="G76" s="4">
        <f t="shared" si="6"/>
        <v>845851.65000000014</v>
      </c>
      <c r="H76" s="14">
        <f>+'A) Base RI'!E76</f>
        <v>0</v>
      </c>
      <c r="I76" s="14">
        <f>+'A) Base RI'!F76</f>
        <v>0</v>
      </c>
      <c r="J76" s="14">
        <f>+'A) Base RI'!G76+'A) Base RI'!H76</f>
        <v>472625.7</v>
      </c>
      <c r="K76" s="14">
        <f>+'A) Base RI'!I76</f>
        <v>0</v>
      </c>
      <c r="L76" s="14">
        <f>+'A) Base RI'!J76</f>
        <v>60469.2</v>
      </c>
      <c r="M76" s="14">
        <f>+'A) Base RI'!K76</f>
        <v>1774.5</v>
      </c>
      <c r="N76" s="14">
        <f>+'A) Base RI'!Q76</f>
        <v>0</v>
      </c>
      <c r="O76" s="14">
        <f t="shared" si="7"/>
        <v>100400</v>
      </c>
      <c r="P76" s="14">
        <f>+'A) Base RI'!L76</f>
        <v>50200</v>
      </c>
      <c r="Q76" s="42">
        <f>'A) Base RI'!Y76</f>
        <v>0.5</v>
      </c>
      <c r="R76" s="4">
        <f t="shared" si="8"/>
        <v>1481121.05</v>
      </c>
      <c r="S76" s="41">
        <f>'A) Base RI'!T76</f>
        <v>66</v>
      </c>
      <c r="T76" s="4">
        <f t="shared" si="9"/>
        <v>1378946.55</v>
      </c>
      <c r="U76" s="4">
        <f t="shared" si="10"/>
        <v>22441.228030303031</v>
      </c>
      <c r="V76" s="14">
        <f>+'A) Base RI'!O76</f>
        <v>215</v>
      </c>
      <c r="W76" s="14">
        <f>+'A) Base RI'!P76</f>
        <v>27726.35</v>
      </c>
      <c r="X76" s="14">
        <f>+'A) Base RI'!R76</f>
        <v>12240.55</v>
      </c>
      <c r="Y76" s="4">
        <f t="shared" si="11"/>
        <v>40181.899999999994</v>
      </c>
      <c r="Z76" s="14">
        <f>+'A) Base RI'!N76</f>
        <v>94517.85</v>
      </c>
      <c r="AA76" s="14">
        <f>'A) Base RI'!U76</f>
        <v>483</v>
      </c>
    </row>
    <row r="77" spans="1:27" x14ac:dyDescent="0.25">
      <c r="A77" s="12">
        <f>'A) Base RI'!A77</f>
        <v>5514</v>
      </c>
      <c r="B77" s="40" t="str">
        <f>'A) Base RI'!B77</f>
        <v>Bottens</v>
      </c>
      <c r="C77" s="14">
        <f>'A) Base RI'!C77+'A) Base RI'!D77</f>
        <v>2487318.1</v>
      </c>
      <c r="D77" s="14">
        <f>'A) Base RI'!V77</f>
        <v>-53341.760000000002</v>
      </c>
      <c r="E77" s="39">
        <f>'A) Base RI'!W77</f>
        <v>0</v>
      </c>
      <c r="F77" s="39">
        <f>'A) Base RI'!X77</f>
        <v>-25.52</v>
      </c>
      <c r="G77" s="4">
        <f t="shared" si="6"/>
        <v>2433950.8200000003</v>
      </c>
      <c r="H77" s="14">
        <f>+'A) Base RI'!E77</f>
        <v>0</v>
      </c>
      <c r="I77" s="14">
        <f>+'A) Base RI'!F77</f>
        <v>0</v>
      </c>
      <c r="J77" s="14">
        <f>+'A) Base RI'!G77+'A) Base RI'!H77</f>
        <v>39505.75</v>
      </c>
      <c r="K77" s="14">
        <f>+'A) Base RI'!I77</f>
        <v>34926.15</v>
      </c>
      <c r="L77" s="14">
        <f>+'A) Base RI'!J77</f>
        <v>64315.16</v>
      </c>
      <c r="M77" s="14">
        <f>+'A) Base RI'!K77</f>
        <v>6085</v>
      </c>
      <c r="N77" s="14">
        <f>+'A) Base RI'!Q77</f>
        <v>9375.27</v>
      </c>
      <c r="O77" s="14">
        <f t="shared" si="7"/>
        <v>211858.05</v>
      </c>
      <c r="P77" s="14">
        <f>+'A) Base RI'!L77</f>
        <v>211858.05</v>
      </c>
      <c r="Q77" s="42">
        <f>'A) Base RI'!Y77</f>
        <v>1</v>
      </c>
      <c r="R77" s="4">
        <f t="shared" si="8"/>
        <v>2800016.2</v>
      </c>
      <c r="S77" s="41">
        <f>'A) Base RI'!T77</f>
        <v>69</v>
      </c>
      <c r="T77" s="4">
        <f t="shared" si="9"/>
        <v>2582073.1500000004</v>
      </c>
      <c r="U77" s="4">
        <f t="shared" si="10"/>
        <v>40579.944927536235</v>
      </c>
      <c r="V77" s="14">
        <f>+'A) Base RI'!O77</f>
        <v>150776.20000000001</v>
      </c>
      <c r="W77" s="14">
        <f>+'A) Base RI'!P77</f>
        <v>59343.1</v>
      </c>
      <c r="X77" s="14">
        <f>+'A) Base RI'!R77</f>
        <v>43356</v>
      </c>
      <c r="Y77" s="4">
        <f t="shared" si="11"/>
        <v>253475.30000000002</v>
      </c>
      <c r="Z77" s="14">
        <f>+'A) Base RI'!N77</f>
        <v>10495.45</v>
      </c>
      <c r="AA77" s="14">
        <f>'A) Base RI'!U77</f>
        <v>1240</v>
      </c>
    </row>
    <row r="78" spans="1:27" x14ac:dyDescent="0.25">
      <c r="A78" s="12">
        <f>'A) Base RI'!A78</f>
        <v>5515</v>
      </c>
      <c r="B78" s="40" t="str">
        <f>'A) Base RI'!B78</f>
        <v>Bretigny-sur-Morrens</v>
      </c>
      <c r="C78" s="14">
        <f>'A) Base RI'!C78+'A) Base RI'!D78</f>
        <v>1657588.48</v>
      </c>
      <c r="D78" s="14">
        <f>'A) Base RI'!V78</f>
        <v>6822.25</v>
      </c>
      <c r="E78" s="39">
        <f>'A) Base RI'!W78</f>
        <v>0</v>
      </c>
      <c r="F78" s="39">
        <f>'A) Base RI'!X78</f>
        <v>-12.6</v>
      </c>
      <c r="G78" s="4">
        <f t="shared" si="6"/>
        <v>1664398.13</v>
      </c>
      <c r="H78" s="14">
        <f>+'A) Base RI'!E78</f>
        <v>0</v>
      </c>
      <c r="I78" s="14">
        <f>+'A) Base RI'!F78</f>
        <v>0</v>
      </c>
      <c r="J78" s="14">
        <f>+'A) Base RI'!G78+'A) Base RI'!H78</f>
        <v>4493.5</v>
      </c>
      <c r="K78" s="14">
        <f>+'A) Base RI'!I78</f>
        <v>0</v>
      </c>
      <c r="L78" s="14">
        <f>+'A) Base RI'!J78</f>
        <v>38943.040000000001</v>
      </c>
      <c r="M78" s="14">
        <f>+'A) Base RI'!K78</f>
        <v>3345</v>
      </c>
      <c r="N78" s="14">
        <f>+'A) Base RI'!Q78</f>
        <v>24818.05</v>
      </c>
      <c r="O78" s="14">
        <f t="shared" si="7"/>
        <v>136815.85</v>
      </c>
      <c r="P78" s="14">
        <f>+'A) Base RI'!L78</f>
        <v>136815.85</v>
      </c>
      <c r="Q78" s="42">
        <f>'A) Base RI'!Y78</f>
        <v>1</v>
      </c>
      <c r="R78" s="4">
        <f t="shared" si="8"/>
        <v>1872813.57</v>
      </c>
      <c r="S78" s="41">
        <f>'A) Base RI'!T78</f>
        <v>73</v>
      </c>
      <c r="T78" s="4">
        <f t="shared" si="9"/>
        <v>1732652.72</v>
      </c>
      <c r="U78" s="4">
        <f t="shared" si="10"/>
        <v>25654.980410958906</v>
      </c>
      <c r="V78" s="14">
        <f>+'A) Base RI'!O78</f>
        <v>0</v>
      </c>
      <c r="W78" s="14">
        <f>+'A) Base RI'!P78</f>
        <v>42300.45</v>
      </c>
      <c r="X78" s="14">
        <f>+'A) Base RI'!R78</f>
        <v>31343.599999999999</v>
      </c>
      <c r="Y78" s="4">
        <f t="shared" si="11"/>
        <v>73644.049999999988</v>
      </c>
      <c r="Z78" s="14">
        <f>+'A) Base RI'!N78</f>
        <v>15317</v>
      </c>
      <c r="AA78" s="14">
        <f>'A) Base RI'!U78</f>
        <v>817</v>
      </c>
    </row>
    <row r="79" spans="1:27" x14ac:dyDescent="0.25">
      <c r="A79" s="12">
        <f>'A) Base RI'!A79</f>
        <v>5516</v>
      </c>
      <c r="B79" s="40" t="str">
        <f>'A) Base RI'!B79</f>
        <v>Cugy</v>
      </c>
      <c r="C79" s="14">
        <f>'A) Base RI'!C79+'A) Base RI'!D79</f>
        <v>6567408.8499999996</v>
      </c>
      <c r="D79" s="14">
        <f>'A) Base RI'!V79</f>
        <v>-108603.75</v>
      </c>
      <c r="E79" s="39">
        <f>'A) Base RI'!W79</f>
        <v>0</v>
      </c>
      <c r="F79" s="39">
        <f>'A) Base RI'!X79</f>
        <v>-721.21</v>
      </c>
      <c r="G79" s="4">
        <f t="shared" si="6"/>
        <v>6458083.8899999997</v>
      </c>
      <c r="H79" s="14">
        <f>+'A) Base RI'!E79</f>
        <v>0</v>
      </c>
      <c r="I79" s="14">
        <f>+'A) Base RI'!F79</f>
        <v>0</v>
      </c>
      <c r="J79" s="14">
        <f>+'A) Base RI'!G79+'A) Base RI'!H79</f>
        <v>293626.55000000005</v>
      </c>
      <c r="K79" s="14">
        <f>+'A) Base RI'!I79</f>
        <v>1540.1</v>
      </c>
      <c r="L79" s="14">
        <f>+'A) Base RI'!J79</f>
        <v>178023.52</v>
      </c>
      <c r="M79" s="14">
        <f>+'A) Base RI'!K79</f>
        <v>33138.5</v>
      </c>
      <c r="N79" s="14">
        <f>+'A) Base RI'!Q79</f>
        <v>23570.18</v>
      </c>
      <c r="O79" s="14">
        <f t="shared" si="7"/>
        <v>551896.1</v>
      </c>
      <c r="P79" s="14">
        <f>+'A) Base RI'!L79</f>
        <v>551896.1</v>
      </c>
      <c r="Q79" s="42">
        <f>'A) Base RI'!Y79</f>
        <v>1</v>
      </c>
      <c r="R79" s="4">
        <f t="shared" si="8"/>
        <v>7539878.839999998</v>
      </c>
      <c r="S79" s="41">
        <f>'A) Base RI'!T79</f>
        <v>70</v>
      </c>
      <c r="T79" s="4">
        <f t="shared" si="9"/>
        <v>6954844.2399999984</v>
      </c>
      <c r="U79" s="4">
        <f t="shared" si="10"/>
        <v>107712.55485714282</v>
      </c>
      <c r="V79" s="14">
        <f>+'A) Base RI'!O79</f>
        <v>94177.600000000006</v>
      </c>
      <c r="W79" s="14">
        <f>+'A) Base RI'!P79</f>
        <v>169255.7</v>
      </c>
      <c r="X79" s="14">
        <f>+'A) Base RI'!R79</f>
        <v>145908.85</v>
      </c>
      <c r="Y79" s="4">
        <f t="shared" si="11"/>
        <v>409342.15</v>
      </c>
      <c r="Z79" s="14">
        <f>+'A) Base RI'!N79</f>
        <v>113660.65</v>
      </c>
      <c r="AA79" s="14">
        <f>'A) Base RI'!U79</f>
        <v>2739</v>
      </c>
    </row>
    <row r="80" spans="1:27" x14ac:dyDescent="0.25">
      <c r="A80" s="12">
        <f>'A) Base RI'!A80</f>
        <v>5518</v>
      </c>
      <c r="B80" s="40" t="str">
        <f>'A) Base RI'!B80</f>
        <v>Echallens</v>
      </c>
      <c r="C80" s="14">
        <f>'A) Base RI'!C80+'A) Base RI'!D80</f>
        <v>11252562.460000001</v>
      </c>
      <c r="D80" s="14">
        <f>'A) Base RI'!V80</f>
        <v>-193545.49</v>
      </c>
      <c r="E80" s="39">
        <f>'A) Base RI'!W80</f>
        <v>0</v>
      </c>
      <c r="F80" s="39">
        <f>'A) Base RI'!X80</f>
        <v>-896.59</v>
      </c>
      <c r="G80" s="4">
        <f t="shared" si="6"/>
        <v>11058120.380000001</v>
      </c>
      <c r="H80" s="14">
        <f>+'A) Base RI'!E80</f>
        <v>0</v>
      </c>
      <c r="I80" s="14">
        <f>+'A) Base RI'!F80</f>
        <v>0</v>
      </c>
      <c r="J80" s="14">
        <f>+'A) Base RI'!G80+'A) Base RI'!H80</f>
        <v>1545256.5</v>
      </c>
      <c r="K80" s="14">
        <f>+'A) Base RI'!I80</f>
        <v>0</v>
      </c>
      <c r="L80" s="14">
        <f>+'A) Base RI'!J80</f>
        <v>234820.72</v>
      </c>
      <c r="M80" s="14">
        <f>+'A) Base RI'!K80</f>
        <v>44147</v>
      </c>
      <c r="N80" s="14">
        <f>+'A) Base RI'!Q80</f>
        <v>36283.64</v>
      </c>
      <c r="O80" s="14">
        <f t="shared" si="7"/>
        <v>939163.3</v>
      </c>
      <c r="P80" s="14">
        <f>+'A) Base RI'!L80</f>
        <v>939163.3</v>
      </c>
      <c r="Q80" s="42">
        <f>'A) Base RI'!Y80</f>
        <v>1</v>
      </c>
      <c r="R80" s="4">
        <f t="shared" si="8"/>
        <v>13857791.540000003</v>
      </c>
      <c r="S80" s="41">
        <f>'A) Base RI'!T80</f>
        <v>74</v>
      </c>
      <c r="T80" s="4">
        <f t="shared" si="9"/>
        <v>12874481.240000002</v>
      </c>
      <c r="U80" s="4">
        <f t="shared" si="10"/>
        <v>187267.45324324328</v>
      </c>
      <c r="V80" s="14">
        <f>+'A) Base RI'!O80</f>
        <v>129287.5</v>
      </c>
      <c r="W80" s="14">
        <f>+'A) Base RI'!P80</f>
        <v>409741.25</v>
      </c>
      <c r="X80" s="14">
        <f>+'A) Base RI'!R80</f>
        <v>734487.1</v>
      </c>
      <c r="Y80" s="4">
        <f t="shared" si="11"/>
        <v>1273515.8500000001</v>
      </c>
      <c r="Z80" s="14">
        <f>+'A) Base RI'!N80</f>
        <v>194399.35</v>
      </c>
      <c r="AA80" s="14">
        <f>'A) Base RI'!U80</f>
        <v>5677</v>
      </c>
    </row>
    <row r="81" spans="1:27" x14ac:dyDescent="0.25">
      <c r="A81" s="12">
        <f>'A) Base RI'!A81</f>
        <v>5520</v>
      </c>
      <c r="B81" s="40" t="str">
        <f>'A) Base RI'!B81</f>
        <v>Essertines-sur-Yverdon</v>
      </c>
      <c r="C81" s="14">
        <f>'A) Base RI'!C81+'A) Base RI'!D81</f>
        <v>1863518.95</v>
      </c>
      <c r="D81" s="14">
        <f>'A) Base RI'!V81</f>
        <v>-13371.97</v>
      </c>
      <c r="E81" s="39">
        <f>'A) Base RI'!W81</f>
        <v>0</v>
      </c>
      <c r="F81" s="39">
        <f>'A) Base RI'!X81</f>
        <v>-48.88</v>
      </c>
      <c r="G81" s="4">
        <f t="shared" si="6"/>
        <v>1850098.1</v>
      </c>
      <c r="H81" s="14">
        <f>+'A) Base RI'!E81</f>
        <v>0</v>
      </c>
      <c r="I81" s="14">
        <f>+'A) Base RI'!F81</f>
        <v>0</v>
      </c>
      <c r="J81" s="14">
        <f>+'A) Base RI'!G81+'A) Base RI'!H81</f>
        <v>23551.850000000002</v>
      </c>
      <c r="K81" s="14">
        <f>+'A) Base RI'!I81</f>
        <v>0</v>
      </c>
      <c r="L81" s="14">
        <f>+'A) Base RI'!J81</f>
        <v>10280.15</v>
      </c>
      <c r="M81" s="14">
        <f>+'A) Base RI'!K81</f>
        <v>1478</v>
      </c>
      <c r="N81" s="14">
        <f>+'A) Base RI'!Q81</f>
        <v>586.45000000000005</v>
      </c>
      <c r="O81" s="14">
        <f t="shared" si="7"/>
        <v>165049.70000000001</v>
      </c>
      <c r="P81" s="14">
        <f>+'A) Base RI'!L81</f>
        <v>165049.70000000001</v>
      </c>
      <c r="Q81" s="42">
        <f>'A) Base RI'!Y81</f>
        <v>1</v>
      </c>
      <c r="R81" s="4">
        <f t="shared" si="8"/>
        <v>2051044.25</v>
      </c>
      <c r="S81" s="41">
        <f>'A) Base RI'!T81</f>
        <v>73</v>
      </c>
      <c r="T81" s="4">
        <f t="shared" si="9"/>
        <v>1884516.55</v>
      </c>
      <c r="U81" s="4">
        <f t="shared" si="10"/>
        <v>28096.496575342466</v>
      </c>
      <c r="V81" s="14">
        <f>+'A) Base RI'!O81</f>
        <v>28356.799999999999</v>
      </c>
      <c r="W81" s="14">
        <f>+'A) Base RI'!P81</f>
        <v>60306.400000000001</v>
      </c>
      <c r="X81" s="14">
        <f>+'A) Base RI'!R81</f>
        <v>26758.9</v>
      </c>
      <c r="Y81" s="4">
        <f t="shared" si="11"/>
        <v>115422.1</v>
      </c>
      <c r="Z81" s="14">
        <f>+'A) Base RI'!N81</f>
        <v>9444.85</v>
      </c>
      <c r="AA81" s="14">
        <f>'A) Base RI'!U81</f>
        <v>943</v>
      </c>
    </row>
    <row r="82" spans="1:27" x14ac:dyDescent="0.25">
      <c r="A82" s="12">
        <f>'A) Base RI'!A82</f>
        <v>5521</v>
      </c>
      <c r="B82" s="40" t="str">
        <f>'A) Base RI'!B82</f>
        <v>Etagnières</v>
      </c>
      <c r="C82" s="14">
        <f>'A) Base RI'!C82+'A) Base RI'!D82</f>
        <v>2578307.7199999997</v>
      </c>
      <c r="D82" s="14">
        <f>'A) Base RI'!V82</f>
        <v>-14561.6</v>
      </c>
      <c r="E82" s="39">
        <f>'A) Base RI'!W82</f>
        <v>0</v>
      </c>
      <c r="F82" s="39">
        <f>'A) Base RI'!X82</f>
        <v>-10.18</v>
      </c>
      <c r="G82" s="4">
        <f t="shared" si="6"/>
        <v>2563735.9399999995</v>
      </c>
      <c r="H82" s="14">
        <f>+'A) Base RI'!E82</f>
        <v>0</v>
      </c>
      <c r="I82" s="14">
        <f>+'A) Base RI'!F82</f>
        <v>0</v>
      </c>
      <c r="J82" s="14">
        <f>+'A) Base RI'!G82+'A) Base RI'!H82</f>
        <v>91284.2</v>
      </c>
      <c r="K82" s="14">
        <f>+'A) Base RI'!I82</f>
        <v>0</v>
      </c>
      <c r="L82" s="14">
        <f>+'A) Base RI'!J82</f>
        <v>65837.91</v>
      </c>
      <c r="M82" s="14">
        <f>+'A) Base RI'!K82</f>
        <v>10615</v>
      </c>
      <c r="N82" s="14">
        <f>+'A) Base RI'!Q82</f>
        <v>6813.5</v>
      </c>
      <c r="O82" s="14">
        <f t="shared" si="7"/>
        <v>229750.9</v>
      </c>
      <c r="P82" s="14">
        <f>+'A) Base RI'!L82</f>
        <v>229750.9</v>
      </c>
      <c r="Q82" s="42">
        <f>'A) Base RI'!Y82</f>
        <v>1</v>
      </c>
      <c r="R82" s="4">
        <f t="shared" si="8"/>
        <v>2968037.4499999997</v>
      </c>
      <c r="S82" s="41">
        <f>'A) Base RI'!T82</f>
        <v>73</v>
      </c>
      <c r="T82" s="4">
        <f t="shared" si="9"/>
        <v>2727671.55</v>
      </c>
      <c r="U82" s="4">
        <f t="shared" si="10"/>
        <v>40658.047260273968</v>
      </c>
      <c r="V82" s="14">
        <f>+'A) Base RI'!O82</f>
        <v>0</v>
      </c>
      <c r="W82" s="14">
        <f>+'A) Base RI'!P82</f>
        <v>51128</v>
      </c>
      <c r="X82" s="14">
        <f>+'A) Base RI'!R82</f>
        <v>32477</v>
      </c>
      <c r="Y82" s="4">
        <f t="shared" si="11"/>
        <v>83605</v>
      </c>
      <c r="Z82" s="14">
        <f>+'A) Base RI'!N82</f>
        <v>43025.9</v>
      </c>
      <c r="AA82" s="14">
        <f>'A) Base RI'!U82</f>
        <v>1118</v>
      </c>
    </row>
    <row r="83" spans="1:27" x14ac:dyDescent="0.25">
      <c r="A83" s="12">
        <f>'A) Base RI'!A83</f>
        <v>5522</v>
      </c>
      <c r="B83" s="40" t="str">
        <f>'A) Base RI'!B83</f>
        <v>Fey</v>
      </c>
      <c r="C83" s="14">
        <f>'A) Base RI'!C83+'A) Base RI'!D83</f>
        <v>1307760.26</v>
      </c>
      <c r="D83" s="14">
        <f>'A) Base RI'!V83</f>
        <v>-18949.990000000002</v>
      </c>
      <c r="E83" s="39">
        <f>'A) Base RI'!W83</f>
        <v>0</v>
      </c>
      <c r="F83" s="39">
        <f>'A) Base RI'!X83</f>
        <v>-2.85</v>
      </c>
      <c r="G83" s="4">
        <f t="shared" si="6"/>
        <v>1288807.42</v>
      </c>
      <c r="H83" s="14">
        <f>+'A) Base RI'!E83</f>
        <v>0</v>
      </c>
      <c r="I83" s="14">
        <f>+'A) Base RI'!F83</f>
        <v>0</v>
      </c>
      <c r="J83" s="14">
        <f>+'A) Base RI'!G83+'A) Base RI'!H83</f>
        <v>16874.3</v>
      </c>
      <c r="K83" s="14">
        <f>+'A) Base RI'!I83</f>
        <v>0</v>
      </c>
      <c r="L83" s="14">
        <f>+'A) Base RI'!J83</f>
        <v>8260.5300000000007</v>
      </c>
      <c r="M83" s="14">
        <f>+'A) Base RI'!K83</f>
        <v>1092</v>
      </c>
      <c r="N83" s="14">
        <f>+'A) Base RI'!Q83</f>
        <v>3717.05</v>
      </c>
      <c r="O83" s="14">
        <f t="shared" si="7"/>
        <v>114435.65</v>
      </c>
      <c r="P83" s="14">
        <f>+'A) Base RI'!L83</f>
        <v>114435.65</v>
      </c>
      <c r="Q83" s="42">
        <f>'A) Base RI'!Y83</f>
        <v>1</v>
      </c>
      <c r="R83" s="4">
        <f t="shared" si="8"/>
        <v>1433186.95</v>
      </c>
      <c r="S83" s="41">
        <f>'A) Base RI'!T83</f>
        <v>75</v>
      </c>
      <c r="T83" s="4">
        <f t="shared" si="9"/>
        <v>1317659.3</v>
      </c>
      <c r="U83" s="4">
        <f t="shared" si="10"/>
        <v>19109.159333333333</v>
      </c>
      <c r="V83" s="14">
        <f>+'A) Base RI'!O83</f>
        <v>0</v>
      </c>
      <c r="W83" s="14">
        <f>+'A) Base RI'!P83</f>
        <v>66387.199999999997</v>
      </c>
      <c r="X83" s="14">
        <f>+'A) Base RI'!R83</f>
        <v>84927.25</v>
      </c>
      <c r="Y83" s="4">
        <f t="shared" si="11"/>
        <v>151314.45000000001</v>
      </c>
      <c r="Z83" s="14">
        <f>+'A) Base RI'!N83</f>
        <v>9692.35</v>
      </c>
      <c r="AA83" s="14">
        <f>'A) Base RI'!U83</f>
        <v>696</v>
      </c>
    </row>
    <row r="84" spans="1:27" x14ac:dyDescent="0.25">
      <c r="A84" s="12">
        <f>'A) Base RI'!A84</f>
        <v>5523</v>
      </c>
      <c r="B84" s="40" t="str">
        <f>'A) Base RI'!B84</f>
        <v>Froideville</v>
      </c>
      <c r="C84" s="14">
        <f>'A) Base RI'!C84+'A) Base RI'!D84</f>
        <v>5193296.4700000007</v>
      </c>
      <c r="D84" s="14">
        <f>'A) Base RI'!V84</f>
        <v>-35368.6</v>
      </c>
      <c r="E84" s="39">
        <f>'A) Base RI'!W84</f>
        <v>-988</v>
      </c>
      <c r="F84" s="39">
        <f>'A) Base RI'!X84</f>
        <v>-23.41</v>
      </c>
      <c r="G84" s="4">
        <f t="shared" si="6"/>
        <v>5156916.4600000009</v>
      </c>
      <c r="H84" s="14">
        <f>+'A) Base RI'!E84</f>
        <v>0</v>
      </c>
      <c r="I84" s="14">
        <f>+'A) Base RI'!F84</f>
        <v>13670</v>
      </c>
      <c r="J84" s="14">
        <f>+'A) Base RI'!G84+'A) Base RI'!H84</f>
        <v>132330.69999999998</v>
      </c>
      <c r="K84" s="14">
        <f>+'A) Base RI'!I84</f>
        <v>31453.05</v>
      </c>
      <c r="L84" s="14">
        <f>+'A) Base RI'!J84</f>
        <v>60188.89</v>
      </c>
      <c r="M84" s="14">
        <f>+'A) Base RI'!K84</f>
        <v>14040</v>
      </c>
      <c r="N84" s="14">
        <f>+'A) Base RI'!Q84</f>
        <v>1099.05</v>
      </c>
      <c r="O84" s="14">
        <f t="shared" si="7"/>
        <v>457354.2</v>
      </c>
      <c r="P84" s="14">
        <f>+'A) Base RI'!L84</f>
        <v>571692.75</v>
      </c>
      <c r="Q84" s="42">
        <f>'A) Base RI'!Y84</f>
        <v>1.25</v>
      </c>
      <c r="R84" s="4">
        <f t="shared" si="8"/>
        <v>5867052.3500000006</v>
      </c>
      <c r="S84" s="41">
        <f>'A) Base RI'!T84</f>
        <v>76</v>
      </c>
      <c r="T84" s="4">
        <f t="shared" si="9"/>
        <v>5381988.1500000004</v>
      </c>
      <c r="U84" s="4">
        <f t="shared" si="10"/>
        <v>77198.057236842113</v>
      </c>
      <c r="V84" s="14">
        <f>+'A) Base RI'!O84</f>
        <v>218616.2</v>
      </c>
      <c r="W84" s="14">
        <f>+'A) Base RI'!P84</f>
        <v>198513.95</v>
      </c>
      <c r="X84" s="14">
        <f>+'A) Base RI'!R84</f>
        <v>188163.3</v>
      </c>
      <c r="Y84" s="4">
        <f t="shared" si="11"/>
        <v>605293.44999999995</v>
      </c>
      <c r="Z84" s="14">
        <f>+'A) Base RI'!N84</f>
        <v>2731.4</v>
      </c>
      <c r="AA84" s="14">
        <f>'A) Base RI'!U84</f>
        <v>2459</v>
      </c>
    </row>
    <row r="85" spans="1:27" x14ac:dyDescent="0.25">
      <c r="A85" s="12">
        <f>'A) Base RI'!A85</f>
        <v>5527</v>
      </c>
      <c r="B85" s="40" t="str">
        <f>'A) Base RI'!B85</f>
        <v>Morrens</v>
      </c>
      <c r="C85" s="14">
        <f>'A) Base RI'!C85+'A) Base RI'!D85</f>
        <v>2435559.62</v>
      </c>
      <c r="D85" s="14">
        <f>'A) Base RI'!V85</f>
        <v>-56848.01</v>
      </c>
      <c r="E85" s="39">
        <f>'A) Base RI'!W85</f>
        <v>-943.4</v>
      </c>
      <c r="F85" s="39">
        <f>'A) Base RI'!X85</f>
        <v>-17.170000000000002</v>
      </c>
      <c r="G85" s="4">
        <f t="shared" si="6"/>
        <v>2377751.0400000005</v>
      </c>
      <c r="H85" s="14">
        <f>+'A) Base RI'!E85</f>
        <v>0</v>
      </c>
      <c r="I85" s="14">
        <f>+'A) Base RI'!F85</f>
        <v>0</v>
      </c>
      <c r="J85" s="14">
        <f>+'A) Base RI'!G85+'A) Base RI'!H85</f>
        <v>11296.3</v>
      </c>
      <c r="K85" s="14">
        <f>+'A) Base RI'!I85</f>
        <v>0</v>
      </c>
      <c r="L85" s="14">
        <f>+'A) Base RI'!J85</f>
        <v>52363.65</v>
      </c>
      <c r="M85" s="14">
        <f>+'A) Base RI'!K85</f>
        <v>2706.5</v>
      </c>
      <c r="N85" s="14">
        <f>+'A) Base RI'!Q85</f>
        <v>15047.39</v>
      </c>
      <c r="O85" s="14">
        <f t="shared" si="7"/>
        <v>207646.05</v>
      </c>
      <c r="P85" s="14">
        <f>+'A) Base RI'!L85</f>
        <v>207646.05</v>
      </c>
      <c r="Q85" s="42">
        <f>'A) Base RI'!Y85</f>
        <v>1</v>
      </c>
      <c r="R85" s="4">
        <f t="shared" si="8"/>
        <v>2666810.9300000002</v>
      </c>
      <c r="S85" s="41">
        <f>'A) Base RI'!T85</f>
        <v>71</v>
      </c>
      <c r="T85" s="4">
        <f t="shared" si="9"/>
        <v>2456458.3800000004</v>
      </c>
      <c r="U85" s="4">
        <f t="shared" si="10"/>
        <v>37560.717323943667</v>
      </c>
      <c r="V85" s="14">
        <f>+'A) Base RI'!O85</f>
        <v>15337.8</v>
      </c>
      <c r="W85" s="14">
        <f>+'A) Base RI'!P85</f>
        <v>27280</v>
      </c>
      <c r="X85" s="14">
        <f>+'A) Base RI'!R85</f>
        <v>23203</v>
      </c>
      <c r="Y85" s="4">
        <f t="shared" si="11"/>
        <v>65820.800000000003</v>
      </c>
      <c r="Z85" s="14">
        <f>+'A) Base RI'!N85</f>
        <v>12170</v>
      </c>
      <c r="AA85" s="14">
        <f>'A) Base RI'!U85</f>
        <v>1074</v>
      </c>
    </row>
    <row r="86" spans="1:27" x14ac:dyDescent="0.25">
      <c r="A86" s="12">
        <f>'A) Base RI'!A86</f>
        <v>5529</v>
      </c>
      <c r="B86" s="40" t="str">
        <f>'A) Base RI'!B86</f>
        <v>Oulens-sous-Echallens</v>
      </c>
      <c r="C86" s="14">
        <f>'A) Base RI'!C86+'A) Base RI'!D86</f>
        <v>1217653.6000000001</v>
      </c>
      <c r="D86" s="14">
        <f>'A) Base RI'!V86</f>
        <v>-10442.94</v>
      </c>
      <c r="E86" s="39">
        <f>'A) Base RI'!W86</f>
        <v>0</v>
      </c>
      <c r="F86" s="39">
        <f>'A) Base RI'!X86</f>
        <v>-5.32</v>
      </c>
      <c r="G86" s="4">
        <f t="shared" si="6"/>
        <v>1207205.3400000001</v>
      </c>
      <c r="H86" s="14">
        <f>+'A) Base RI'!E86</f>
        <v>0</v>
      </c>
      <c r="I86" s="14">
        <f>+'A) Base RI'!F86</f>
        <v>0</v>
      </c>
      <c r="J86" s="14">
        <f>+'A) Base RI'!G86+'A) Base RI'!H86</f>
        <v>84301.65</v>
      </c>
      <c r="K86" s="14">
        <f>+'A) Base RI'!I86</f>
        <v>0</v>
      </c>
      <c r="L86" s="14">
        <f>+'A) Base RI'!J86</f>
        <v>15232.69</v>
      </c>
      <c r="M86" s="14">
        <f>+'A) Base RI'!K86</f>
        <v>2595</v>
      </c>
      <c r="N86" s="14">
        <f>+'A) Base RI'!Q86</f>
        <v>319.05</v>
      </c>
      <c r="O86" s="14">
        <f t="shared" si="7"/>
        <v>101461.5</v>
      </c>
      <c r="P86" s="14">
        <f>+'A) Base RI'!L86</f>
        <v>101461.5</v>
      </c>
      <c r="Q86" s="42">
        <f>'A) Base RI'!Y86</f>
        <v>1</v>
      </c>
      <c r="R86" s="4">
        <f t="shared" si="8"/>
        <v>1411115.23</v>
      </c>
      <c r="S86" s="41">
        <f>'A) Base RI'!T86</f>
        <v>71</v>
      </c>
      <c r="T86" s="4">
        <f t="shared" si="9"/>
        <v>1307058.73</v>
      </c>
      <c r="U86" s="4">
        <f t="shared" si="10"/>
        <v>19874.862394366199</v>
      </c>
      <c r="V86" s="14">
        <f>+'A) Base RI'!O86</f>
        <v>17479.099999999999</v>
      </c>
      <c r="W86" s="14">
        <f>+'A) Base RI'!P86</f>
        <v>33052.35</v>
      </c>
      <c r="X86" s="14">
        <f>+'A) Base RI'!R86</f>
        <v>23631.65</v>
      </c>
      <c r="Y86" s="4">
        <f t="shared" si="11"/>
        <v>74163.100000000006</v>
      </c>
      <c r="Z86" s="14">
        <f>+'A) Base RI'!N86</f>
        <v>0</v>
      </c>
      <c r="AA86" s="14">
        <f>'A) Base RI'!U86</f>
        <v>560</v>
      </c>
    </row>
    <row r="87" spans="1:27" x14ac:dyDescent="0.25">
      <c r="A87" s="12">
        <f>'A) Base RI'!A87</f>
        <v>5530</v>
      </c>
      <c r="B87" s="40" t="str">
        <f>'A) Base RI'!B87</f>
        <v>Pailly</v>
      </c>
      <c r="C87" s="14">
        <f>'A) Base RI'!C87+'A) Base RI'!D87</f>
        <v>1040842.0800000001</v>
      </c>
      <c r="D87" s="14">
        <f>'A) Base RI'!V87</f>
        <v>-8830.8799999999992</v>
      </c>
      <c r="E87" s="39">
        <f>'A) Base RI'!W87</f>
        <v>0</v>
      </c>
      <c r="F87" s="39">
        <f>'A) Base RI'!X87</f>
        <v>0</v>
      </c>
      <c r="G87" s="4">
        <f t="shared" si="6"/>
        <v>1032011.2000000001</v>
      </c>
      <c r="H87" s="14">
        <f>+'A) Base RI'!E87</f>
        <v>0</v>
      </c>
      <c r="I87" s="14">
        <f>+'A) Base RI'!F87</f>
        <v>0</v>
      </c>
      <c r="J87" s="14">
        <f>+'A) Base RI'!G87+'A) Base RI'!H87</f>
        <v>56227.899999999994</v>
      </c>
      <c r="K87" s="14">
        <f>+'A) Base RI'!I87</f>
        <v>0</v>
      </c>
      <c r="L87" s="14">
        <f>+'A) Base RI'!J87</f>
        <v>4266.12</v>
      </c>
      <c r="M87" s="14">
        <f>+'A) Base RI'!K87</f>
        <v>37.5</v>
      </c>
      <c r="N87" s="14">
        <f>+'A) Base RI'!Q87</f>
        <v>19.09</v>
      </c>
      <c r="O87" s="14">
        <f t="shared" si="7"/>
        <v>91020.333333333328</v>
      </c>
      <c r="P87" s="14">
        <f>+'A) Base RI'!L87</f>
        <v>109224.4</v>
      </c>
      <c r="Q87" s="42">
        <f>'A) Base RI'!Y87</f>
        <v>1.2</v>
      </c>
      <c r="R87" s="4">
        <f t="shared" si="8"/>
        <v>1183582.1433333335</v>
      </c>
      <c r="S87" s="41">
        <f>'A) Base RI'!T87</f>
        <v>77.5</v>
      </c>
      <c r="T87" s="4">
        <f t="shared" si="9"/>
        <v>1092524.3100000003</v>
      </c>
      <c r="U87" s="4">
        <f t="shared" si="10"/>
        <v>15272.027655913982</v>
      </c>
      <c r="V87" s="14">
        <f>+'A) Base RI'!O87</f>
        <v>3366.6</v>
      </c>
      <c r="W87" s="14">
        <f>+'A) Base RI'!P87</f>
        <v>7297.8</v>
      </c>
      <c r="X87" s="14">
        <f>+'A) Base RI'!R87</f>
        <v>1187.0999999999999</v>
      </c>
      <c r="Y87" s="4">
        <f t="shared" si="11"/>
        <v>11851.5</v>
      </c>
      <c r="Z87" s="14">
        <f>+'A) Base RI'!N87</f>
        <v>0</v>
      </c>
      <c r="AA87" s="14">
        <f>'A) Base RI'!U87</f>
        <v>534</v>
      </c>
    </row>
    <row r="88" spans="1:27" x14ac:dyDescent="0.25">
      <c r="A88" s="12">
        <f>'A) Base RI'!A88</f>
        <v>5531</v>
      </c>
      <c r="B88" s="40" t="str">
        <f>'A) Base RI'!B88</f>
        <v>Penthéréaz</v>
      </c>
      <c r="C88" s="14">
        <f>'A) Base RI'!C88+'A) Base RI'!D88</f>
        <v>870347.52999999991</v>
      </c>
      <c r="D88" s="14">
        <f>'A) Base RI'!V88</f>
        <v>-6409.9</v>
      </c>
      <c r="E88" s="39">
        <f>'A) Base RI'!W88</f>
        <v>0</v>
      </c>
      <c r="F88" s="39">
        <f>'A) Base RI'!X88</f>
        <v>-48.79</v>
      </c>
      <c r="G88" s="4">
        <f t="shared" si="6"/>
        <v>863888.83999999985</v>
      </c>
      <c r="H88" s="14">
        <f>+'A) Base RI'!E88</f>
        <v>0</v>
      </c>
      <c r="I88" s="14">
        <f>+'A) Base RI'!F88</f>
        <v>0</v>
      </c>
      <c r="J88" s="14">
        <f>+'A) Base RI'!G88+'A) Base RI'!H88</f>
        <v>499.7500000000004</v>
      </c>
      <c r="K88" s="14">
        <f>+'A) Base RI'!I88</f>
        <v>0</v>
      </c>
      <c r="L88" s="14">
        <f>+'A) Base RI'!J88</f>
        <v>1755.54</v>
      </c>
      <c r="M88" s="14">
        <f>+'A) Base RI'!K88</f>
        <v>974.5</v>
      </c>
      <c r="N88" s="14">
        <f>+'A) Base RI'!Q88</f>
        <v>8544.1299999999992</v>
      </c>
      <c r="O88" s="14">
        <f t="shared" si="7"/>
        <v>68269.850000000006</v>
      </c>
      <c r="P88" s="14">
        <f>+'A) Base RI'!L88</f>
        <v>68269.850000000006</v>
      </c>
      <c r="Q88" s="42">
        <f>'A) Base RI'!Y88</f>
        <v>1</v>
      </c>
      <c r="R88" s="4">
        <f t="shared" si="8"/>
        <v>943932.60999999987</v>
      </c>
      <c r="S88" s="41">
        <f>'A) Base RI'!T88</f>
        <v>78</v>
      </c>
      <c r="T88" s="4">
        <f t="shared" si="9"/>
        <v>874688.25999999989</v>
      </c>
      <c r="U88" s="4">
        <f t="shared" si="10"/>
        <v>12101.700128205126</v>
      </c>
      <c r="V88" s="14">
        <f>+'A) Base RI'!O88</f>
        <v>0</v>
      </c>
      <c r="W88" s="14">
        <f>+'A) Base RI'!P88</f>
        <v>23570.400000000001</v>
      </c>
      <c r="X88" s="14">
        <f>+'A) Base RI'!R88</f>
        <v>17020.849999999999</v>
      </c>
      <c r="Y88" s="4">
        <f t="shared" si="11"/>
        <v>40591.25</v>
      </c>
      <c r="Z88" s="14">
        <f>+'A) Base RI'!N88</f>
        <v>26264.9</v>
      </c>
      <c r="AA88" s="14">
        <f>'A) Base RI'!U88</f>
        <v>411</v>
      </c>
    </row>
    <row r="89" spans="1:27" x14ac:dyDescent="0.25">
      <c r="A89" s="12">
        <f>'A) Base RI'!A89</f>
        <v>5533</v>
      </c>
      <c r="B89" s="40" t="str">
        <f>'A) Base RI'!B89</f>
        <v>Poliez-Pittet</v>
      </c>
      <c r="C89" s="14">
        <f>'A) Base RI'!C89+'A) Base RI'!D89</f>
        <v>1507981.52</v>
      </c>
      <c r="D89" s="14">
        <f>'A) Base RI'!V89</f>
        <v>-3408.85</v>
      </c>
      <c r="E89" s="39">
        <f>'A) Base RI'!W89</f>
        <v>0</v>
      </c>
      <c r="F89" s="39">
        <f>'A) Base RI'!X89</f>
        <v>-22.51</v>
      </c>
      <c r="G89" s="4">
        <f t="shared" si="6"/>
        <v>1504550.16</v>
      </c>
      <c r="H89" s="14">
        <f>+'A) Base RI'!E89</f>
        <v>0</v>
      </c>
      <c r="I89" s="14">
        <f>+'A) Base RI'!F89</f>
        <v>0</v>
      </c>
      <c r="J89" s="14">
        <f>+'A) Base RI'!G89+'A) Base RI'!H89</f>
        <v>204941.95</v>
      </c>
      <c r="K89" s="14">
        <f>+'A) Base RI'!I89</f>
        <v>0</v>
      </c>
      <c r="L89" s="14">
        <f>+'A) Base RI'!J89</f>
        <v>61259.66</v>
      </c>
      <c r="M89" s="14">
        <f>+'A) Base RI'!K89</f>
        <v>4990</v>
      </c>
      <c r="N89" s="14">
        <f>+'A) Base RI'!Q89</f>
        <v>14993.62</v>
      </c>
      <c r="O89" s="14">
        <f t="shared" si="7"/>
        <v>129471.75000000001</v>
      </c>
      <c r="P89" s="14">
        <f>+'A) Base RI'!L89</f>
        <v>77683.05</v>
      </c>
      <c r="Q89" s="42">
        <f>'A) Base RI'!Y89</f>
        <v>0.6</v>
      </c>
      <c r="R89" s="4">
        <f t="shared" si="8"/>
        <v>1920207.14</v>
      </c>
      <c r="S89" s="41">
        <f>'A) Base RI'!T89</f>
        <v>71</v>
      </c>
      <c r="T89" s="4">
        <f t="shared" si="9"/>
        <v>1785745.39</v>
      </c>
      <c r="U89" s="4">
        <f t="shared" si="10"/>
        <v>27045.170985915491</v>
      </c>
      <c r="V89" s="14">
        <f>+'A) Base RI'!O89</f>
        <v>0</v>
      </c>
      <c r="W89" s="14">
        <f>+'A) Base RI'!P89</f>
        <v>27867.4</v>
      </c>
      <c r="X89" s="14">
        <f>+'A) Base RI'!R89</f>
        <v>21188.25</v>
      </c>
      <c r="Y89" s="4">
        <f t="shared" si="11"/>
        <v>49055.65</v>
      </c>
      <c r="Z89" s="14">
        <f>+'A) Base RI'!N89</f>
        <v>0</v>
      </c>
      <c r="AA89" s="14">
        <f>'A) Base RI'!U89</f>
        <v>844</v>
      </c>
    </row>
    <row r="90" spans="1:27" x14ac:dyDescent="0.25">
      <c r="A90" s="12">
        <f>'A) Base RI'!A90</f>
        <v>5534</v>
      </c>
      <c r="B90" s="40" t="str">
        <f>'A) Base RI'!B90</f>
        <v>Rueyres</v>
      </c>
      <c r="C90" s="14">
        <f>'A) Base RI'!C90+'A) Base RI'!D90</f>
        <v>489363.9</v>
      </c>
      <c r="D90" s="14">
        <f>'A) Base RI'!V90</f>
        <v>-5902.26</v>
      </c>
      <c r="E90" s="39">
        <f>'A) Base RI'!W90</f>
        <v>0</v>
      </c>
      <c r="F90" s="39">
        <f>'A) Base RI'!X90</f>
        <v>-6.11</v>
      </c>
      <c r="G90" s="4">
        <f t="shared" si="6"/>
        <v>483455.53</v>
      </c>
      <c r="H90" s="14">
        <f>+'A) Base RI'!E90</f>
        <v>0</v>
      </c>
      <c r="I90" s="14">
        <f>+'A) Base RI'!F90</f>
        <v>0</v>
      </c>
      <c r="J90" s="14">
        <f>+'A) Base RI'!G90+'A) Base RI'!H90</f>
        <v>223904.7</v>
      </c>
      <c r="K90" s="14">
        <f>+'A) Base RI'!I90</f>
        <v>0</v>
      </c>
      <c r="L90" s="14">
        <f>+'A) Base RI'!J90</f>
        <v>19149.400000000001</v>
      </c>
      <c r="M90" s="14">
        <f>+'A) Base RI'!K90</f>
        <v>1598.5</v>
      </c>
      <c r="N90" s="14">
        <f>+'A) Base RI'!Q90</f>
        <v>0</v>
      </c>
      <c r="O90" s="14">
        <f t="shared" si="7"/>
        <v>70085.399999999994</v>
      </c>
      <c r="P90" s="14">
        <f>+'A) Base RI'!L90</f>
        <v>70085.399999999994</v>
      </c>
      <c r="Q90" s="42">
        <f>'A) Base RI'!Y90</f>
        <v>1</v>
      </c>
      <c r="R90" s="4">
        <f t="shared" si="8"/>
        <v>798193.53</v>
      </c>
      <c r="S90" s="41">
        <f>'A) Base RI'!T90</f>
        <v>73</v>
      </c>
      <c r="T90" s="4">
        <f t="shared" si="9"/>
        <v>726509.63</v>
      </c>
      <c r="U90" s="4">
        <f t="shared" si="10"/>
        <v>10934.157945205479</v>
      </c>
      <c r="V90" s="14">
        <f>+'A) Base RI'!O90</f>
        <v>263378</v>
      </c>
      <c r="W90" s="14">
        <f>+'A) Base RI'!P90</f>
        <v>4815.8</v>
      </c>
      <c r="X90" s="14">
        <f>+'A) Base RI'!R90</f>
        <v>2321.65</v>
      </c>
      <c r="Y90" s="4">
        <f t="shared" si="11"/>
        <v>270515.45</v>
      </c>
      <c r="Z90" s="14">
        <f>+'A) Base RI'!N90</f>
        <v>23141.9</v>
      </c>
      <c r="AA90" s="14">
        <f>'A) Base RI'!U90</f>
        <v>271</v>
      </c>
    </row>
    <row r="91" spans="1:27" x14ac:dyDescent="0.25">
      <c r="A91" s="12">
        <f>'A) Base RI'!A91</f>
        <v>5535</v>
      </c>
      <c r="B91" s="40" t="str">
        <f>'A) Base RI'!B91</f>
        <v>Saint-Barthélemy</v>
      </c>
      <c r="C91" s="14">
        <f>'A) Base RI'!C91+'A) Base RI'!D91</f>
        <v>1403111.21</v>
      </c>
      <c r="D91" s="14">
        <f>'A) Base RI'!V91</f>
        <v>-17309.03</v>
      </c>
      <c r="E91" s="39">
        <f>'A) Base RI'!W91</f>
        <v>0</v>
      </c>
      <c r="F91" s="39">
        <f>'A) Base RI'!X91</f>
        <v>-4.05</v>
      </c>
      <c r="G91" s="4">
        <f t="shared" si="6"/>
        <v>1385798.13</v>
      </c>
      <c r="H91" s="14">
        <f>+'A) Base RI'!E91</f>
        <v>0</v>
      </c>
      <c r="I91" s="14">
        <f>+'A) Base RI'!F91</f>
        <v>0</v>
      </c>
      <c r="J91" s="14">
        <f>+'A) Base RI'!G91+'A) Base RI'!H91</f>
        <v>27244.05</v>
      </c>
      <c r="K91" s="14">
        <f>+'A) Base RI'!I91</f>
        <v>0</v>
      </c>
      <c r="L91" s="14">
        <f>+'A) Base RI'!J91</f>
        <v>6768.32</v>
      </c>
      <c r="M91" s="14">
        <f>+'A) Base RI'!K91</f>
        <v>1419.5</v>
      </c>
      <c r="N91" s="14">
        <f>+'A) Base RI'!Q91</f>
        <v>1193.74</v>
      </c>
      <c r="O91" s="14">
        <f t="shared" si="7"/>
        <v>129892.3</v>
      </c>
      <c r="P91" s="14">
        <f>+'A) Base RI'!L91</f>
        <v>129892.3</v>
      </c>
      <c r="Q91" s="42">
        <f>'A) Base RI'!Y91</f>
        <v>1</v>
      </c>
      <c r="R91" s="4">
        <f t="shared" si="8"/>
        <v>1552316.04</v>
      </c>
      <c r="S91" s="41">
        <f>'A) Base RI'!T91</f>
        <v>75</v>
      </c>
      <c r="T91" s="4">
        <f t="shared" si="9"/>
        <v>1421004.24</v>
      </c>
      <c r="U91" s="4">
        <f t="shared" si="10"/>
        <v>20697.547200000001</v>
      </c>
      <c r="V91" s="14">
        <f>+'A) Base RI'!O91</f>
        <v>557.6</v>
      </c>
      <c r="W91" s="14">
        <f>+'A) Base RI'!P91</f>
        <v>4370.25</v>
      </c>
      <c r="X91" s="14">
        <f>+'A) Base RI'!R91</f>
        <v>19710.25</v>
      </c>
      <c r="Y91" s="4">
        <f t="shared" si="11"/>
        <v>24638.1</v>
      </c>
      <c r="Z91" s="14">
        <f>+'A) Base RI'!N91</f>
        <v>29288.9</v>
      </c>
      <c r="AA91" s="14">
        <f>'A) Base RI'!U91</f>
        <v>777</v>
      </c>
    </row>
    <row r="92" spans="1:27" x14ac:dyDescent="0.25">
      <c r="A92" s="12">
        <f>'A) Base RI'!A92</f>
        <v>5537</v>
      </c>
      <c r="B92" s="40" t="str">
        <f>'A) Base RI'!B92</f>
        <v>Villars-le-Terroir</v>
      </c>
      <c r="C92" s="14">
        <f>'A) Base RI'!C92+'A) Base RI'!D92</f>
        <v>1987565.3</v>
      </c>
      <c r="D92" s="14">
        <f>'A) Base RI'!V92</f>
        <v>-39445.35</v>
      </c>
      <c r="E92" s="39">
        <f>'A) Base RI'!W92</f>
        <v>0</v>
      </c>
      <c r="F92" s="39">
        <f>'A) Base RI'!X92</f>
        <v>-0.19</v>
      </c>
      <c r="G92" s="4">
        <f t="shared" si="6"/>
        <v>1948119.76</v>
      </c>
      <c r="H92" s="14">
        <f>+'A) Base RI'!E92</f>
        <v>0</v>
      </c>
      <c r="I92" s="14">
        <f>+'A) Base RI'!F92</f>
        <v>5751.45</v>
      </c>
      <c r="J92" s="14">
        <f>+'A) Base RI'!G92+'A) Base RI'!H92</f>
        <v>35741.9</v>
      </c>
      <c r="K92" s="14">
        <f>+'A) Base RI'!I92</f>
        <v>0</v>
      </c>
      <c r="L92" s="14">
        <f>+'A) Base RI'!J92</f>
        <v>12744.78</v>
      </c>
      <c r="M92" s="14">
        <f>+'A) Base RI'!K92</f>
        <v>1064</v>
      </c>
      <c r="N92" s="14">
        <f>+'A) Base RI'!Q92</f>
        <v>160.08000000000001</v>
      </c>
      <c r="O92" s="14">
        <f t="shared" si="7"/>
        <v>189421.12499999997</v>
      </c>
      <c r="P92" s="14">
        <f>+'A) Base RI'!L92</f>
        <v>151536.9</v>
      </c>
      <c r="Q92" s="42">
        <f>'A) Base RI'!Y92</f>
        <v>0.8</v>
      </c>
      <c r="R92" s="4">
        <f t="shared" si="8"/>
        <v>2193003.0949999997</v>
      </c>
      <c r="S92" s="41">
        <f>'A) Base RI'!T92</f>
        <v>73</v>
      </c>
      <c r="T92" s="4">
        <f t="shared" si="9"/>
        <v>1996766.52</v>
      </c>
      <c r="U92" s="4">
        <f t="shared" si="10"/>
        <v>30041.138287671231</v>
      </c>
      <c r="V92" s="14">
        <f>+'A) Base RI'!O92</f>
        <v>5485.5</v>
      </c>
      <c r="W92" s="14">
        <f>+'A) Base RI'!P92</f>
        <v>69553.600000000006</v>
      </c>
      <c r="X92" s="14">
        <f>+'A) Base RI'!R92</f>
        <v>41673.35</v>
      </c>
      <c r="Y92" s="4">
        <f t="shared" si="11"/>
        <v>116712.45000000001</v>
      </c>
      <c r="Z92" s="14">
        <f>+'A) Base RI'!N92</f>
        <v>191.15</v>
      </c>
      <c r="AA92" s="14">
        <f>'A) Base RI'!U92</f>
        <v>1066</v>
      </c>
    </row>
    <row r="93" spans="1:27" x14ac:dyDescent="0.25">
      <c r="A93" s="12">
        <f>'A) Base RI'!A93</f>
        <v>5539</v>
      </c>
      <c r="B93" s="40" t="str">
        <f>'A) Base RI'!B93</f>
        <v>Vuarrens</v>
      </c>
      <c r="C93" s="14">
        <f>'A) Base RI'!C93+'A) Base RI'!D93</f>
        <v>1557400.3599999999</v>
      </c>
      <c r="D93" s="14">
        <f>'A) Base RI'!V93</f>
        <v>-97576.58</v>
      </c>
      <c r="E93" s="39">
        <f>'A) Base RI'!W93</f>
        <v>0</v>
      </c>
      <c r="F93" s="39">
        <f>'A) Base RI'!X93</f>
        <v>-40.6</v>
      </c>
      <c r="G93" s="4">
        <f t="shared" si="6"/>
        <v>1459783.1799999997</v>
      </c>
      <c r="H93" s="14">
        <f>+'A) Base RI'!E93</f>
        <v>0</v>
      </c>
      <c r="I93" s="14">
        <f>+'A) Base RI'!F93</f>
        <v>0</v>
      </c>
      <c r="J93" s="14">
        <f>+'A) Base RI'!G93+'A) Base RI'!H93</f>
        <v>4803.2999999999993</v>
      </c>
      <c r="K93" s="14">
        <f>+'A) Base RI'!I93</f>
        <v>0</v>
      </c>
      <c r="L93" s="14">
        <f>+'A) Base RI'!J93</f>
        <v>18488.78</v>
      </c>
      <c r="M93" s="14">
        <f>+'A) Base RI'!K93</f>
        <v>6525</v>
      </c>
      <c r="N93" s="14">
        <f>+'A) Base RI'!Q93</f>
        <v>54206.92</v>
      </c>
      <c r="O93" s="14">
        <f t="shared" si="7"/>
        <v>160720.18749999997</v>
      </c>
      <c r="P93" s="14">
        <f>+'A) Base RI'!L93</f>
        <v>128576.15</v>
      </c>
      <c r="Q93" s="42">
        <f>'A) Base RI'!Y93</f>
        <v>0.8</v>
      </c>
      <c r="R93" s="4">
        <f t="shared" si="8"/>
        <v>1704527.3674999997</v>
      </c>
      <c r="S93" s="41">
        <f>'A) Base RI'!T93</f>
        <v>75</v>
      </c>
      <c r="T93" s="4">
        <f t="shared" si="9"/>
        <v>1537282.1799999997</v>
      </c>
      <c r="U93" s="4">
        <f t="shared" si="10"/>
        <v>22727.031566666661</v>
      </c>
      <c r="V93" s="14">
        <f>+'A) Base RI'!O93</f>
        <v>18176.7</v>
      </c>
      <c r="W93" s="14">
        <f>+'A) Base RI'!P93</f>
        <v>50241.9</v>
      </c>
      <c r="X93" s="14">
        <f>+'A) Base RI'!R93</f>
        <v>15550.45</v>
      </c>
      <c r="Y93" s="4">
        <f t="shared" si="11"/>
        <v>83969.05</v>
      </c>
      <c r="Z93" s="14">
        <f>+'A) Base RI'!N93</f>
        <v>24256.6</v>
      </c>
      <c r="AA93" s="14">
        <f>'A) Base RI'!U93</f>
        <v>993</v>
      </c>
    </row>
    <row r="94" spans="1:27" x14ac:dyDescent="0.25">
      <c r="A94" s="12">
        <f>'A) Base RI'!A94</f>
        <v>5540</v>
      </c>
      <c r="B94" s="40" t="str">
        <f>'A) Base RI'!B94</f>
        <v>Montilliez</v>
      </c>
      <c r="C94" s="14">
        <f>'A) Base RI'!C94+'A) Base RI'!D94</f>
        <v>3576292.15</v>
      </c>
      <c r="D94" s="14">
        <f>'A) Base RI'!V94</f>
        <v>-31341.23</v>
      </c>
      <c r="E94" s="39">
        <f>'A) Base RI'!W94</f>
        <v>-15929.65</v>
      </c>
      <c r="F94" s="39">
        <f>'A) Base RI'!X94</f>
        <v>-25.78</v>
      </c>
      <c r="G94" s="4">
        <f t="shared" si="6"/>
        <v>3528995.49</v>
      </c>
      <c r="H94" s="14">
        <f>+'A) Base RI'!E94</f>
        <v>0</v>
      </c>
      <c r="I94" s="14">
        <f>+'A) Base RI'!F94</f>
        <v>0</v>
      </c>
      <c r="J94" s="14">
        <f>+'A) Base RI'!G94+'A) Base RI'!H94</f>
        <v>126083.5</v>
      </c>
      <c r="K94" s="14">
        <f>+'A) Base RI'!I94</f>
        <v>0</v>
      </c>
      <c r="L94" s="14">
        <f>+'A) Base RI'!J94</f>
        <v>89155.4</v>
      </c>
      <c r="M94" s="14">
        <f>+'A) Base RI'!K94</f>
        <v>5536</v>
      </c>
      <c r="N94" s="14">
        <f>+'A) Base RI'!Q94</f>
        <v>16291.39</v>
      </c>
      <c r="O94" s="14">
        <f t="shared" si="7"/>
        <v>294738.125</v>
      </c>
      <c r="P94" s="14">
        <f>+'A) Base RI'!L94</f>
        <v>235790.5</v>
      </c>
      <c r="Q94" s="42">
        <f>'A) Base RI'!Y94</f>
        <v>0.8</v>
      </c>
      <c r="R94" s="4">
        <f t="shared" si="8"/>
        <v>4060799.9050000003</v>
      </c>
      <c r="S94" s="41">
        <f>'A) Base RI'!T94</f>
        <v>74</v>
      </c>
      <c r="T94" s="4">
        <f t="shared" si="9"/>
        <v>3760525.7800000003</v>
      </c>
      <c r="U94" s="4">
        <f t="shared" si="10"/>
        <v>54875.674391891895</v>
      </c>
      <c r="V94" s="14">
        <f>+'A) Base RI'!O94</f>
        <v>52288.4</v>
      </c>
      <c r="W94" s="14">
        <f>+'A) Base RI'!P94</f>
        <v>170198.65</v>
      </c>
      <c r="X94" s="14">
        <f>+'A) Base RI'!R94</f>
        <v>52983.15</v>
      </c>
      <c r="Y94" s="4">
        <f t="shared" si="11"/>
        <v>275470.2</v>
      </c>
      <c r="Z94" s="14">
        <f>+'A) Base RI'!N94</f>
        <v>6178</v>
      </c>
      <c r="AA94" s="14">
        <f>'A) Base RI'!U94</f>
        <v>1698</v>
      </c>
    </row>
    <row r="95" spans="1:27" x14ac:dyDescent="0.25">
      <c r="A95" s="12">
        <f>'A) Base RI'!A95</f>
        <v>5541</v>
      </c>
      <c r="B95" s="40" t="str">
        <f>'A) Base RI'!B95</f>
        <v>Goumoëns</v>
      </c>
      <c r="C95" s="14">
        <f>'A) Base RI'!C95+'A) Base RI'!D95</f>
        <v>2263651.36</v>
      </c>
      <c r="D95" s="14">
        <f>'A) Base RI'!V95</f>
        <v>-45024.45</v>
      </c>
      <c r="E95" s="39">
        <f>'A) Base RI'!W95</f>
        <v>-19180.349999999999</v>
      </c>
      <c r="F95" s="39">
        <f>'A) Base RI'!X95</f>
        <v>-1.2</v>
      </c>
      <c r="G95" s="4">
        <f t="shared" si="6"/>
        <v>2199445.3599999994</v>
      </c>
      <c r="H95" s="14">
        <f>+'A) Base RI'!E95</f>
        <v>0</v>
      </c>
      <c r="I95" s="14">
        <f>+'A) Base RI'!F95</f>
        <v>0</v>
      </c>
      <c r="J95" s="14">
        <f>+'A) Base RI'!G95+'A) Base RI'!H95</f>
        <v>85070.05</v>
      </c>
      <c r="K95" s="14">
        <f>+'A) Base RI'!I95</f>
        <v>0</v>
      </c>
      <c r="L95" s="14">
        <f>+'A) Base RI'!J95</f>
        <v>18881.310000000001</v>
      </c>
      <c r="M95" s="14">
        <f>+'A) Base RI'!K95</f>
        <v>1932</v>
      </c>
      <c r="N95" s="14">
        <f>+'A) Base RI'!Q95</f>
        <v>20115.36</v>
      </c>
      <c r="O95" s="14">
        <f t="shared" si="7"/>
        <v>176907.35</v>
      </c>
      <c r="P95" s="14">
        <f>+'A) Base RI'!L95</f>
        <v>176907.35</v>
      </c>
      <c r="Q95" s="42">
        <f>'A) Base RI'!Y95</f>
        <v>1</v>
      </c>
      <c r="R95" s="4">
        <f t="shared" si="8"/>
        <v>2502351.4299999992</v>
      </c>
      <c r="S95" s="41">
        <f>'A) Base RI'!T95</f>
        <v>77</v>
      </c>
      <c r="T95" s="4">
        <f t="shared" si="9"/>
        <v>2323512.0799999991</v>
      </c>
      <c r="U95" s="4">
        <f t="shared" si="10"/>
        <v>32498.070519480509</v>
      </c>
      <c r="V95" s="14">
        <f>+'A) Base RI'!O95</f>
        <v>234825.2</v>
      </c>
      <c r="W95" s="14">
        <f>+'A) Base RI'!P95</f>
        <v>64484.05</v>
      </c>
      <c r="X95" s="14">
        <f>+'A) Base RI'!R95</f>
        <v>53284</v>
      </c>
      <c r="Y95" s="4">
        <f t="shared" si="11"/>
        <v>352593.25</v>
      </c>
      <c r="Z95" s="14">
        <f>+'A) Base RI'!N95</f>
        <v>4809.55</v>
      </c>
      <c r="AA95" s="14">
        <f>'A) Base RI'!U95</f>
        <v>1051</v>
      </c>
    </row>
    <row r="96" spans="1:27" x14ac:dyDescent="0.25">
      <c r="A96" s="12">
        <f>'A) Base RI'!A96</f>
        <v>5551</v>
      </c>
      <c r="B96" s="40" t="str">
        <f>'A) Base RI'!B96</f>
        <v>Bonvillars</v>
      </c>
      <c r="C96" s="14">
        <f>'A) Base RI'!C96+'A) Base RI'!D96</f>
        <v>911289.91999999993</v>
      </c>
      <c r="D96" s="14">
        <f>'A) Base RI'!V96</f>
        <v>-662.47</v>
      </c>
      <c r="E96" s="39">
        <f>'A) Base RI'!W96</f>
        <v>0</v>
      </c>
      <c r="F96" s="39">
        <f>'A) Base RI'!X96</f>
        <v>-38.57</v>
      </c>
      <c r="G96" s="4">
        <f t="shared" si="6"/>
        <v>910588.88</v>
      </c>
      <c r="H96" s="14">
        <f>+'A) Base RI'!E96</f>
        <v>0</v>
      </c>
      <c r="I96" s="14">
        <f>+'A) Base RI'!F96</f>
        <v>0</v>
      </c>
      <c r="J96" s="14">
        <f>+'A) Base RI'!G96+'A) Base RI'!H96</f>
        <v>22232.6</v>
      </c>
      <c r="K96" s="14">
        <f>+'A) Base RI'!I96</f>
        <v>0</v>
      </c>
      <c r="L96" s="14">
        <f>+'A) Base RI'!J96</f>
        <v>7232.53</v>
      </c>
      <c r="M96" s="14">
        <f>+'A) Base RI'!K96</f>
        <v>7794.9</v>
      </c>
      <c r="N96" s="14">
        <f>+'A) Base RI'!Q96</f>
        <v>0</v>
      </c>
      <c r="O96" s="14">
        <f t="shared" si="7"/>
        <v>113209.21428571429</v>
      </c>
      <c r="P96" s="14">
        <f>+'A) Base RI'!L96</f>
        <v>79246.45</v>
      </c>
      <c r="Q96" s="42">
        <f>'A) Base RI'!Y96</f>
        <v>0.7</v>
      </c>
      <c r="R96" s="4">
        <f t="shared" si="8"/>
        <v>1061058.1242857142</v>
      </c>
      <c r="S96" s="41">
        <f>'A) Base RI'!T96</f>
        <v>55</v>
      </c>
      <c r="T96" s="4">
        <f t="shared" si="9"/>
        <v>940054.01</v>
      </c>
      <c r="U96" s="4">
        <f t="shared" si="10"/>
        <v>19291.965896103895</v>
      </c>
      <c r="V96" s="14">
        <f>+'A) Base RI'!O96</f>
        <v>0</v>
      </c>
      <c r="W96" s="14">
        <f>+'A) Base RI'!P96</f>
        <v>12948.35</v>
      </c>
      <c r="X96" s="14">
        <f>+'A) Base RI'!R96</f>
        <v>21366.15</v>
      </c>
      <c r="Y96" s="4">
        <f t="shared" si="11"/>
        <v>34314.5</v>
      </c>
      <c r="Z96" s="14">
        <f>+'A) Base RI'!N96</f>
        <v>10139.85</v>
      </c>
      <c r="AA96" s="14">
        <f>'A) Base RI'!U96</f>
        <v>495</v>
      </c>
    </row>
    <row r="97" spans="1:27" x14ac:dyDescent="0.25">
      <c r="A97" s="12">
        <f>'A) Base RI'!A97</f>
        <v>5552</v>
      </c>
      <c r="B97" s="40" t="str">
        <f>'A) Base RI'!B97</f>
        <v>Bullet</v>
      </c>
      <c r="C97" s="14">
        <f>'A) Base RI'!C97+'A) Base RI'!D97</f>
        <v>947795.2</v>
      </c>
      <c r="D97" s="14">
        <f>'A) Base RI'!V97</f>
        <v>-8231.9699999999993</v>
      </c>
      <c r="E97" s="39">
        <f>'A) Base RI'!W97</f>
        <v>0</v>
      </c>
      <c r="F97" s="39">
        <f>'A) Base RI'!X97</f>
        <v>-7.8</v>
      </c>
      <c r="G97" s="4">
        <f t="shared" si="6"/>
        <v>939555.42999999993</v>
      </c>
      <c r="H97" s="14">
        <f>+'A) Base RI'!E97</f>
        <v>0</v>
      </c>
      <c r="I97" s="14">
        <f>+'A) Base RI'!F97</f>
        <v>0</v>
      </c>
      <c r="J97" s="14">
        <f>+'A) Base RI'!G97+'A) Base RI'!H97</f>
        <v>10690.55</v>
      </c>
      <c r="K97" s="14">
        <f>+'A) Base RI'!I97</f>
        <v>18143.650000000001</v>
      </c>
      <c r="L97" s="14">
        <f>+'A) Base RI'!J97</f>
        <v>10515.44</v>
      </c>
      <c r="M97" s="14">
        <f>+'A) Base RI'!K97</f>
        <v>1484.5</v>
      </c>
      <c r="N97" s="14">
        <f>+'A) Base RI'!Q97</f>
        <v>13961.66</v>
      </c>
      <c r="O97" s="14">
        <f t="shared" si="7"/>
        <v>107136.4</v>
      </c>
      <c r="P97" s="14">
        <f>+'A) Base RI'!L97</f>
        <v>107136.4</v>
      </c>
      <c r="Q97" s="42">
        <f>'A) Base RI'!Y97</f>
        <v>1</v>
      </c>
      <c r="R97" s="4">
        <f t="shared" si="8"/>
        <v>1101487.6299999999</v>
      </c>
      <c r="S97" s="41">
        <f>'A) Base RI'!T97</f>
        <v>70</v>
      </c>
      <c r="T97" s="4">
        <f t="shared" si="9"/>
        <v>992866.73</v>
      </c>
      <c r="U97" s="4">
        <f t="shared" si="10"/>
        <v>15735.537571428569</v>
      </c>
      <c r="V97" s="14">
        <f>+'A) Base RI'!O97</f>
        <v>80939.100000000006</v>
      </c>
      <c r="W97" s="14">
        <f>+'A) Base RI'!P97</f>
        <v>48578.65</v>
      </c>
      <c r="X97" s="14">
        <f>+'A) Base RI'!R97</f>
        <v>30948.15</v>
      </c>
      <c r="Y97" s="4">
        <f t="shared" si="11"/>
        <v>160465.9</v>
      </c>
      <c r="Z97" s="14">
        <f>+'A) Base RI'!N97</f>
        <v>41288.050000000003</v>
      </c>
      <c r="AA97" s="14">
        <f>'A) Base RI'!U97</f>
        <v>629</v>
      </c>
    </row>
    <row r="98" spans="1:27" x14ac:dyDescent="0.25">
      <c r="A98" s="12">
        <f>'A) Base RI'!A98</f>
        <v>5553</v>
      </c>
      <c r="B98" s="40" t="str">
        <f>'A) Base RI'!B98</f>
        <v>Champagne</v>
      </c>
      <c r="C98" s="14">
        <f>'A) Base RI'!C98+'A) Base RI'!D98</f>
        <v>1777784.96</v>
      </c>
      <c r="D98" s="14">
        <f>'A) Base RI'!V98</f>
        <v>-15913.23</v>
      </c>
      <c r="E98" s="39">
        <f>'A) Base RI'!W98</f>
        <v>0</v>
      </c>
      <c r="F98" s="39">
        <f>'A) Base RI'!X98</f>
        <v>-537.01</v>
      </c>
      <c r="G98" s="4">
        <f t="shared" si="6"/>
        <v>1761334.72</v>
      </c>
      <c r="H98" s="14">
        <f>+'A) Base RI'!E98</f>
        <v>0</v>
      </c>
      <c r="I98" s="14">
        <f>+'A) Base RI'!F98</f>
        <v>0</v>
      </c>
      <c r="J98" s="14">
        <f>+'A) Base RI'!G98+'A) Base RI'!H98</f>
        <v>95677</v>
      </c>
      <c r="K98" s="14">
        <f>+'A) Base RI'!I98</f>
        <v>0</v>
      </c>
      <c r="L98" s="14">
        <f>+'A) Base RI'!J98</f>
        <v>41128.480000000003</v>
      </c>
      <c r="M98" s="14">
        <f>+'A) Base RI'!K98</f>
        <v>15720.5</v>
      </c>
      <c r="N98" s="14">
        <f>+'A) Base RI'!Q98</f>
        <v>2427.4699999999998</v>
      </c>
      <c r="O98" s="14">
        <f t="shared" si="7"/>
        <v>186008.2</v>
      </c>
      <c r="P98" s="14">
        <f>+'A) Base RI'!L98</f>
        <v>186008.2</v>
      </c>
      <c r="Q98" s="42">
        <f>'A) Base RI'!Y98</f>
        <v>1</v>
      </c>
      <c r="R98" s="4">
        <f t="shared" si="8"/>
        <v>2102296.37</v>
      </c>
      <c r="S98" s="41">
        <f>'A) Base RI'!T98</f>
        <v>63</v>
      </c>
      <c r="T98" s="4">
        <f t="shared" si="9"/>
        <v>1900567.67</v>
      </c>
      <c r="U98" s="4">
        <f t="shared" si="10"/>
        <v>33369.783650793652</v>
      </c>
      <c r="V98" s="14">
        <f>+'A) Base RI'!O98</f>
        <v>1431.2</v>
      </c>
      <c r="W98" s="14">
        <f>+'A) Base RI'!P98</f>
        <v>153576.20000000001</v>
      </c>
      <c r="X98" s="14">
        <f>+'A) Base RI'!R98</f>
        <v>129249.5</v>
      </c>
      <c r="Y98" s="4">
        <f t="shared" si="11"/>
        <v>284256.90000000002</v>
      </c>
      <c r="Z98" s="14">
        <f>+'A) Base RI'!N98</f>
        <v>73437.649999999994</v>
      </c>
      <c r="AA98" s="14">
        <f>'A) Base RI'!U98</f>
        <v>1027</v>
      </c>
    </row>
    <row r="99" spans="1:27" x14ac:dyDescent="0.25">
      <c r="A99" s="12">
        <f>'A) Base RI'!A99</f>
        <v>5554</v>
      </c>
      <c r="B99" s="40" t="str">
        <f>'A) Base RI'!B99</f>
        <v>Concise</v>
      </c>
      <c r="C99" s="14">
        <f>'A) Base RI'!C99+'A) Base RI'!D99</f>
        <v>1958155.29</v>
      </c>
      <c r="D99" s="14">
        <f>'A) Base RI'!V99</f>
        <v>-65236.21</v>
      </c>
      <c r="E99" s="39">
        <f>'A) Base RI'!W99</f>
        <v>0</v>
      </c>
      <c r="F99" s="39">
        <f>'A) Base RI'!X99</f>
        <v>-79.03</v>
      </c>
      <c r="G99" s="4">
        <f t="shared" si="6"/>
        <v>1892840.05</v>
      </c>
      <c r="H99" s="14">
        <f>+'A) Base RI'!E99</f>
        <v>0</v>
      </c>
      <c r="I99" s="14">
        <f>+'A) Base RI'!F99</f>
        <v>0</v>
      </c>
      <c r="J99" s="14">
        <f>+'A) Base RI'!G99+'A) Base RI'!H99</f>
        <v>41698.549999999996</v>
      </c>
      <c r="K99" s="14">
        <f>+'A) Base RI'!I99</f>
        <v>0</v>
      </c>
      <c r="L99" s="14">
        <f>+'A) Base RI'!J99</f>
        <v>47952.29</v>
      </c>
      <c r="M99" s="14">
        <f>+'A) Base RI'!K99</f>
        <v>6243.5</v>
      </c>
      <c r="N99" s="14">
        <f>+'A) Base RI'!Q99</f>
        <v>20663.669999999998</v>
      </c>
      <c r="O99" s="14">
        <f t="shared" si="7"/>
        <v>164605.1</v>
      </c>
      <c r="P99" s="14">
        <f>+'A) Base RI'!L99</f>
        <v>164605.1</v>
      </c>
      <c r="Q99" s="42">
        <f>'A) Base RI'!Y99</f>
        <v>1</v>
      </c>
      <c r="R99" s="4">
        <f t="shared" si="8"/>
        <v>2174003.16</v>
      </c>
      <c r="S99" s="41">
        <f>'A) Base RI'!T99</f>
        <v>75</v>
      </c>
      <c r="T99" s="4">
        <f t="shared" si="9"/>
        <v>2003154.56</v>
      </c>
      <c r="U99" s="4">
        <f t="shared" si="10"/>
        <v>28986.7088</v>
      </c>
      <c r="V99" s="14">
        <f>+'A) Base RI'!O99</f>
        <v>42657.599999999999</v>
      </c>
      <c r="W99" s="14">
        <f>+'A) Base RI'!P99</f>
        <v>77932.7</v>
      </c>
      <c r="X99" s="14">
        <f>+'A) Base RI'!R99</f>
        <v>32018.45</v>
      </c>
      <c r="Y99" s="4">
        <f t="shared" si="11"/>
        <v>152608.75</v>
      </c>
      <c r="Z99" s="14">
        <f>+'A) Base RI'!N99</f>
        <v>2250.0500000000002</v>
      </c>
      <c r="AA99" s="14">
        <f>'A) Base RI'!U99</f>
        <v>960</v>
      </c>
    </row>
    <row r="100" spans="1:27" x14ac:dyDescent="0.25">
      <c r="A100" s="12">
        <f>'A) Base RI'!A100</f>
        <v>5555</v>
      </c>
      <c r="B100" s="40" t="str">
        <f>'A) Base RI'!B100</f>
        <v>Corcelles-près-Concise</v>
      </c>
      <c r="C100" s="14">
        <f>'A) Base RI'!C100+'A) Base RI'!D100</f>
        <v>676073</v>
      </c>
      <c r="D100" s="14">
        <f>'A) Base RI'!V100</f>
        <v>-8887.15</v>
      </c>
      <c r="E100" s="39">
        <f>'A) Base RI'!W100</f>
        <v>0</v>
      </c>
      <c r="F100" s="39">
        <f>'A) Base RI'!X100</f>
        <v>-0.06</v>
      </c>
      <c r="G100" s="4">
        <f t="shared" si="6"/>
        <v>667185.78999999992</v>
      </c>
      <c r="H100" s="14">
        <f>+'A) Base RI'!E100</f>
        <v>0</v>
      </c>
      <c r="I100" s="14">
        <f>+'A) Base RI'!F100</f>
        <v>0</v>
      </c>
      <c r="J100" s="14">
        <f>+'A) Base RI'!G100+'A) Base RI'!H100</f>
        <v>14461.05</v>
      </c>
      <c r="K100" s="14">
        <f>+'A) Base RI'!I100</f>
        <v>0</v>
      </c>
      <c r="L100" s="14">
        <f>+'A) Base RI'!J100</f>
        <v>24854.52</v>
      </c>
      <c r="M100" s="14">
        <f>+'A) Base RI'!K100</f>
        <v>1966.8</v>
      </c>
      <c r="N100" s="14">
        <f>+'A) Base RI'!Q100</f>
        <v>2065.23</v>
      </c>
      <c r="O100" s="14">
        <f t="shared" si="7"/>
        <v>73333.05</v>
      </c>
      <c r="P100" s="14">
        <f>+'A) Base RI'!L100</f>
        <v>73333.05</v>
      </c>
      <c r="Q100" s="42">
        <f>'A) Base RI'!Y100</f>
        <v>1</v>
      </c>
      <c r="R100" s="4">
        <f t="shared" si="8"/>
        <v>783866.44000000006</v>
      </c>
      <c r="S100" s="41">
        <f>'A) Base RI'!T100</f>
        <v>71</v>
      </c>
      <c r="T100" s="4">
        <f t="shared" si="9"/>
        <v>708566.59</v>
      </c>
      <c r="U100" s="4">
        <f t="shared" si="10"/>
        <v>11040.372394366199</v>
      </c>
      <c r="V100" s="14">
        <f>+'A) Base RI'!O100</f>
        <v>5303.2</v>
      </c>
      <c r="W100" s="14">
        <f>+'A) Base RI'!P100</f>
        <v>43880.1</v>
      </c>
      <c r="X100" s="14">
        <f>+'A) Base RI'!R100</f>
        <v>28789.85</v>
      </c>
      <c r="Y100" s="4">
        <f t="shared" si="11"/>
        <v>77973.149999999994</v>
      </c>
      <c r="Z100" s="14">
        <f>+'A) Base RI'!N100</f>
        <v>7907.7</v>
      </c>
      <c r="AA100" s="14">
        <f>'A) Base RI'!U100</f>
        <v>379</v>
      </c>
    </row>
    <row r="101" spans="1:27" x14ac:dyDescent="0.25">
      <c r="A101" s="12">
        <f>'A) Base RI'!A101</f>
        <v>5556</v>
      </c>
      <c r="B101" s="40" t="str">
        <f>'A) Base RI'!B101</f>
        <v>Fiez</v>
      </c>
      <c r="C101" s="14">
        <f>'A) Base RI'!C101+'A) Base RI'!D101</f>
        <v>795149</v>
      </c>
      <c r="D101" s="14">
        <f>'A) Base RI'!V101</f>
        <v>-2088</v>
      </c>
      <c r="E101" s="39">
        <f>'A) Base RI'!W101</f>
        <v>0</v>
      </c>
      <c r="F101" s="39">
        <f>'A) Base RI'!X101</f>
        <v>0</v>
      </c>
      <c r="G101" s="4">
        <f t="shared" si="6"/>
        <v>793061</v>
      </c>
      <c r="H101" s="14">
        <f>+'A) Base RI'!E101</f>
        <v>0</v>
      </c>
      <c r="I101" s="14">
        <f>+'A) Base RI'!F101</f>
        <v>2160</v>
      </c>
      <c r="J101" s="14">
        <f>+'A) Base RI'!G101+'A) Base RI'!H101</f>
        <v>-2434.5</v>
      </c>
      <c r="K101" s="14">
        <f>+'A) Base RI'!I101</f>
        <v>0</v>
      </c>
      <c r="L101" s="14">
        <f>+'A) Base RI'!J101</f>
        <v>5109.54</v>
      </c>
      <c r="M101" s="14">
        <f>+'A) Base RI'!K101</f>
        <v>522</v>
      </c>
      <c r="N101" s="14">
        <f>+'A) Base RI'!Q101</f>
        <v>0</v>
      </c>
      <c r="O101" s="14">
        <f t="shared" si="7"/>
        <v>62202</v>
      </c>
      <c r="P101" s="14">
        <f>+'A) Base RI'!L101</f>
        <v>74642.399999999994</v>
      </c>
      <c r="Q101" s="42">
        <f>'A) Base RI'!Y101</f>
        <v>1.2</v>
      </c>
      <c r="R101" s="4">
        <f t="shared" si="8"/>
        <v>860620.04</v>
      </c>
      <c r="S101" s="41">
        <f>'A) Base RI'!T101</f>
        <v>69</v>
      </c>
      <c r="T101" s="4">
        <f t="shared" si="9"/>
        <v>795736.04</v>
      </c>
      <c r="U101" s="4">
        <f t="shared" si="10"/>
        <v>12472.754202898552</v>
      </c>
      <c r="V101" s="14">
        <f>+'A) Base RI'!O101</f>
        <v>0</v>
      </c>
      <c r="W101" s="14">
        <f>+'A) Base RI'!P101</f>
        <v>22563.05</v>
      </c>
      <c r="X101" s="14">
        <f>+'A) Base RI'!R101</f>
        <v>27288.75</v>
      </c>
      <c r="Y101" s="4">
        <f t="shared" si="11"/>
        <v>49851.8</v>
      </c>
      <c r="Z101" s="14">
        <f>+'A) Base RI'!N101</f>
        <v>0</v>
      </c>
      <c r="AA101" s="14">
        <f>'A) Base RI'!U101</f>
        <v>427</v>
      </c>
    </row>
    <row r="102" spans="1:27" x14ac:dyDescent="0.25">
      <c r="A102" s="12">
        <f>'A) Base RI'!A102</f>
        <v>5557</v>
      </c>
      <c r="B102" s="40" t="str">
        <f>'A) Base RI'!B102</f>
        <v>Fontaines-sur-Grandson</v>
      </c>
      <c r="C102" s="14">
        <f>'A) Base RI'!C102+'A) Base RI'!D102</f>
        <v>237612.44</v>
      </c>
      <c r="D102" s="14">
        <f>'A) Base RI'!V102</f>
        <v>-5659.04</v>
      </c>
      <c r="E102" s="39">
        <f>'A) Base RI'!W102</f>
        <v>0</v>
      </c>
      <c r="F102" s="39">
        <f>'A) Base RI'!X102</f>
        <v>0</v>
      </c>
      <c r="G102" s="4">
        <f t="shared" si="6"/>
        <v>231953.4</v>
      </c>
      <c r="H102" s="14">
        <f>+'A) Base RI'!E102</f>
        <v>0</v>
      </c>
      <c r="I102" s="14">
        <f>+'A) Base RI'!F102</f>
        <v>920</v>
      </c>
      <c r="J102" s="14">
        <f>+'A) Base RI'!G102+'A) Base RI'!H102</f>
        <v>15286.85</v>
      </c>
      <c r="K102" s="14">
        <f>+'A) Base RI'!I102</f>
        <v>0</v>
      </c>
      <c r="L102" s="14">
        <f>+'A) Base RI'!J102</f>
        <v>468.87</v>
      </c>
      <c r="M102" s="14">
        <f>+'A) Base RI'!K102</f>
        <v>827.5</v>
      </c>
      <c r="N102" s="14">
        <f>+'A) Base RI'!Q102</f>
        <v>0</v>
      </c>
      <c r="O102" s="14">
        <f t="shared" si="7"/>
        <v>28633.200000000001</v>
      </c>
      <c r="P102" s="14">
        <f>+'A) Base RI'!L102</f>
        <v>28633.200000000001</v>
      </c>
      <c r="Q102" s="42">
        <f>'A) Base RI'!Y102</f>
        <v>1</v>
      </c>
      <c r="R102" s="4">
        <f t="shared" si="8"/>
        <v>278089.82</v>
      </c>
      <c r="S102" s="41">
        <f>'A) Base RI'!T102</f>
        <v>69</v>
      </c>
      <c r="T102" s="4">
        <f t="shared" si="9"/>
        <v>247709.12</v>
      </c>
      <c r="U102" s="4">
        <f t="shared" si="10"/>
        <v>4030.2872463768117</v>
      </c>
      <c r="V102" s="14">
        <f>+'A) Base RI'!O102</f>
        <v>0</v>
      </c>
      <c r="W102" s="14">
        <f>+'A) Base RI'!P102</f>
        <v>19013.45</v>
      </c>
      <c r="X102" s="14">
        <f>+'A) Base RI'!R102</f>
        <v>15455.4</v>
      </c>
      <c r="Y102" s="4">
        <f t="shared" si="11"/>
        <v>34468.85</v>
      </c>
      <c r="Z102" s="14">
        <f>+'A) Base RI'!N102</f>
        <v>1148.05</v>
      </c>
      <c r="AA102" s="14">
        <f>'A) Base RI'!U102</f>
        <v>200</v>
      </c>
    </row>
    <row r="103" spans="1:27" x14ac:dyDescent="0.25">
      <c r="A103" s="12">
        <f>'A) Base RI'!A103</f>
        <v>5559</v>
      </c>
      <c r="B103" s="40" t="str">
        <f>'A) Base RI'!B103</f>
        <v>Giez</v>
      </c>
      <c r="C103" s="14">
        <f>'A) Base RI'!C103+'A) Base RI'!D103</f>
        <v>995102.1</v>
      </c>
      <c r="D103" s="14">
        <f>'A) Base RI'!V103</f>
        <v>-10617.21</v>
      </c>
      <c r="E103" s="39">
        <f>'A) Base RI'!W103</f>
        <v>0</v>
      </c>
      <c r="F103" s="39">
        <f>'A) Base RI'!X103</f>
        <v>-222.1</v>
      </c>
      <c r="G103" s="4">
        <f t="shared" si="6"/>
        <v>984262.79</v>
      </c>
      <c r="H103" s="14">
        <f>+'A) Base RI'!E103</f>
        <v>0</v>
      </c>
      <c r="I103" s="14">
        <f>+'A) Base RI'!F103</f>
        <v>0</v>
      </c>
      <c r="J103" s="14">
        <f>+'A) Base RI'!G103+'A) Base RI'!H103</f>
        <v>114946.75</v>
      </c>
      <c r="K103" s="14">
        <f>+'A) Base RI'!I103</f>
        <v>0</v>
      </c>
      <c r="L103" s="14">
        <f>+'A) Base RI'!J103</f>
        <v>12072.8</v>
      </c>
      <c r="M103" s="14">
        <f>+'A) Base RI'!K103</f>
        <v>3375.5</v>
      </c>
      <c r="N103" s="14">
        <f>+'A) Base RI'!Q103</f>
        <v>0</v>
      </c>
      <c r="O103" s="14">
        <f t="shared" si="7"/>
        <v>83185.3</v>
      </c>
      <c r="P103" s="14">
        <f>+'A) Base RI'!L103</f>
        <v>83185.3</v>
      </c>
      <c r="Q103" s="42">
        <f>'A) Base RI'!Y103</f>
        <v>1</v>
      </c>
      <c r="R103" s="4">
        <f t="shared" si="8"/>
        <v>1197843.1400000001</v>
      </c>
      <c r="S103" s="41">
        <f>'A) Base RI'!T103</f>
        <v>66</v>
      </c>
      <c r="T103" s="4">
        <f t="shared" si="9"/>
        <v>1111282.3400000001</v>
      </c>
      <c r="U103" s="4">
        <f t="shared" si="10"/>
        <v>18149.138484848489</v>
      </c>
      <c r="V103" s="14">
        <f>+'A) Base RI'!O103</f>
        <v>216185.8</v>
      </c>
      <c r="W103" s="14">
        <f>+'A) Base RI'!P103</f>
        <v>77154</v>
      </c>
      <c r="X103" s="14">
        <f>+'A) Base RI'!R103</f>
        <v>30207.55</v>
      </c>
      <c r="Y103" s="4">
        <f t="shared" si="11"/>
        <v>323547.34999999998</v>
      </c>
      <c r="Z103" s="14">
        <f>+'A) Base RI'!N103</f>
        <v>19419.5</v>
      </c>
      <c r="AA103" s="14">
        <f>'A) Base RI'!U103</f>
        <v>408</v>
      </c>
    </row>
    <row r="104" spans="1:27" x14ac:dyDescent="0.25">
      <c r="A104" s="12">
        <f>'A) Base RI'!A104</f>
        <v>5560</v>
      </c>
      <c r="B104" s="40" t="str">
        <f>'A) Base RI'!B104</f>
        <v>Grandevent</v>
      </c>
      <c r="C104" s="14">
        <f>'A) Base RI'!C104+'A) Base RI'!D104</f>
        <v>404159.63</v>
      </c>
      <c r="D104" s="14">
        <f>'A) Base RI'!V104</f>
        <v>-7750.88</v>
      </c>
      <c r="E104" s="39">
        <f>'A) Base RI'!W104</f>
        <v>0</v>
      </c>
      <c r="F104" s="39">
        <f>'A) Base RI'!X104</f>
        <v>0</v>
      </c>
      <c r="G104" s="4">
        <f t="shared" si="6"/>
        <v>396408.75</v>
      </c>
      <c r="H104" s="14">
        <f>+'A) Base RI'!E104</f>
        <v>0</v>
      </c>
      <c r="I104" s="14">
        <f>+'A) Base RI'!F104</f>
        <v>0</v>
      </c>
      <c r="J104" s="14">
        <f>+'A) Base RI'!G104+'A) Base RI'!H104</f>
        <v>498.65000000000003</v>
      </c>
      <c r="K104" s="14">
        <f>+'A) Base RI'!I104</f>
        <v>0</v>
      </c>
      <c r="L104" s="14">
        <f>+'A) Base RI'!J104</f>
        <v>1383.91</v>
      </c>
      <c r="M104" s="14">
        <f>+'A) Base RI'!K104</f>
        <v>624.5</v>
      </c>
      <c r="N104" s="14">
        <f>+'A) Base RI'!Q104</f>
        <v>0</v>
      </c>
      <c r="O104" s="14">
        <f t="shared" si="7"/>
        <v>39454.85</v>
      </c>
      <c r="P104" s="14">
        <f>+'A) Base RI'!L104</f>
        <v>39454.85</v>
      </c>
      <c r="Q104" s="42">
        <f>'A) Base RI'!Y104</f>
        <v>1</v>
      </c>
      <c r="R104" s="4">
        <f t="shared" si="8"/>
        <v>438370.66</v>
      </c>
      <c r="S104" s="41">
        <f>'A) Base RI'!T104</f>
        <v>68</v>
      </c>
      <c r="T104" s="4">
        <f t="shared" si="9"/>
        <v>398291.31</v>
      </c>
      <c r="U104" s="4">
        <f t="shared" si="10"/>
        <v>6446.6273529411765</v>
      </c>
      <c r="V104" s="14">
        <f>+'A) Base RI'!O104</f>
        <v>0</v>
      </c>
      <c r="W104" s="14">
        <f>+'A) Base RI'!P104</f>
        <v>3197.95</v>
      </c>
      <c r="X104" s="14">
        <f>+'A) Base RI'!R104</f>
        <v>8674.9500000000007</v>
      </c>
      <c r="Y104" s="4">
        <f t="shared" si="11"/>
        <v>11872.900000000001</v>
      </c>
      <c r="Z104" s="14">
        <f>+'A) Base RI'!N104</f>
        <v>0</v>
      </c>
      <c r="AA104" s="14">
        <f>'A) Base RI'!U104</f>
        <v>232</v>
      </c>
    </row>
    <row r="105" spans="1:27" x14ac:dyDescent="0.25">
      <c r="A105" s="12">
        <f>'A) Base RI'!A105</f>
        <v>5561</v>
      </c>
      <c r="B105" s="40" t="str">
        <f>'A) Base RI'!B105</f>
        <v>Grandson</v>
      </c>
      <c r="C105" s="14">
        <f>'A) Base RI'!C105+'A) Base RI'!D105</f>
        <v>6835049.7299999995</v>
      </c>
      <c r="D105" s="14">
        <f>'A) Base RI'!V105</f>
        <v>-63481.97</v>
      </c>
      <c r="E105" s="39">
        <f>'A) Base RI'!W105</f>
        <v>-35407.050000000003</v>
      </c>
      <c r="F105" s="39">
        <f>'A) Base RI'!X105</f>
        <v>-235.1</v>
      </c>
      <c r="G105" s="4">
        <f t="shared" si="6"/>
        <v>6735925.6100000003</v>
      </c>
      <c r="H105" s="14">
        <f>+'A) Base RI'!E105</f>
        <v>0</v>
      </c>
      <c r="I105" s="14">
        <f>+'A) Base RI'!F105</f>
        <v>0</v>
      </c>
      <c r="J105" s="14">
        <f>+'A) Base RI'!G105+'A) Base RI'!H105</f>
        <v>470018.85000000003</v>
      </c>
      <c r="K105" s="14">
        <f>+'A) Base RI'!I105</f>
        <v>1741.1</v>
      </c>
      <c r="L105" s="14">
        <f>+'A) Base RI'!J105</f>
        <v>152407.45000000001</v>
      </c>
      <c r="M105" s="14">
        <f>+'A) Base RI'!K105</f>
        <v>25527</v>
      </c>
      <c r="N105" s="14">
        <f>+'A) Base RI'!Q105</f>
        <v>11090.68</v>
      </c>
      <c r="O105" s="14">
        <f t="shared" si="7"/>
        <v>550047</v>
      </c>
      <c r="P105" s="14">
        <f>+'A) Base RI'!L105</f>
        <v>550047</v>
      </c>
      <c r="Q105" s="42">
        <f>'A) Base RI'!Y105</f>
        <v>1</v>
      </c>
      <c r="R105" s="4">
        <f t="shared" si="8"/>
        <v>7946757.6899999995</v>
      </c>
      <c r="S105" s="41">
        <f>'A) Base RI'!T105</f>
        <v>69</v>
      </c>
      <c r="T105" s="4">
        <f t="shared" si="9"/>
        <v>7371183.6899999995</v>
      </c>
      <c r="U105" s="4">
        <f t="shared" si="10"/>
        <v>115170.40130434782</v>
      </c>
      <c r="V105" s="14">
        <f>+'A) Base RI'!O105</f>
        <v>188001.7</v>
      </c>
      <c r="W105" s="14">
        <f>+'A) Base RI'!P105</f>
        <v>229584.35</v>
      </c>
      <c r="X105" s="14">
        <f>+'A) Base RI'!R105</f>
        <v>245076</v>
      </c>
      <c r="Y105" s="4">
        <f t="shared" si="11"/>
        <v>662662.05000000005</v>
      </c>
      <c r="Z105" s="14">
        <f>+'A) Base RI'!N105</f>
        <v>366017.15</v>
      </c>
      <c r="AA105" s="14">
        <f>'A) Base RI'!U105</f>
        <v>3313</v>
      </c>
    </row>
    <row r="106" spans="1:27" x14ac:dyDescent="0.25">
      <c r="A106" s="12">
        <f>'A) Base RI'!A106</f>
        <v>5562</v>
      </c>
      <c r="B106" s="40" t="str">
        <f>'A) Base RI'!B106</f>
        <v>Mauborget</v>
      </c>
      <c r="C106" s="14">
        <f>'A) Base RI'!C106+'A) Base RI'!D106</f>
        <v>219886.19</v>
      </c>
      <c r="D106" s="14">
        <f>'A) Base RI'!V106</f>
        <v>-1806.9</v>
      </c>
      <c r="E106" s="39">
        <f>'A) Base RI'!W106</f>
        <v>0</v>
      </c>
      <c r="F106" s="39">
        <f>'A) Base RI'!X106</f>
        <v>-3.38</v>
      </c>
      <c r="G106" s="4">
        <f t="shared" si="6"/>
        <v>218075.91</v>
      </c>
      <c r="H106" s="14">
        <f>+'A) Base RI'!E106</f>
        <v>0</v>
      </c>
      <c r="I106" s="14">
        <f>+'A) Base RI'!F106</f>
        <v>720</v>
      </c>
      <c r="J106" s="14">
        <f>+'A) Base RI'!G106+'A) Base RI'!H106</f>
        <v>2433.3000000000002</v>
      </c>
      <c r="K106" s="14">
        <f>+'A) Base RI'!I106</f>
        <v>0</v>
      </c>
      <c r="L106" s="14">
        <f>+'A) Base RI'!J106</f>
        <v>5433.61</v>
      </c>
      <c r="M106" s="14">
        <f>+'A) Base RI'!K106</f>
        <v>1155.5</v>
      </c>
      <c r="N106" s="14">
        <f>+'A) Base RI'!Q106</f>
        <v>0</v>
      </c>
      <c r="O106" s="14">
        <f t="shared" si="7"/>
        <v>28560.5</v>
      </c>
      <c r="P106" s="14">
        <f>+'A) Base RI'!L106</f>
        <v>34272.6</v>
      </c>
      <c r="Q106" s="42">
        <f>'A) Base RI'!Y106</f>
        <v>1.2</v>
      </c>
      <c r="R106" s="4">
        <f t="shared" si="8"/>
        <v>256378.81999999998</v>
      </c>
      <c r="S106" s="41">
        <f>'A) Base RI'!T106</f>
        <v>70</v>
      </c>
      <c r="T106" s="4">
        <f t="shared" si="9"/>
        <v>225942.81999999998</v>
      </c>
      <c r="U106" s="4">
        <f t="shared" si="10"/>
        <v>3662.5545714285713</v>
      </c>
      <c r="V106" s="14">
        <f>+'A) Base RI'!O106</f>
        <v>1214</v>
      </c>
      <c r="W106" s="14">
        <f>+'A) Base RI'!P106</f>
        <v>7315</v>
      </c>
      <c r="X106" s="14">
        <f>+'A) Base RI'!R106</f>
        <v>7519.9</v>
      </c>
      <c r="Y106" s="4">
        <f t="shared" si="11"/>
        <v>16048.9</v>
      </c>
      <c r="Z106" s="14">
        <f>+'A) Base RI'!N106</f>
        <v>0</v>
      </c>
      <c r="AA106" s="14">
        <f>'A) Base RI'!U106</f>
        <v>123</v>
      </c>
    </row>
    <row r="107" spans="1:27" x14ac:dyDescent="0.25">
      <c r="A107" s="12">
        <f>'A) Base RI'!A107</f>
        <v>5563</v>
      </c>
      <c r="B107" s="40" t="str">
        <f>'A) Base RI'!B107</f>
        <v>Mutrux</v>
      </c>
      <c r="C107" s="14">
        <f>'A) Base RI'!C107+'A) Base RI'!D107</f>
        <v>312970.83999999997</v>
      </c>
      <c r="D107" s="14">
        <f>'A) Base RI'!V107</f>
        <v>-63.53</v>
      </c>
      <c r="E107" s="39">
        <f>'A) Base RI'!W107</f>
        <v>0</v>
      </c>
      <c r="F107" s="39">
        <f>'A) Base RI'!X107</f>
        <v>0</v>
      </c>
      <c r="G107" s="4">
        <f t="shared" si="6"/>
        <v>312907.30999999994</v>
      </c>
      <c r="H107" s="14">
        <f>+'A) Base RI'!E107</f>
        <v>0</v>
      </c>
      <c r="I107" s="14">
        <f>+'A) Base RI'!F107</f>
        <v>540</v>
      </c>
      <c r="J107" s="14">
        <f>+'A) Base RI'!G107+'A) Base RI'!H107</f>
        <v>920.94999999999993</v>
      </c>
      <c r="K107" s="14">
        <f>+'A) Base RI'!I107</f>
        <v>0</v>
      </c>
      <c r="L107" s="14">
        <f>+'A) Base RI'!J107</f>
        <v>1563.23</v>
      </c>
      <c r="M107" s="14">
        <f>+'A) Base RI'!K107</f>
        <v>0</v>
      </c>
      <c r="N107" s="14">
        <f>+'A) Base RI'!Q107</f>
        <v>0</v>
      </c>
      <c r="O107" s="14">
        <f t="shared" si="7"/>
        <v>19669.25</v>
      </c>
      <c r="P107" s="14">
        <f>+'A) Base RI'!L107</f>
        <v>19669.25</v>
      </c>
      <c r="Q107" s="42">
        <f>'A) Base RI'!Y107</f>
        <v>1</v>
      </c>
      <c r="R107" s="4">
        <f t="shared" si="8"/>
        <v>335600.73999999993</v>
      </c>
      <c r="S107" s="41">
        <f>'A) Base RI'!T107</f>
        <v>78.5</v>
      </c>
      <c r="T107" s="4">
        <f t="shared" si="9"/>
        <v>315391.48999999993</v>
      </c>
      <c r="U107" s="4">
        <f t="shared" si="10"/>
        <v>4275.1686624203812</v>
      </c>
      <c r="V107" s="14">
        <f>+'A) Base RI'!O107</f>
        <v>0</v>
      </c>
      <c r="W107" s="14">
        <f>+'A) Base RI'!P107</f>
        <v>15528.95</v>
      </c>
      <c r="X107" s="14">
        <f>+'A) Base RI'!R107</f>
        <v>11302.8</v>
      </c>
      <c r="Y107" s="4">
        <f t="shared" si="11"/>
        <v>26831.75</v>
      </c>
      <c r="Z107" s="14">
        <f>+'A) Base RI'!N107</f>
        <v>0</v>
      </c>
      <c r="AA107" s="14">
        <f>'A) Base RI'!U107</f>
        <v>162</v>
      </c>
    </row>
    <row r="108" spans="1:27" x14ac:dyDescent="0.25">
      <c r="A108" s="12">
        <f>'A) Base RI'!A108</f>
        <v>5564</v>
      </c>
      <c r="B108" s="40" t="str">
        <f>'A) Base RI'!B108</f>
        <v>Novalles</v>
      </c>
      <c r="C108" s="14">
        <f>'A) Base RI'!C108+'A) Base RI'!D108</f>
        <v>141890.17000000001</v>
      </c>
      <c r="D108" s="14">
        <f>'A) Base RI'!V108</f>
        <v>-44.56</v>
      </c>
      <c r="E108" s="39">
        <f>'A) Base RI'!W108</f>
        <v>0</v>
      </c>
      <c r="F108" s="39">
        <f>'A) Base RI'!X108</f>
        <v>0</v>
      </c>
      <c r="G108" s="4">
        <f t="shared" si="6"/>
        <v>141845.61000000002</v>
      </c>
      <c r="H108" s="14">
        <f>+'A) Base RI'!E108</f>
        <v>0</v>
      </c>
      <c r="I108" s="14">
        <f>+'A) Base RI'!F108</f>
        <v>0</v>
      </c>
      <c r="J108" s="14">
        <f>+'A) Base RI'!G108+'A) Base RI'!H108</f>
        <v>217.9</v>
      </c>
      <c r="K108" s="14">
        <f>+'A) Base RI'!I108</f>
        <v>0</v>
      </c>
      <c r="L108" s="14">
        <f>+'A) Base RI'!J108</f>
        <v>2458.4</v>
      </c>
      <c r="M108" s="14">
        <f>+'A) Base RI'!K108</f>
        <v>0</v>
      </c>
      <c r="N108" s="14">
        <f>+'A) Base RI'!Q108</f>
        <v>0</v>
      </c>
      <c r="O108" s="14">
        <f t="shared" si="7"/>
        <v>12266.6875</v>
      </c>
      <c r="P108" s="14">
        <f>+'A) Base RI'!L108</f>
        <v>9813.35</v>
      </c>
      <c r="Q108" s="42">
        <f>'A) Base RI'!Y108</f>
        <v>0.8</v>
      </c>
      <c r="R108" s="4">
        <f t="shared" si="8"/>
        <v>156788.5975</v>
      </c>
      <c r="S108" s="41">
        <f>'A) Base RI'!T108</f>
        <v>76</v>
      </c>
      <c r="T108" s="4">
        <f t="shared" si="9"/>
        <v>144521.91</v>
      </c>
      <c r="U108" s="4">
        <f t="shared" si="10"/>
        <v>2063.0078618421053</v>
      </c>
      <c r="V108" s="14">
        <f>+'A) Base RI'!O108</f>
        <v>0</v>
      </c>
      <c r="W108" s="14">
        <f>+'A) Base RI'!P108</f>
        <v>18370</v>
      </c>
      <c r="X108" s="14">
        <f>+'A) Base RI'!R108</f>
        <v>11570.25</v>
      </c>
      <c r="Y108" s="4">
        <f t="shared" si="11"/>
        <v>29940.25</v>
      </c>
      <c r="Z108" s="14">
        <f>+'A) Base RI'!N108</f>
        <v>0</v>
      </c>
      <c r="AA108" s="14">
        <f>'A) Base RI'!U108</f>
        <v>101</v>
      </c>
    </row>
    <row r="109" spans="1:27" x14ac:dyDescent="0.25">
      <c r="A109" s="12">
        <f>'A) Base RI'!A109</f>
        <v>5565</v>
      </c>
      <c r="B109" s="40" t="str">
        <f>'A) Base RI'!B109</f>
        <v>Onnens</v>
      </c>
      <c r="C109" s="14">
        <f>'A) Base RI'!C109+'A) Base RI'!D109</f>
        <v>839644.42</v>
      </c>
      <c r="D109" s="14">
        <f>'A) Base RI'!V109</f>
        <v>-25110.28</v>
      </c>
      <c r="E109" s="39">
        <f>'A) Base RI'!W109</f>
        <v>0</v>
      </c>
      <c r="F109" s="39">
        <f>'A) Base RI'!X109</f>
        <v>-0.05</v>
      </c>
      <c r="G109" s="4">
        <f t="shared" si="6"/>
        <v>814534.09</v>
      </c>
      <c r="H109" s="14">
        <f>+'A) Base RI'!E109</f>
        <v>0</v>
      </c>
      <c r="I109" s="14">
        <f>+'A) Base RI'!F109</f>
        <v>0</v>
      </c>
      <c r="J109" s="14">
        <f>+'A) Base RI'!G109+'A) Base RI'!H109</f>
        <v>191291.2</v>
      </c>
      <c r="K109" s="14">
        <f>+'A) Base RI'!I109</f>
        <v>0</v>
      </c>
      <c r="L109" s="14">
        <f>+'A) Base RI'!J109</f>
        <v>5494.59</v>
      </c>
      <c r="M109" s="14">
        <f>+'A) Base RI'!K109</f>
        <v>21377.5</v>
      </c>
      <c r="N109" s="14">
        <f>+'A) Base RI'!Q109</f>
        <v>15624.37</v>
      </c>
      <c r="O109" s="14">
        <f t="shared" si="7"/>
        <v>115360.66666666667</v>
      </c>
      <c r="P109" s="14">
        <f>+'A) Base RI'!L109</f>
        <v>86520.5</v>
      </c>
      <c r="Q109" s="42">
        <f>'A) Base RI'!Y109</f>
        <v>0.75</v>
      </c>
      <c r="R109" s="4">
        <f t="shared" si="8"/>
        <v>1163682.4166666667</v>
      </c>
      <c r="S109" s="41">
        <f>'A) Base RI'!T109</f>
        <v>65</v>
      </c>
      <c r="T109" s="4">
        <f t="shared" si="9"/>
        <v>1026944.25</v>
      </c>
      <c r="U109" s="4">
        <f t="shared" si="10"/>
        <v>17902.806410256413</v>
      </c>
      <c r="V109" s="14">
        <f>+'A) Base RI'!O109</f>
        <v>0</v>
      </c>
      <c r="W109" s="14">
        <f>+'A) Base RI'!P109</f>
        <v>19691.849999999999</v>
      </c>
      <c r="X109" s="14">
        <f>+'A) Base RI'!R109</f>
        <v>291.64999999999998</v>
      </c>
      <c r="Y109" s="4">
        <f t="shared" si="11"/>
        <v>19983.5</v>
      </c>
      <c r="Z109" s="14">
        <f>+'A) Base RI'!N109</f>
        <v>25568.9</v>
      </c>
      <c r="AA109" s="14">
        <f>'A) Base RI'!U109</f>
        <v>500</v>
      </c>
    </row>
    <row r="110" spans="1:27" x14ac:dyDescent="0.25">
      <c r="A110" s="12">
        <f>'A) Base RI'!A110</f>
        <v>5566</v>
      </c>
      <c r="B110" s="40" t="str">
        <f>'A) Base RI'!B110</f>
        <v>Provence</v>
      </c>
      <c r="C110" s="14">
        <f>'A) Base RI'!C110+'A) Base RI'!D110</f>
        <v>603283.22</v>
      </c>
      <c r="D110" s="14">
        <f>'A) Base RI'!V110</f>
        <v>-4496.8100000000004</v>
      </c>
      <c r="E110" s="39">
        <f>'A) Base RI'!W110</f>
        <v>0</v>
      </c>
      <c r="F110" s="39">
        <f>'A) Base RI'!X110</f>
        <v>0</v>
      </c>
      <c r="G110" s="4">
        <f t="shared" si="6"/>
        <v>598786.40999999992</v>
      </c>
      <c r="H110" s="14">
        <f>+'A) Base RI'!E110</f>
        <v>0</v>
      </c>
      <c r="I110" s="14">
        <f>+'A) Base RI'!F110</f>
        <v>2580</v>
      </c>
      <c r="J110" s="14">
        <f>+'A) Base RI'!G110+'A) Base RI'!H110</f>
        <v>36464.300000000003</v>
      </c>
      <c r="K110" s="14">
        <f>+'A) Base RI'!I110</f>
        <v>0</v>
      </c>
      <c r="L110" s="14">
        <f>+'A) Base RI'!J110</f>
        <v>8776.07</v>
      </c>
      <c r="M110" s="14">
        <f>+'A) Base RI'!K110</f>
        <v>1907.5</v>
      </c>
      <c r="N110" s="14">
        <f>+'A) Base RI'!Q110</f>
        <v>0</v>
      </c>
      <c r="O110" s="14">
        <f t="shared" si="7"/>
        <v>48498.633333333331</v>
      </c>
      <c r="P110" s="14">
        <f>+'A) Base RI'!L110</f>
        <v>72747.95</v>
      </c>
      <c r="Q110" s="42">
        <f>'A) Base RI'!Y110</f>
        <v>1.5</v>
      </c>
      <c r="R110" s="4">
        <f t="shared" si="8"/>
        <v>697012.91333333321</v>
      </c>
      <c r="S110" s="41">
        <f>'A) Base RI'!T110</f>
        <v>81</v>
      </c>
      <c r="T110" s="4">
        <f t="shared" si="9"/>
        <v>644026.77999999991</v>
      </c>
      <c r="U110" s="4">
        <f t="shared" si="10"/>
        <v>8605.0976954732487</v>
      </c>
      <c r="V110" s="14">
        <f>+'A) Base RI'!O110</f>
        <v>1180</v>
      </c>
      <c r="W110" s="14">
        <f>+'A) Base RI'!P110</f>
        <v>29776.15</v>
      </c>
      <c r="X110" s="14">
        <f>+'A) Base RI'!R110</f>
        <v>19026.400000000001</v>
      </c>
      <c r="Y110" s="4">
        <f t="shared" si="11"/>
        <v>49982.55</v>
      </c>
      <c r="Z110" s="14">
        <f>+'A) Base RI'!N110</f>
        <v>75885.149999999994</v>
      </c>
      <c r="AA110" s="14">
        <f>'A) Base RI'!U110</f>
        <v>390</v>
      </c>
    </row>
    <row r="111" spans="1:27" x14ac:dyDescent="0.25">
      <c r="A111" s="12">
        <f>'A) Base RI'!A111</f>
        <v>5568</v>
      </c>
      <c r="B111" s="40" t="str">
        <f>'A) Base RI'!B111</f>
        <v>Sainte-Croix</v>
      </c>
      <c r="C111" s="14">
        <f>'A) Base RI'!C111+'A) Base RI'!D111</f>
        <v>5898000.8499999996</v>
      </c>
      <c r="D111" s="14">
        <f>'A) Base RI'!V111</f>
        <v>-206111.56</v>
      </c>
      <c r="E111" s="39">
        <f>'A) Base RI'!W111</f>
        <v>0</v>
      </c>
      <c r="F111" s="39">
        <f>'A) Base RI'!X111</f>
        <v>-2237.85</v>
      </c>
      <c r="G111" s="4">
        <f t="shared" si="6"/>
        <v>5689651.4400000004</v>
      </c>
      <c r="H111" s="14">
        <f>+'A) Base RI'!E111</f>
        <v>0</v>
      </c>
      <c r="I111" s="14">
        <f>+'A) Base RI'!F111</f>
        <v>0</v>
      </c>
      <c r="J111" s="14">
        <f>+'A) Base RI'!G111+'A) Base RI'!H111</f>
        <v>239459.4</v>
      </c>
      <c r="K111" s="14">
        <f>+'A) Base RI'!I111</f>
        <v>20500.55</v>
      </c>
      <c r="L111" s="14">
        <f>+'A) Base RI'!J111</f>
        <v>174469.09</v>
      </c>
      <c r="M111" s="14">
        <f>+'A) Base RI'!K111</f>
        <v>34090.5</v>
      </c>
      <c r="N111" s="14">
        <f>+'A) Base RI'!Q111</f>
        <v>35210.550000000003</v>
      </c>
      <c r="O111" s="14">
        <f t="shared" si="7"/>
        <v>542672.25</v>
      </c>
      <c r="P111" s="14">
        <f>+'A) Base RI'!L111</f>
        <v>542672.25</v>
      </c>
      <c r="Q111" s="42">
        <f>'A) Base RI'!Y111</f>
        <v>1</v>
      </c>
      <c r="R111" s="4">
        <f t="shared" si="8"/>
        <v>6736053.7800000003</v>
      </c>
      <c r="S111" s="41">
        <f>'A) Base RI'!T111</f>
        <v>70</v>
      </c>
      <c r="T111" s="4">
        <f t="shared" si="9"/>
        <v>6159291.0300000003</v>
      </c>
      <c r="U111" s="4">
        <f t="shared" si="10"/>
        <v>96229.339714285714</v>
      </c>
      <c r="V111" s="14">
        <f>+'A) Base RI'!O111</f>
        <v>194599.3</v>
      </c>
      <c r="W111" s="14">
        <f>+'A) Base RI'!P111</f>
        <v>204762.55</v>
      </c>
      <c r="X111" s="14">
        <f>+'A) Base RI'!R111</f>
        <v>168712.85</v>
      </c>
      <c r="Y111" s="4">
        <f t="shared" si="11"/>
        <v>568074.69999999995</v>
      </c>
      <c r="Z111" s="14">
        <f>+'A) Base RI'!N111</f>
        <v>1980595.05</v>
      </c>
      <c r="AA111" s="14">
        <f>'A) Base RI'!U111</f>
        <v>4851</v>
      </c>
    </row>
    <row r="112" spans="1:27" x14ac:dyDescent="0.25">
      <c r="A112" s="12">
        <f>'A) Base RI'!A112</f>
        <v>5571</v>
      </c>
      <c r="B112" s="40" t="str">
        <f>'A) Base RI'!B112</f>
        <v>Tévenon</v>
      </c>
      <c r="C112" s="14">
        <f>'A) Base RI'!C112+'A) Base RI'!D112</f>
        <v>1363698.4</v>
      </c>
      <c r="D112" s="14">
        <f>'A) Base RI'!V112</f>
        <v>-13839.64</v>
      </c>
      <c r="E112" s="39">
        <f>'A) Base RI'!W112</f>
        <v>0</v>
      </c>
      <c r="F112" s="39">
        <f>'A) Base RI'!X112</f>
        <v>0</v>
      </c>
      <c r="G112" s="4">
        <f t="shared" si="6"/>
        <v>1349858.76</v>
      </c>
      <c r="H112" s="14">
        <f>+'A) Base RI'!E112</f>
        <v>0</v>
      </c>
      <c r="I112" s="14">
        <f>+'A) Base RI'!F112</f>
        <v>0</v>
      </c>
      <c r="J112" s="14">
        <f>+'A) Base RI'!G112+'A) Base RI'!H112</f>
        <v>4959.45</v>
      </c>
      <c r="K112" s="14">
        <f>+'A) Base RI'!I112</f>
        <v>0</v>
      </c>
      <c r="L112" s="14">
        <f>+'A) Base RI'!J112</f>
        <v>30121.83</v>
      </c>
      <c r="M112" s="14">
        <f>+'A) Base RI'!K112</f>
        <v>3834</v>
      </c>
      <c r="N112" s="14">
        <f>+'A) Base RI'!Q112</f>
        <v>7593.38</v>
      </c>
      <c r="O112" s="14">
        <f t="shared" si="7"/>
        <v>133965.58333333334</v>
      </c>
      <c r="P112" s="14">
        <f>+'A) Base RI'!L112</f>
        <v>160758.70000000001</v>
      </c>
      <c r="Q112" s="42">
        <f>'A) Base RI'!Y112</f>
        <v>1.2</v>
      </c>
      <c r="R112" s="4">
        <f t="shared" si="8"/>
        <v>1530333.0033333332</v>
      </c>
      <c r="S112" s="41">
        <f>'A) Base RI'!T112</f>
        <v>73</v>
      </c>
      <c r="T112" s="4">
        <f t="shared" si="9"/>
        <v>1392533.42</v>
      </c>
      <c r="U112" s="4">
        <f t="shared" si="10"/>
        <v>20963.465799086756</v>
      </c>
      <c r="V112" s="14">
        <f>+'A) Base RI'!O112</f>
        <v>92910.3</v>
      </c>
      <c r="W112" s="14">
        <f>+'A) Base RI'!P112</f>
        <v>87698.8</v>
      </c>
      <c r="X112" s="14">
        <f>+'A) Base RI'!R112</f>
        <v>179292.55</v>
      </c>
      <c r="Y112" s="4">
        <f t="shared" si="11"/>
        <v>359901.65</v>
      </c>
      <c r="Z112" s="14">
        <f>+'A) Base RI'!N112</f>
        <v>60704.55</v>
      </c>
      <c r="AA112" s="14">
        <f>'A) Base RI'!U112</f>
        <v>791</v>
      </c>
    </row>
    <row r="113" spans="1:27" x14ac:dyDescent="0.25">
      <c r="A113" s="12">
        <f>'A) Base RI'!A113</f>
        <v>5581</v>
      </c>
      <c r="B113" s="40" t="str">
        <f>'A) Base RI'!B113</f>
        <v>Belmont-sur-Lausanne</v>
      </c>
      <c r="C113" s="14">
        <f>'A) Base RI'!C113+'A) Base RI'!D113</f>
        <v>11727887.630000001</v>
      </c>
      <c r="D113" s="14">
        <f>'A) Base RI'!V113</f>
        <v>-158806.78</v>
      </c>
      <c r="E113" s="39">
        <f>'A) Base RI'!W113</f>
        <v>0</v>
      </c>
      <c r="F113" s="39">
        <f>'A) Base RI'!X113</f>
        <v>-4511.16</v>
      </c>
      <c r="G113" s="4">
        <f t="shared" si="6"/>
        <v>11564569.690000001</v>
      </c>
      <c r="H113" s="14">
        <f>+'A) Base RI'!E113</f>
        <v>0</v>
      </c>
      <c r="I113" s="14">
        <f>+'A) Base RI'!F113</f>
        <v>0</v>
      </c>
      <c r="J113" s="14">
        <f>+'A) Base RI'!G113+'A) Base RI'!H113</f>
        <v>236857.5</v>
      </c>
      <c r="K113" s="14">
        <f>+'A) Base RI'!I113</f>
        <v>108732.05</v>
      </c>
      <c r="L113" s="14">
        <f>+'A) Base RI'!J113</f>
        <v>122391.82</v>
      </c>
      <c r="M113" s="14">
        <f>+'A) Base RI'!K113</f>
        <v>25990.5</v>
      </c>
      <c r="N113" s="14">
        <f>+'A) Base RI'!Q113</f>
        <v>54867.66</v>
      </c>
      <c r="O113" s="14">
        <f t="shared" si="7"/>
        <v>886073.66666666663</v>
      </c>
      <c r="P113" s="14">
        <f>+'A) Base RI'!L113</f>
        <v>1329110.5</v>
      </c>
      <c r="Q113" s="42">
        <f>'A) Base RI'!Y113</f>
        <v>1.5</v>
      </c>
      <c r="R113" s="4">
        <f t="shared" si="8"/>
        <v>12999482.886666669</v>
      </c>
      <c r="S113" s="41">
        <f>'A) Base RI'!T113</f>
        <v>69.5</v>
      </c>
      <c r="T113" s="4">
        <f t="shared" si="9"/>
        <v>12087418.720000003</v>
      </c>
      <c r="U113" s="4">
        <f t="shared" si="10"/>
        <v>187042.91923261393</v>
      </c>
      <c r="V113" s="14">
        <f>+'A) Base RI'!O113</f>
        <v>48882.5</v>
      </c>
      <c r="W113" s="14">
        <f>+'A) Base RI'!P113</f>
        <v>358353.5</v>
      </c>
      <c r="X113" s="14">
        <f>+'A) Base RI'!R113</f>
        <v>239311.6</v>
      </c>
      <c r="Y113" s="4">
        <f t="shared" si="11"/>
        <v>646547.6</v>
      </c>
      <c r="Z113" s="14">
        <f>+'A) Base RI'!N113</f>
        <v>0</v>
      </c>
      <c r="AA113" s="14">
        <f>'A) Base RI'!U113</f>
        <v>3564</v>
      </c>
    </row>
    <row r="114" spans="1:27" x14ac:dyDescent="0.25">
      <c r="A114" s="12">
        <f>'A) Base RI'!A114</f>
        <v>5582</v>
      </c>
      <c r="B114" s="40" t="str">
        <f>'A) Base RI'!B114</f>
        <v>Cheseaux-sur-Lausanne</v>
      </c>
      <c r="C114" s="14">
        <f>'A) Base RI'!C114+'A) Base RI'!D114</f>
        <v>9838303.75</v>
      </c>
      <c r="D114" s="14">
        <f>'A) Base RI'!V114</f>
        <v>-182778.36</v>
      </c>
      <c r="E114" s="39">
        <f>'A) Base RI'!W114</f>
        <v>0</v>
      </c>
      <c r="F114" s="39">
        <f>'A) Base RI'!X114</f>
        <v>-357.5</v>
      </c>
      <c r="G114" s="4">
        <f t="shared" si="6"/>
        <v>9655167.8900000006</v>
      </c>
      <c r="H114" s="14">
        <f>+'A) Base RI'!E114</f>
        <v>0</v>
      </c>
      <c r="I114" s="14">
        <f>+'A) Base RI'!F114</f>
        <v>0</v>
      </c>
      <c r="J114" s="14">
        <f>+'A) Base RI'!G114+'A) Base RI'!H114</f>
        <v>4284330.8999999994</v>
      </c>
      <c r="K114" s="14">
        <f>+'A) Base RI'!I114</f>
        <v>31389.35</v>
      </c>
      <c r="L114" s="14">
        <f>+'A) Base RI'!J114</f>
        <v>313167.74</v>
      </c>
      <c r="M114" s="14">
        <f>+'A) Base RI'!K114</f>
        <v>60429.5</v>
      </c>
      <c r="N114" s="14">
        <f>+'A) Base RI'!Q114</f>
        <v>-1252.8499999999999</v>
      </c>
      <c r="O114" s="14">
        <f t="shared" si="7"/>
        <v>826247.7</v>
      </c>
      <c r="P114" s="14">
        <f>+'A) Base RI'!L114</f>
        <v>826247.7</v>
      </c>
      <c r="Q114" s="42">
        <f>'A) Base RI'!Y114</f>
        <v>1</v>
      </c>
      <c r="R114" s="4">
        <f t="shared" si="8"/>
        <v>15169480.229999999</v>
      </c>
      <c r="S114" s="41">
        <f>'A) Base RI'!T114</f>
        <v>74.5</v>
      </c>
      <c r="T114" s="4">
        <f t="shared" si="9"/>
        <v>14282803.029999999</v>
      </c>
      <c r="U114" s="4">
        <f t="shared" si="10"/>
        <v>203617.184295302</v>
      </c>
      <c r="V114" s="14">
        <f>+'A) Base RI'!O114</f>
        <v>135075.1</v>
      </c>
      <c r="W114" s="14">
        <f>+'A) Base RI'!P114</f>
        <v>229217.15</v>
      </c>
      <c r="X114" s="14">
        <f>+'A) Base RI'!R114</f>
        <v>180234.7</v>
      </c>
      <c r="Y114" s="4">
        <f t="shared" si="11"/>
        <v>544526.94999999995</v>
      </c>
      <c r="Z114" s="14">
        <f>+'A) Base RI'!N114</f>
        <v>594174.44999999995</v>
      </c>
      <c r="AA114" s="14">
        <f>'A) Base RI'!U114</f>
        <v>4347</v>
      </c>
    </row>
    <row r="115" spans="1:27" x14ac:dyDescent="0.25">
      <c r="A115" s="12">
        <f>'A) Base RI'!A115</f>
        <v>5583</v>
      </c>
      <c r="B115" s="40" t="str">
        <f>'A) Base RI'!B115</f>
        <v>Crissier</v>
      </c>
      <c r="C115" s="14">
        <f>'A) Base RI'!C115+'A) Base RI'!D115</f>
        <v>12453982.029999999</v>
      </c>
      <c r="D115" s="14">
        <f>'A) Base RI'!V115</f>
        <v>-321213.89</v>
      </c>
      <c r="E115" s="39">
        <f>'A) Base RI'!W115</f>
        <v>0</v>
      </c>
      <c r="F115" s="39">
        <f>'A) Base RI'!X115</f>
        <v>-1105.7</v>
      </c>
      <c r="G115" s="4">
        <f t="shared" si="6"/>
        <v>12131662.439999999</v>
      </c>
      <c r="H115" s="14">
        <f>+'A) Base RI'!E115</f>
        <v>0</v>
      </c>
      <c r="I115" s="14">
        <f>+'A) Base RI'!F115</f>
        <v>0</v>
      </c>
      <c r="J115" s="14">
        <f>+'A) Base RI'!G115+'A) Base RI'!H115</f>
        <v>4730782.0500000007</v>
      </c>
      <c r="K115" s="14">
        <f>+'A) Base RI'!I115</f>
        <v>0</v>
      </c>
      <c r="L115" s="14">
        <f>+'A) Base RI'!J115</f>
        <v>810423.92</v>
      </c>
      <c r="M115" s="14">
        <f>+'A) Base RI'!K115</f>
        <v>330036.5</v>
      </c>
      <c r="N115" s="14">
        <f>+'A) Base RI'!Q115</f>
        <v>119685.05</v>
      </c>
      <c r="O115" s="14">
        <f t="shared" si="7"/>
        <v>2140589.4</v>
      </c>
      <c r="P115" s="14">
        <f>+'A) Base RI'!L115</f>
        <v>2140589.4</v>
      </c>
      <c r="Q115" s="42">
        <f>'A) Base RI'!Y115</f>
        <v>1</v>
      </c>
      <c r="R115" s="4">
        <f t="shared" si="8"/>
        <v>20263179.360000003</v>
      </c>
      <c r="S115" s="41">
        <f>'A) Base RI'!T115</f>
        <v>65</v>
      </c>
      <c r="T115" s="4">
        <f t="shared" si="9"/>
        <v>17792553.460000005</v>
      </c>
      <c r="U115" s="4">
        <f t="shared" si="10"/>
        <v>311741.22092307697</v>
      </c>
      <c r="V115" s="14">
        <f>+'A) Base RI'!O115</f>
        <v>119082</v>
      </c>
      <c r="W115" s="14">
        <f>+'A) Base RI'!P115</f>
        <v>325479</v>
      </c>
      <c r="X115" s="14">
        <f>+'A) Base RI'!R115</f>
        <v>322741.15000000002</v>
      </c>
      <c r="Y115" s="4">
        <f t="shared" si="11"/>
        <v>767302.15</v>
      </c>
      <c r="Z115" s="14">
        <f>+'A) Base RI'!N115</f>
        <v>1524139.45</v>
      </c>
      <c r="AA115" s="14">
        <f>'A) Base RI'!U115</f>
        <v>7636</v>
      </c>
    </row>
    <row r="116" spans="1:27" x14ac:dyDescent="0.25">
      <c r="A116" s="12">
        <f>'A) Base RI'!A116</f>
        <v>5584</v>
      </c>
      <c r="B116" s="40" t="str">
        <f>'A) Base RI'!B116</f>
        <v>Epalinges</v>
      </c>
      <c r="C116" s="14">
        <f>'A) Base RI'!C116+'A) Base RI'!D116</f>
        <v>24570129.02</v>
      </c>
      <c r="D116" s="14">
        <f>'A) Base RI'!V116</f>
        <v>-173912.38</v>
      </c>
      <c r="E116" s="39">
        <f>'A) Base RI'!W116</f>
        <v>0</v>
      </c>
      <c r="F116" s="39">
        <f>'A) Base RI'!X116</f>
        <v>-11263.02</v>
      </c>
      <c r="G116" s="4">
        <f t="shared" si="6"/>
        <v>24384953.620000001</v>
      </c>
      <c r="H116" s="14">
        <f>+'A) Base RI'!E116</f>
        <v>0</v>
      </c>
      <c r="I116" s="14">
        <f>+'A) Base RI'!F116</f>
        <v>0</v>
      </c>
      <c r="J116" s="14">
        <f>+'A) Base RI'!G116+'A) Base RI'!H116</f>
        <v>2201333.85</v>
      </c>
      <c r="K116" s="14">
        <f>+'A) Base RI'!I116</f>
        <v>452949.9</v>
      </c>
      <c r="L116" s="14">
        <f>+'A) Base RI'!J116</f>
        <v>738290.91</v>
      </c>
      <c r="M116" s="14">
        <f>+'A) Base RI'!K116</f>
        <v>187148.5</v>
      </c>
      <c r="N116" s="14">
        <f>+'A) Base RI'!Q116</f>
        <v>102824.18</v>
      </c>
      <c r="O116" s="14">
        <f t="shared" si="7"/>
        <v>2008204.7</v>
      </c>
      <c r="P116" s="14">
        <f>+'A) Base RI'!L116</f>
        <v>2008204.7</v>
      </c>
      <c r="Q116" s="42">
        <f>'A) Base RI'!Y116</f>
        <v>1</v>
      </c>
      <c r="R116" s="4">
        <f t="shared" si="8"/>
        <v>30075705.66</v>
      </c>
      <c r="S116" s="41">
        <f>'A) Base RI'!T116</f>
        <v>66</v>
      </c>
      <c r="T116" s="4">
        <f t="shared" si="9"/>
        <v>27880352.460000001</v>
      </c>
      <c r="U116" s="4">
        <f t="shared" si="10"/>
        <v>455692.51</v>
      </c>
      <c r="V116" s="14">
        <f>+'A) Base RI'!O116</f>
        <v>2477979.5499999998</v>
      </c>
      <c r="W116" s="14">
        <f>+'A) Base RI'!P116</f>
        <v>1068041.8999999999</v>
      </c>
      <c r="X116" s="14">
        <f>+'A) Base RI'!R116</f>
        <v>865144.2</v>
      </c>
      <c r="Y116" s="4">
        <f t="shared" si="11"/>
        <v>4411165.6499999994</v>
      </c>
      <c r="Z116" s="14">
        <f>+'A) Base RI'!N116</f>
        <v>192165.8</v>
      </c>
      <c r="AA116" s="14">
        <f>'A) Base RI'!U116</f>
        <v>9297</v>
      </c>
    </row>
    <row r="117" spans="1:27" x14ac:dyDescent="0.25">
      <c r="A117" s="12">
        <f>'A) Base RI'!A117</f>
        <v>5585</v>
      </c>
      <c r="B117" s="40" t="str">
        <f>'A) Base RI'!B117</f>
        <v>Jouxtens-Mézery</v>
      </c>
      <c r="C117" s="14">
        <f>'A) Base RI'!C117+'A) Base RI'!D117</f>
        <v>9879536.5899999999</v>
      </c>
      <c r="D117" s="14">
        <f>'A) Base RI'!V117</f>
        <v>-13169.96</v>
      </c>
      <c r="E117" s="39">
        <f>'A) Base RI'!W117</f>
        <v>0</v>
      </c>
      <c r="F117" s="39">
        <f>'A) Base RI'!X117</f>
        <v>-7542.65</v>
      </c>
      <c r="G117" s="4">
        <f t="shared" si="6"/>
        <v>9858823.9799999986</v>
      </c>
      <c r="H117" s="14">
        <f>+'A) Base RI'!E117</f>
        <v>0</v>
      </c>
      <c r="I117" s="14">
        <f>+'A) Base RI'!F117</f>
        <v>0</v>
      </c>
      <c r="J117" s="14">
        <f>+'A) Base RI'!G117+'A) Base RI'!H117</f>
        <v>-36782.1</v>
      </c>
      <c r="K117" s="14">
        <f>+'A) Base RI'!I117</f>
        <v>295190.77</v>
      </c>
      <c r="L117" s="14">
        <f>+'A) Base RI'!J117</f>
        <v>68448.28</v>
      </c>
      <c r="M117" s="14">
        <f>+'A) Base RI'!K117</f>
        <v>7547.5</v>
      </c>
      <c r="N117" s="14">
        <f>+'A) Base RI'!Q117</f>
        <v>7968.23</v>
      </c>
      <c r="O117" s="14">
        <f t="shared" si="7"/>
        <v>480750</v>
      </c>
      <c r="P117" s="14">
        <f>+'A) Base RI'!L117</f>
        <v>480750</v>
      </c>
      <c r="Q117" s="42">
        <f>'A) Base RI'!Y117</f>
        <v>1</v>
      </c>
      <c r="R117" s="4">
        <f t="shared" si="8"/>
        <v>10681946.659999998</v>
      </c>
      <c r="S117" s="41">
        <f>'A) Base RI'!T117</f>
        <v>53</v>
      </c>
      <c r="T117" s="4">
        <f t="shared" si="9"/>
        <v>10193649.159999998</v>
      </c>
      <c r="U117" s="4">
        <f t="shared" si="10"/>
        <v>201546.16339622639</v>
      </c>
      <c r="V117" s="14">
        <f>+'A) Base RI'!O117</f>
        <v>352886.1</v>
      </c>
      <c r="W117" s="14">
        <f>+'A) Base RI'!P117</f>
        <v>369119.4</v>
      </c>
      <c r="X117" s="14">
        <f>+'A) Base RI'!R117</f>
        <v>503149.05</v>
      </c>
      <c r="Y117" s="4">
        <f t="shared" si="11"/>
        <v>1225154.55</v>
      </c>
      <c r="Z117" s="14">
        <f>+'A) Base RI'!N117</f>
        <v>2901.35</v>
      </c>
      <c r="AA117" s="14">
        <f>'A) Base RI'!U117</f>
        <v>1448</v>
      </c>
    </row>
    <row r="118" spans="1:27" x14ac:dyDescent="0.25">
      <c r="A118" s="12">
        <f>'A) Base RI'!A118</f>
        <v>5586</v>
      </c>
      <c r="B118" s="40" t="str">
        <f>'A) Base RI'!B118</f>
        <v>Lausanne</v>
      </c>
      <c r="C118" s="14">
        <f>'A) Base RI'!C118+'A) Base RI'!D118</f>
        <v>321859758.56000006</v>
      </c>
      <c r="D118" s="14">
        <f>'A) Base RI'!V118</f>
        <v>-7526201.9299999997</v>
      </c>
      <c r="E118" s="39">
        <f>'A) Base RI'!W118</f>
        <v>0</v>
      </c>
      <c r="F118" s="39">
        <f>'A) Base RI'!X118</f>
        <v>-219351.42</v>
      </c>
      <c r="G118" s="4">
        <f t="shared" si="6"/>
        <v>314114205.21000004</v>
      </c>
      <c r="H118" s="14">
        <f>+'A) Base RI'!E118</f>
        <v>0</v>
      </c>
      <c r="I118" s="14">
        <f>+'A) Base RI'!F118</f>
        <v>0</v>
      </c>
      <c r="J118" s="14">
        <f>+'A) Base RI'!G118+'A) Base RI'!H118</f>
        <v>102894479.25</v>
      </c>
      <c r="K118" s="14">
        <f>+'A) Base RI'!I118</f>
        <v>4712879.03</v>
      </c>
      <c r="L118" s="14">
        <f>+'A) Base RI'!J118</f>
        <v>27949815.609999999</v>
      </c>
      <c r="M118" s="14">
        <f>+'A) Base RI'!K118</f>
        <v>4994475.5</v>
      </c>
      <c r="N118" s="14">
        <f>+'A) Base RI'!Q118</f>
        <v>2110351.9700000002</v>
      </c>
      <c r="O118" s="14">
        <f t="shared" si="7"/>
        <v>23182713.233333334</v>
      </c>
      <c r="P118" s="14">
        <f>+'A) Base RI'!L118</f>
        <v>34774069.850000001</v>
      </c>
      <c r="Q118" s="42">
        <f>'A) Base RI'!Y118</f>
        <v>1.5</v>
      </c>
      <c r="R118" s="4">
        <f t="shared" si="8"/>
        <v>479958919.8033334</v>
      </c>
      <c r="S118" s="41">
        <f>'A) Base RI'!T118</f>
        <v>79</v>
      </c>
      <c r="T118" s="4">
        <f t="shared" si="9"/>
        <v>451781731.07000005</v>
      </c>
      <c r="U118" s="4">
        <f t="shared" si="10"/>
        <v>6075429.3645991571</v>
      </c>
      <c r="V118" s="14">
        <f>+'A) Base RI'!O118</f>
        <v>11758751.1</v>
      </c>
      <c r="W118" s="14">
        <f>+'A) Base RI'!P118</f>
        <v>7847212.2999999998</v>
      </c>
      <c r="X118" s="14">
        <f>+'A) Base RI'!R118</f>
        <v>5276908.05</v>
      </c>
      <c r="Y118" s="4">
        <f t="shared" si="11"/>
        <v>24882871.449999999</v>
      </c>
      <c r="Z118" s="14">
        <f>+'A) Base RI'!N118</f>
        <v>10836314.949999999</v>
      </c>
      <c r="AA118" s="14">
        <f>'A) Base RI'!U118</f>
        <v>137053</v>
      </c>
    </row>
    <row r="119" spans="1:27" x14ac:dyDescent="0.25">
      <c r="A119" s="12">
        <f>'A) Base RI'!A119</f>
        <v>5587</v>
      </c>
      <c r="B119" s="40" t="str">
        <f>'A) Base RI'!B119</f>
        <v>Le Mont-sur-Lausanne</v>
      </c>
      <c r="C119" s="14">
        <f>'A) Base RI'!C119+'A) Base RI'!D119</f>
        <v>24353977.630000003</v>
      </c>
      <c r="D119" s="14">
        <f>'A) Base RI'!V119</f>
        <v>-283461.99</v>
      </c>
      <c r="E119" s="39">
        <f>'A) Base RI'!W119</f>
        <v>0</v>
      </c>
      <c r="F119" s="39">
        <f>'A) Base RI'!X119</f>
        <v>-11481.91</v>
      </c>
      <c r="G119" s="4">
        <f t="shared" si="6"/>
        <v>24059033.730000004</v>
      </c>
      <c r="H119" s="14">
        <f>+'A) Base RI'!E119</f>
        <v>0</v>
      </c>
      <c r="I119" s="14">
        <f>+'A) Base RI'!F119</f>
        <v>0</v>
      </c>
      <c r="J119" s="14">
        <f>+'A) Base RI'!G119+'A) Base RI'!H119</f>
        <v>3427066.15</v>
      </c>
      <c r="K119" s="14">
        <f>+'A) Base RI'!I119</f>
        <v>489915.45</v>
      </c>
      <c r="L119" s="14">
        <f>+'A) Base RI'!J119</f>
        <v>777442.22</v>
      </c>
      <c r="M119" s="14">
        <f>+'A) Base RI'!K119</f>
        <v>182070.5</v>
      </c>
      <c r="N119" s="14">
        <f>+'A) Base RI'!Q119</f>
        <v>72598.78</v>
      </c>
      <c r="O119" s="14">
        <f t="shared" si="7"/>
        <v>1992658.375</v>
      </c>
      <c r="P119" s="14">
        <f>+'A) Base RI'!L119</f>
        <v>2391190.0499999998</v>
      </c>
      <c r="Q119" s="42">
        <f>'A) Base RI'!Y119</f>
        <v>1.2</v>
      </c>
      <c r="R119" s="4">
        <f t="shared" si="8"/>
        <v>31000785.205000002</v>
      </c>
      <c r="S119" s="41">
        <f>'A) Base RI'!T119</f>
        <v>75</v>
      </c>
      <c r="T119" s="4">
        <f t="shared" si="9"/>
        <v>28826056.330000002</v>
      </c>
      <c r="U119" s="4">
        <f t="shared" si="10"/>
        <v>413343.80273333337</v>
      </c>
      <c r="V119" s="14">
        <f>+'A) Base RI'!O119</f>
        <v>471083</v>
      </c>
      <c r="W119" s="14">
        <f>+'A) Base RI'!P119</f>
        <v>1089369.95</v>
      </c>
      <c r="X119" s="14">
        <f>+'A) Base RI'!R119</f>
        <v>362440.8</v>
      </c>
      <c r="Y119" s="4">
        <f t="shared" si="11"/>
        <v>1922893.75</v>
      </c>
      <c r="Z119" s="14">
        <f>+'A) Base RI'!N119</f>
        <v>462043.85</v>
      </c>
      <c r="AA119" s="14">
        <f>'A) Base RI'!U119</f>
        <v>7881</v>
      </c>
    </row>
    <row r="120" spans="1:27" x14ac:dyDescent="0.25">
      <c r="A120" s="12">
        <f>'A) Base RI'!A120</f>
        <v>5588</v>
      </c>
      <c r="B120" s="40" t="str">
        <f>'A) Base RI'!B120</f>
        <v>Paudex</v>
      </c>
      <c r="C120" s="14">
        <f>'A) Base RI'!C120+'A) Base RI'!D120</f>
        <v>7174981.2800000003</v>
      </c>
      <c r="D120" s="14">
        <f>'A) Base RI'!V120</f>
        <v>-49562.78</v>
      </c>
      <c r="E120" s="39">
        <f>'A) Base RI'!W120</f>
        <v>0</v>
      </c>
      <c r="F120" s="39">
        <f>'A) Base RI'!X120</f>
        <v>-22608.21</v>
      </c>
      <c r="G120" s="4">
        <f t="shared" si="6"/>
        <v>7102810.29</v>
      </c>
      <c r="H120" s="14">
        <f>+'A) Base RI'!E120</f>
        <v>0</v>
      </c>
      <c r="I120" s="14">
        <f>+'A) Base RI'!F120</f>
        <v>0</v>
      </c>
      <c r="J120" s="14">
        <f>+'A) Base RI'!G120+'A) Base RI'!H120</f>
        <v>1261032</v>
      </c>
      <c r="K120" s="14">
        <f>+'A) Base RI'!I120</f>
        <v>558615.4</v>
      </c>
      <c r="L120" s="14">
        <f>+'A) Base RI'!J120</f>
        <v>317263.40000000002</v>
      </c>
      <c r="M120" s="14">
        <f>+'A) Base RI'!K120</f>
        <v>37323.5</v>
      </c>
      <c r="N120" s="14">
        <f>+'A) Base RI'!Q120</f>
        <v>9168.6200000000008</v>
      </c>
      <c r="O120" s="14">
        <f t="shared" si="7"/>
        <v>553822.28571428568</v>
      </c>
      <c r="P120" s="14">
        <f>+'A) Base RI'!L120</f>
        <v>387675.6</v>
      </c>
      <c r="Q120" s="42">
        <f>'A) Base RI'!Y120</f>
        <v>0.7</v>
      </c>
      <c r="R120" s="4">
        <f t="shared" si="8"/>
        <v>9840035.4957142845</v>
      </c>
      <c r="S120" s="41">
        <f>'A) Base RI'!T120</f>
        <v>61.5</v>
      </c>
      <c r="T120" s="4">
        <f t="shared" si="9"/>
        <v>9248889.709999999</v>
      </c>
      <c r="U120" s="4">
        <f t="shared" si="10"/>
        <v>160000.57716608592</v>
      </c>
      <c r="V120" s="14">
        <f>+'A) Base RI'!O120</f>
        <v>379750</v>
      </c>
      <c r="W120" s="14">
        <f>+'A) Base RI'!P120</f>
        <v>77181.5</v>
      </c>
      <c r="X120" s="14">
        <f>+'A) Base RI'!R120</f>
        <v>91613.45</v>
      </c>
      <c r="Y120" s="4">
        <f t="shared" si="11"/>
        <v>548544.94999999995</v>
      </c>
      <c r="Z120" s="14">
        <f>+'A) Base RI'!N120</f>
        <v>20109.5</v>
      </c>
      <c r="AA120" s="14">
        <f>'A) Base RI'!U120</f>
        <v>1473</v>
      </c>
    </row>
    <row r="121" spans="1:27" x14ac:dyDescent="0.25">
      <c r="A121" s="12">
        <f>'A) Base RI'!A121</f>
        <v>5589</v>
      </c>
      <c r="B121" s="40" t="str">
        <f>'A) Base RI'!B121</f>
        <v>Prilly</v>
      </c>
      <c r="C121" s="14">
        <f>'A) Base RI'!C121+'A) Base RI'!D121</f>
        <v>19416936.150000002</v>
      </c>
      <c r="D121" s="14">
        <f>'A) Base RI'!V121</f>
        <v>-587908.07999999996</v>
      </c>
      <c r="E121" s="39">
        <f>'A) Base RI'!W121</f>
        <v>0</v>
      </c>
      <c r="F121" s="39">
        <f>'A) Base RI'!X121</f>
        <v>-14714.01</v>
      </c>
      <c r="G121" s="4">
        <f t="shared" si="6"/>
        <v>18814314.060000002</v>
      </c>
      <c r="H121" s="14">
        <f>+'A) Base RI'!E121</f>
        <v>0</v>
      </c>
      <c r="I121" s="14">
        <f>+'A) Base RI'!F121</f>
        <v>0</v>
      </c>
      <c r="J121" s="14">
        <f>+'A) Base RI'!G121+'A) Base RI'!H121</f>
        <v>9201788.6500000004</v>
      </c>
      <c r="K121" s="14">
        <f>+'A) Base RI'!I121</f>
        <v>52862.85</v>
      </c>
      <c r="L121" s="14">
        <f>+'A) Base RI'!J121</f>
        <v>1751051.54</v>
      </c>
      <c r="M121" s="14">
        <f>+'A) Base RI'!K121</f>
        <v>349960.5</v>
      </c>
      <c r="N121" s="14">
        <f>+'A) Base RI'!Q121</f>
        <v>94233.13</v>
      </c>
      <c r="O121" s="14">
        <f t="shared" si="7"/>
        <v>1897495.35</v>
      </c>
      <c r="P121" s="14">
        <f>+'A) Base RI'!L121</f>
        <v>1897495.35</v>
      </c>
      <c r="Q121" s="42">
        <f>'A) Base RI'!Y121</f>
        <v>1</v>
      </c>
      <c r="R121" s="4">
        <f t="shared" si="8"/>
        <v>32161706.080000002</v>
      </c>
      <c r="S121" s="41">
        <f>'A) Base RI'!T121</f>
        <v>73.5</v>
      </c>
      <c r="T121" s="4">
        <f t="shared" si="9"/>
        <v>29914250.23</v>
      </c>
      <c r="U121" s="4">
        <f t="shared" si="10"/>
        <v>437574.2323809524</v>
      </c>
      <c r="V121" s="14">
        <f>+'A) Base RI'!O121</f>
        <v>643056.19999999995</v>
      </c>
      <c r="W121" s="14">
        <f>+'A) Base RI'!P121</f>
        <v>997131.55</v>
      </c>
      <c r="X121" s="14">
        <f>+'A) Base RI'!R121</f>
        <v>822062.6</v>
      </c>
      <c r="Y121" s="4">
        <f t="shared" si="11"/>
        <v>2462250.35</v>
      </c>
      <c r="Z121" s="14">
        <f>+'A) Base RI'!N121</f>
        <v>1188811.95</v>
      </c>
      <c r="AA121" s="14">
        <f>'A) Base RI'!U121</f>
        <v>11871</v>
      </c>
    </row>
    <row r="122" spans="1:27" x14ac:dyDescent="0.25">
      <c r="A122" s="12">
        <f>'A) Base RI'!A122</f>
        <v>5590</v>
      </c>
      <c r="B122" s="40" t="str">
        <f>'A) Base RI'!B122</f>
        <v>Pully</v>
      </c>
      <c r="C122" s="14">
        <f>'A) Base RI'!C122+'A) Base RI'!D122</f>
        <v>70580678.75</v>
      </c>
      <c r="D122" s="14">
        <f>'A) Base RI'!V122</f>
        <v>-586394.19999999995</v>
      </c>
      <c r="E122" s="39">
        <f>'A) Base RI'!W122</f>
        <v>0</v>
      </c>
      <c r="F122" s="39">
        <f>'A) Base RI'!X122</f>
        <v>-417602.01</v>
      </c>
      <c r="G122" s="4">
        <f t="shared" si="6"/>
        <v>69576682.539999992</v>
      </c>
      <c r="H122" s="14">
        <f>+'A) Base RI'!E122</f>
        <v>0</v>
      </c>
      <c r="I122" s="14">
        <f>+'A) Base RI'!F122</f>
        <v>0</v>
      </c>
      <c r="J122" s="14">
        <f>+'A) Base RI'!G122+'A) Base RI'!H122</f>
        <v>6879234.1500000004</v>
      </c>
      <c r="K122" s="14">
        <f>+'A) Base RI'!I122</f>
        <v>3385875.18</v>
      </c>
      <c r="L122" s="14">
        <f>+'A) Base RI'!J122</f>
        <v>1974307.36</v>
      </c>
      <c r="M122" s="14">
        <f>+'A) Base RI'!K122</f>
        <v>390224</v>
      </c>
      <c r="N122" s="14">
        <f>+'A) Base RI'!Q122</f>
        <v>61780.91</v>
      </c>
      <c r="O122" s="14">
        <f t="shared" si="7"/>
        <v>4492087.2857142864</v>
      </c>
      <c r="P122" s="14">
        <f>+'A) Base RI'!L122</f>
        <v>3144461.1</v>
      </c>
      <c r="Q122" s="42">
        <f>'A) Base RI'!Y122</f>
        <v>0.7</v>
      </c>
      <c r="R122" s="4">
        <f t="shared" si="8"/>
        <v>86760191.425714284</v>
      </c>
      <c r="S122" s="41">
        <f>'A) Base RI'!T122</f>
        <v>61</v>
      </c>
      <c r="T122" s="4">
        <f t="shared" si="9"/>
        <v>81877880.140000001</v>
      </c>
      <c r="U122" s="4">
        <f t="shared" si="10"/>
        <v>1422298.2200936768</v>
      </c>
      <c r="V122" s="14">
        <f>+'A) Base RI'!O122</f>
        <v>3392751.3</v>
      </c>
      <c r="W122" s="14">
        <f>+'A) Base RI'!P122</f>
        <v>2938483.9</v>
      </c>
      <c r="X122" s="14">
        <f>+'A) Base RI'!R122</f>
        <v>1489359.25</v>
      </c>
      <c r="Y122" s="4">
        <f t="shared" si="11"/>
        <v>7820594.4499999993</v>
      </c>
      <c r="Z122" s="14">
        <f>+'A) Base RI'!N122</f>
        <v>130183.05</v>
      </c>
      <c r="AA122" s="14">
        <f>'A) Base RI'!U122</f>
        <v>17979</v>
      </c>
    </row>
    <row r="123" spans="1:27" x14ac:dyDescent="0.25">
      <c r="A123" s="12">
        <f>'A) Base RI'!A123</f>
        <v>5591</v>
      </c>
      <c r="B123" s="40" t="str">
        <f>'A) Base RI'!B123</f>
        <v>Renens</v>
      </c>
      <c r="C123" s="14">
        <f>'A) Base RI'!C123+'A) Base RI'!D123</f>
        <v>30861480.869999997</v>
      </c>
      <c r="D123" s="14">
        <f>'A) Base RI'!V123</f>
        <v>-1258865.69</v>
      </c>
      <c r="E123" s="39">
        <f>'A) Base RI'!W123</f>
        <v>0</v>
      </c>
      <c r="F123" s="39">
        <f>'A) Base RI'!X123</f>
        <v>-3875.18</v>
      </c>
      <c r="G123" s="4">
        <f t="shared" si="6"/>
        <v>29598739.999999996</v>
      </c>
      <c r="H123" s="14">
        <f>+'A) Base RI'!E123</f>
        <v>0</v>
      </c>
      <c r="I123" s="14">
        <f>+'A) Base RI'!F123</f>
        <v>0</v>
      </c>
      <c r="J123" s="14">
        <f>+'A) Base RI'!G123+'A) Base RI'!H123</f>
        <v>5097670.7</v>
      </c>
      <c r="K123" s="14">
        <f>+'A) Base RI'!I123</f>
        <v>0</v>
      </c>
      <c r="L123" s="14">
        <f>+'A) Base RI'!J123</f>
        <v>2727847.1</v>
      </c>
      <c r="M123" s="14">
        <f>+'A) Base RI'!K123</f>
        <v>508166</v>
      </c>
      <c r="N123" s="14">
        <f>+'A) Base RI'!Q123</f>
        <v>379904.24</v>
      </c>
      <c r="O123" s="14">
        <f t="shared" si="7"/>
        <v>3264970.1071428577</v>
      </c>
      <c r="P123" s="14">
        <f>+'A) Base RI'!L123</f>
        <v>4570958.1500000004</v>
      </c>
      <c r="Q123" s="42">
        <f>'A) Base RI'!Y123</f>
        <v>1.4</v>
      </c>
      <c r="R123" s="4">
        <f t="shared" si="8"/>
        <v>41577298.147142857</v>
      </c>
      <c r="S123" s="41">
        <f>'A) Base RI'!T123</f>
        <v>78.5</v>
      </c>
      <c r="T123" s="4">
        <f t="shared" si="9"/>
        <v>37804162.039999999</v>
      </c>
      <c r="U123" s="4">
        <f t="shared" si="10"/>
        <v>529647.11015468603</v>
      </c>
      <c r="V123" s="14">
        <f>+'A) Base RI'!O123</f>
        <v>632766.19999999995</v>
      </c>
      <c r="W123" s="14">
        <f>+'A) Base RI'!P123</f>
        <v>1307089.7</v>
      </c>
      <c r="X123" s="14">
        <f>+'A) Base RI'!R123</f>
        <v>237971.15</v>
      </c>
      <c r="Y123" s="4">
        <f t="shared" si="11"/>
        <v>2177827.0499999998</v>
      </c>
      <c r="Z123" s="14">
        <f>+'A) Base RI'!N123</f>
        <v>2005010.75</v>
      </c>
      <c r="AA123" s="14">
        <f>'A) Base RI'!U123</f>
        <v>20323</v>
      </c>
    </row>
    <row r="124" spans="1:27" x14ac:dyDescent="0.25">
      <c r="A124" s="12">
        <f>'A) Base RI'!A124</f>
        <v>5592</v>
      </c>
      <c r="B124" s="40" t="str">
        <f>'A) Base RI'!B124</f>
        <v>Romanel-sur-Lausanne</v>
      </c>
      <c r="C124" s="14">
        <f>'A) Base RI'!C124+'A) Base RI'!D124</f>
        <v>6240990.4300000006</v>
      </c>
      <c r="D124" s="14">
        <f>'A) Base RI'!V124</f>
        <v>-107589.08</v>
      </c>
      <c r="E124" s="39">
        <f>'A) Base RI'!W124</f>
        <v>0</v>
      </c>
      <c r="F124" s="39">
        <f>'A) Base RI'!X124</f>
        <v>-379.9</v>
      </c>
      <c r="G124" s="4">
        <f t="shared" si="6"/>
        <v>6133021.4500000002</v>
      </c>
      <c r="H124" s="14">
        <f>+'A) Base RI'!E124</f>
        <v>0</v>
      </c>
      <c r="I124" s="14">
        <f>+'A) Base RI'!F124</f>
        <v>0</v>
      </c>
      <c r="J124" s="14">
        <f>+'A) Base RI'!G124+'A) Base RI'!H124</f>
        <v>851841.6</v>
      </c>
      <c r="K124" s="14">
        <f>+'A) Base RI'!I124</f>
        <v>55126.75</v>
      </c>
      <c r="L124" s="14">
        <f>+'A) Base RI'!J124</f>
        <v>221770.81</v>
      </c>
      <c r="M124" s="14">
        <f>+'A) Base RI'!K124</f>
        <v>155449</v>
      </c>
      <c r="N124" s="14">
        <f>+'A) Base RI'!Q124</f>
        <v>7131.66</v>
      </c>
      <c r="O124" s="14">
        <f t="shared" si="7"/>
        <v>734574.75</v>
      </c>
      <c r="P124" s="14">
        <f>+'A) Base RI'!L124</f>
        <v>734574.75</v>
      </c>
      <c r="Q124" s="42">
        <f>'A) Base RI'!Y124</f>
        <v>1</v>
      </c>
      <c r="R124" s="4">
        <f t="shared" si="8"/>
        <v>8158916.0199999996</v>
      </c>
      <c r="S124" s="41">
        <f>'A) Base RI'!T124</f>
        <v>70</v>
      </c>
      <c r="T124" s="4">
        <f t="shared" si="9"/>
        <v>7268892.2699999996</v>
      </c>
      <c r="U124" s="4">
        <f t="shared" si="10"/>
        <v>116555.94314285714</v>
      </c>
      <c r="V124" s="14">
        <f>+'A) Base RI'!O124</f>
        <v>115281.60000000001</v>
      </c>
      <c r="W124" s="14">
        <f>+'A) Base RI'!P124</f>
        <v>77776.7</v>
      </c>
      <c r="X124" s="14">
        <f>+'A) Base RI'!R124</f>
        <v>79314.55</v>
      </c>
      <c r="Y124" s="4">
        <f t="shared" si="11"/>
        <v>272372.84999999998</v>
      </c>
      <c r="Z124" s="14">
        <f>+'A) Base RI'!N124</f>
        <v>200675.95</v>
      </c>
      <c r="AA124" s="14">
        <f>'A) Base RI'!U124</f>
        <v>3352</v>
      </c>
    </row>
    <row r="125" spans="1:27" x14ac:dyDescent="0.25">
      <c r="A125" s="12">
        <f>'A) Base RI'!A125</f>
        <v>5601</v>
      </c>
      <c r="B125" s="40" t="str">
        <f>'A) Base RI'!B125</f>
        <v>Chexbres</v>
      </c>
      <c r="C125" s="14">
        <f>'A) Base RI'!C125+'A) Base RI'!D125</f>
        <v>5606256.8799999999</v>
      </c>
      <c r="D125" s="14">
        <f>'A) Base RI'!V125</f>
        <v>-37454.730000000003</v>
      </c>
      <c r="E125" s="39">
        <f>'A) Base RI'!W125</f>
        <v>0</v>
      </c>
      <c r="F125" s="39">
        <f>'A) Base RI'!X125</f>
        <v>-1128.02</v>
      </c>
      <c r="G125" s="4">
        <f t="shared" si="6"/>
        <v>5567674.1299999999</v>
      </c>
      <c r="H125" s="14">
        <f>+'A) Base RI'!E125</f>
        <v>0</v>
      </c>
      <c r="I125" s="14">
        <f>+'A) Base RI'!F125</f>
        <v>0</v>
      </c>
      <c r="J125" s="14">
        <f>+'A) Base RI'!G125+'A) Base RI'!H125</f>
        <v>116198.95</v>
      </c>
      <c r="K125" s="14">
        <f>+'A) Base RI'!I125</f>
        <v>58811.4</v>
      </c>
      <c r="L125" s="14">
        <f>+'A) Base RI'!J125</f>
        <v>201028.69</v>
      </c>
      <c r="M125" s="14">
        <f>+'A) Base RI'!K125</f>
        <v>17718</v>
      </c>
      <c r="N125" s="14">
        <f>+'A) Base RI'!Q125</f>
        <v>15387.17</v>
      </c>
      <c r="O125" s="14">
        <f t="shared" si="7"/>
        <v>406935.9</v>
      </c>
      <c r="P125" s="14">
        <f>+'A) Base RI'!L125</f>
        <v>406935.9</v>
      </c>
      <c r="Q125" s="42">
        <f>'A) Base RI'!Y125</f>
        <v>1</v>
      </c>
      <c r="R125" s="4">
        <f t="shared" si="8"/>
        <v>6383754.2400000012</v>
      </c>
      <c r="S125" s="41">
        <f>'A) Base RI'!T125</f>
        <v>64</v>
      </c>
      <c r="T125" s="4">
        <f t="shared" si="9"/>
        <v>5959100.3400000008</v>
      </c>
      <c r="U125" s="4">
        <f t="shared" si="10"/>
        <v>99746.160000000018</v>
      </c>
      <c r="V125" s="14">
        <f>+'A) Base RI'!O125</f>
        <v>66138.2</v>
      </c>
      <c r="W125" s="14">
        <f>+'A) Base RI'!P125</f>
        <v>258854.85</v>
      </c>
      <c r="X125" s="14">
        <f>+'A) Base RI'!R125</f>
        <v>200664.1</v>
      </c>
      <c r="Y125" s="4">
        <f t="shared" si="11"/>
        <v>525657.15</v>
      </c>
      <c r="Z125" s="14">
        <f>+'A) Base RI'!N125</f>
        <v>49184.1</v>
      </c>
      <c r="AA125" s="14">
        <f>'A) Base RI'!U125</f>
        <v>2235</v>
      </c>
    </row>
    <row r="126" spans="1:27" x14ac:dyDescent="0.25">
      <c r="A126" s="12">
        <f>'A) Base RI'!A126</f>
        <v>5604</v>
      </c>
      <c r="B126" s="40" t="str">
        <f>'A) Base RI'!B126</f>
        <v>Forel (Lavaux)</v>
      </c>
      <c r="C126" s="14">
        <f>'A) Base RI'!C126+'A) Base RI'!D126</f>
        <v>3889721.0100000002</v>
      </c>
      <c r="D126" s="14">
        <f>'A) Base RI'!V126</f>
        <v>-75956.44</v>
      </c>
      <c r="E126" s="39">
        <f>'A) Base RI'!W126</f>
        <v>0</v>
      </c>
      <c r="F126" s="39">
        <f>'A) Base RI'!X126</f>
        <v>-121.26</v>
      </c>
      <c r="G126" s="4">
        <f t="shared" si="6"/>
        <v>3813643.3100000005</v>
      </c>
      <c r="H126" s="14">
        <f>+'A) Base RI'!E126</f>
        <v>0</v>
      </c>
      <c r="I126" s="14">
        <f>+'A) Base RI'!F126</f>
        <v>0</v>
      </c>
      <c r="J126" s="14">
        <f>+'A) Base RI'!G126+'A) Base RI'!H126</f>
        <v>461016.85000000003</v>
      </c>
      <c r="K126" s="14">
        <f>+'A) Base RI'!I126</f>
        <v>16687.75</v>
      </c>
      <c r="L126" s="14">
        <f>+'A) Base RI'!J126</f>
        <v>133055.51999999999</v>
      </c>
      <c r="M126" s="14">
        <f>+'A) Base RI'!K126</f>
        <v>21429</v>
      </c>
      <c r="N126" s="14">
        <f>+'A) Base RI'!Q126</f>
        <v>51855.24</v>
      </c>
      <c r="O126" s="14">
        <f t="shared" si="7"/>
        <v>346655.95</v>
      </c>
      <c r="P126" s="14">
        <f>+'A) Base RI'!L126</f>
        <v>346655.95</v>
      </c>
      <c r="Q126" s="42">
        <f>'A) Base RI'!Y126</f>
        <v>1</v>
      </c>
      <c r="R126" s="4">
        <f t="shared" si="8"/>
        <v>4844343.62</v>
      </c>
      <c r="S126" s="41">
        <f>'A) Base RI'!T126</f>
        <v>68</v>
      </c>
      <c r="T126" s="4">
        <f t="shared" si="9"/>
        <v>4476258.67</v>
      </c>
      <c r="U126" s="4">
        <f t="shared" si="10"/>
        <v>71240.347352941171</v>
      </c>
      <c r="V126" s="14">
        <f>+'A) Base RI'!O126</f>
        <v>28.4</v>
      </c>
      <c r="W126" s="14">
        <f>+'A) Base RI'!P126</f>
        <v>162588.45000000001</v>
      </c>
      <c r="X126" s="14">
        <f>+'A) Base RI'!R126</f>
        <v>127580.6</v>
      </c>
      <c r="Y126" s="4">
        <f t="shared" si="11"/>
        <v>290197.45</v>
      </c>
      <c r="Z126" s="14">
        <f>+'A) Base RI'!N126</f>
        <v>17419.25</v>
      </c>
      <c r="AA126" s="14">
        <f>'A) Base RI'!U126</f>
        <v>2066</v>
      </c>
    </row>
    <row r="127" spans="1:27" x14ac:dyDescent="0.25">
      <c r="A127" s="12">
        <f>'A) Base RI'!A127</f>
        <v>5606</v>
      </c>
      <c r="B127" s="40" t="str">
        <f>'A) Base RI'!B127</f>
        <v>Lutry</v>
      </c>
      <c r="C127" s="14">
        <f>'A) Base RI'!C127+'A) Base RI'!D127</f>
        <v>37359933.520000003</v>
      </c>
      <c r="D127" s="14">
        <f>'A) Base RI'!V127</f>
        <v>-273991.13</v>
      </c>
      <c r="E127" s="39">
        <f>'A) Base RI'!W127</f>
        <v>0</v>
      </c>
      <c r="F127" s="39">
        <f>'A) Base RI'!X127</f>
        <v>-43036.04</v>
      </c>
      <c r="G127" s="4">
        <f t="shared" si="6"/>
        <v>37042906.350000001</v>
      </c>
      <c r="H127" s="14">
        <f>+'A) Base RI'!E127</f>
        <v>0</v>
      </c>
      <c r="I127" s="14">
        <f>+'A) Base RI'!F127</f>
        <v>0</v>
      </c>
      <c r="J127" s="14">
        <f>+'A) Base RI'!G127+'A) Base RI'!H127</f>
        <v>705545.85</v>
      </c>
      <c r="K127" s="14">
        <f>+'A) Base RI'!I127</f>
        <v>1371555.22</v>
      </c>
      <c r="L127" s="14">
        <f>+'A) Base RI'!J127</f>
        <v>635559.05000000005</v>
      </c>
      <c r="M127" s="14">
        <f>+'A) Base RI'!K127</f>
        <v>133780.5</v>
      </c>
      <c r="N127" s="14">
        <f>+'A) Base RI'!Q127</f>
        <v>146531.26999999999</v>
      </c>
      <c r="O127" s="14">
        <f t="shared" si="7"/>
        <v>2735106.7142857146</v>
      </c>
      <c r="P127" s="14">
        <f>+'A) Base RI'!L127</f>
        <v>1914574.7</v>
      </c>
      <c r="Q127" s="42">
        <f>'A) Base RI'!Y127</f>
        <v>0.7</v>
      </c>
      <c r="R127" s="4">
        <f t="shared" si="8"/>
        <v>42770984.954285719</v>
      </c>
      <c r="S127" s="41">
        <f>'A) Base RI'!T127</f>
        <v>55.5</v>
      </c>
      <c r="T127" s="4">
        <f t="shared" si="9"/>
        <v>39902097.740000002</v>
      </c>
      <c r="U127" s="4">
        <f t="shared" si="10"/>
        <v>770648.37755469768</v>
      </c>
      <c r="V127" s="14">
        <f>+'A) Base RI'!O127</f>
        <v>2572560.2000000002</v>
      </c>
      <c r="W127" s="14">
        <f>+'A) Base RI'!P127</f>
        <v>2027760.6</v>
      </c>
      <c r="X127" s="14">
        <f>+'A) Base RI'!R127</f>
        <v>1958080.9</v>
      </c>
      <c r="Y127" s="4">
        <f t="shared" si="11"/>
        <v>6558401.7000000011</v>
      </c>
      <c r="Z127" s="14">
        <f>+'A) Base RI'!N127</f>
        <v>101231.4</v>
      </c>
      <c r="AA127" s="14">
        <f>'A) Base RI'!U127</f>
        <v>9888</v>
      </c>
    </row>
    <row r="128" spans="1:27" x14ac:dyDescent="0.25">
      <c r="A128" s="12">
        <f>'A) Base RI'!A128</f>
        <v>5607</v>
      </c>
      <c r="B128" s="40" t="str">
        <f>'A) Base RI'!B128</f>
        <v>Puidoux</v>
      </c>
      <c r="C128" s="14">
        <f>'A) Base RI'!C128+'A) Base RI'!D128</f>
        <v>5279039.08</v>
      </c>
      <c r="D128" s="14">
        <f>'A) Base RI'!V128</f>
        <v>-104323.36</v>
      </c>
      <c r="E128" s="39">
        <f>'A) Base RI'!W128</f>
        <v>0</v>
      </c>
      <c r="F128" s="39">
        <f>'A) Base RI'!X128</f>
        <v>-2745.46</v>
      </c>
      <c r="G128" s="4">
        <f t="shared" si="6"/>
        <v>5171970.26</v>
      </c>
      <c r="H128" s="14">
        <f>+'A) Base RI'!E128</f>
        <v>0</v>
      </c>
      <c r="I128" s="14">
        <f>+'A) Base RI'!F128</f>
        <v>0</v>
      </c>
      <c r="J128" s="14">
        <f>+'A) Base RI'!G128+'A) Base RI'!H128</f>
        <v>758886.9</v>
      </c>
      <c r="K128" s="14">
        <f>+'A) Base RI'!I128</f>
        <v>15857.65</v>
      </c>
      <c r="L128" s="14">
        <f>+'A) Base RI'!J128</f>
        <v>200793.9</v>
      </c>
      <c r="M128" s="14">
        <f>+'A) Base RI'!K128</f>
        <v>40880</v>
      </c>
      <c r="N128" s="14">
        <f>+'A) Base RI'!Q128</f>
        <v>48451.040000000001</v>
      </c>
      <c r="O128" s="14">
        <f t="shared" si="7"/>
        <v>563487.69565217395</v>
      </c>
      <c r="P128" s="14">
        <f>+'A) Base RI'!L128</f>
        <v>648010.85</v>
      </c>
      <c r="Q128" s="42">
        <f>'A) Base RI'!Y128</f>
        <v>1.1499999999999999</v>
      </c>
      <c r="R128" s="4">
        <f t="shared" si="8"/>
        <v>6800327.4456521748</v>
      </c>
      <c r="S128" s="41">
        <f>'A) Base RI'!T128</f>
        <v>70</v>
      </c>
      <c r="T128" s="4">
        <f t="shared" si="9"/>
        <v>6195959.7500000009</v>
      </c>
      <c r="U128" s="4">
        <f t="shared" si="10"/>
        <v>97147.534937888209</v>
      </c>
      <c r="V128" s="14">
        <f>+'A) Base RI'!O128</f>
        <v>431742.6</v>
      </c>
      <c r="W128" s="14">
        <f>+'A) Base RI'!P128</f>
        <v>222072.9</v>
      </c>
      <c r="X128" s="14">
        <f>+'A) Base RI'!R128</f>
        <v>113316.85</v>
      </c>
      <c r="Y128" s="4">
        <f t="shared" si="11"/>
        <v>767132.35</v>
      </c>
      <c r="Z128" s="14">
        <f>+'A) Base RI'!N128</f>
        <v>153618.65</v>
      </c>
      <c r="AA128" s="14">
        <f>'A) Base RI'!U128</f>
        <v>2874</v>
      </c>
    </row>
    <row r="129" spans="1:27" x14ac:dyDescent="0.25">
      <c r="A129" s="12">
        <f>'A) Base RI'!A129</f>
        <v>5609</v>
      </c>
      <c r="B129" s="40" t="str">
        <f>'A) Base RI'!B129</f>
        <v>Rivaz</v>
      </c>
      <c r="C129" s="14">
        <f>'A) Base RI'!C129+'A) Base RI'!D129</f>
        <v>992941.75</v>
      </c>
      <c r="D129" s="14">
        <f>'A) Base RI'!V129</f>
        <v>-10540.78</v>
      </c>
      <c r="E129" s="39">
        <f>'A) Base RI'!W129</f>
        <v>0</v>
      </c>
      <c r="F129" s="39">
        <f>'A) Base RI'!X129</f>
        <v>-138.24</v>
      </c>
      <c r="G129" s="4">
        <f t="shared" si="6"/>
        <v>982262.73</v>
      </c>
      <c r="H129" s="14">
        <f>+'A) Base RI'!E129</f>
        <v>0</v>
      </c>
      <c r="I129" s="14">
        <f>+'A) Base RI'!F129</f>
        <v>0</v>
      </c>
      <c r="J129" s="14">
        <f>+'A) Base RI'!G129+'A) Base RI'!H129</f>
        <v>7777.9000000000005</v>
      </c>
      <c r="K129" s="14">
        <f>+'A) Base RI'!I129</f>
        <v>0</v>
      </c>
      <c r="L129" s="14">
        <f>+'A) Base RI'!J129</f>
        <v>32892.160000000003</v>
      </c>
      <c r="M129" s="14">
        <f>+'A) Base RI'!K129</f>
        <v>1246.5</v>
      </c>
      <c r="N129" s="14">
        <f>+'A) Base RI'!Q129</f>
        <v>0</v>
      </c>
      <c r="O129" s="14">
        <f t="shared" si="7"/>
        <v>48266.6</v>
      </c>
      <c r="P129" s="14">
        <f>+'A) Base RI'!L129</f>
        <v>48266.6</v>
      </c>
      <c r="Q129" s="42">
        <f>'A) Base RI'!Y129</f>
        <v>1</v>
      </c>
      <c r="R129" s="4">
        <f t="shared" si="8"/>
        <v>1072445.8900000001</v>
      </c>
      <c r="S129" s="41">
        <f>'A) Base RI'!T129</f>
        <v>63.5</v>
      </c>
      <c r="T129" s="4">
        <f t="shared" si="9"/>
        <v>1022932.79</v>
      </c>
      <c r="U129" s="4">
        <f t="shared" si="10"/>
        <v>16888.91165354331</v>
      </c>
      <c r="V129" s="14">
        <f>+'A) Base RI'!O129</f>
        <v>25000</v>
      </c>
      <c r="W129" s="14">
        <f>+'A) Base RI'!P129</f>
        <v>17291.95</v>
      </c>
      <c r="X129" s="14">
        <f>+'A) Base RI'!R129</f>
        <v>33118.6</v>
      </c>
      <c r="Y129" s="4">
        <f t="shared" si="11"/>
        <v>75410.549999999988</v>
      </c>
      <c r="Z129" s="14">
        <f>+'A) Base RI'!N129</f>
        <v>0</v>
      </c>
      <c r="AA129" s="14">
        <f>'A) Base RI'!U129</f>
        <v>357</v>
      </c>
    </row>
    <row r="130" spans="1:27" x14ac:dyDescent="0.25">
      <c r="A130" s="12">
        <f>'A) Base RI'!A130</f>
        <v>5610</v>
      </c>
      <c r="B130" s="40" t="str">
        <f>'A) Base RI'!B130</f>
        <v>St-Saphorin (Lavaux)</v>
      </c>
      <c r="C130" s="14">
        <f>'A) Base RI'!C130+'A) Base RI'!D130</f>
        <v>993547.86</v>
      </c>
      <c r="D130" s="14">
        <f>'A) Base RI'!V130</f>
        <v>-741.83</v>
      </c>
      <c r="E130" s="39">
        <f>'A) Base RI'!W130</f>
        <v>0</v>
      </c>
      <c r="F130" s="39">
        <f>'A) Base RI'!X130</f>
        <v>-49.27</v>
      </c>
      <c r="G130" s="4">
        <f t="shared" si="6"/>
        <v>992756.76</v>
      </c>
      <c r="H130" s="14">
        <f>+'A) Base RI'!E130</f>
        <v>0</v>
      </c>
      <c r="I130" s="14">
        <f>+'A) Base RI'!F130</f>
        <v>0</v>
      </c>
      <c r="J130" s="14">
        <f>+'A) Base RI'!G130+'A) Base RI'!H130</f>
        <v>12954.45</v>
      </c>
      <c r="K130" s="14">
        <f>+'A) Base RI'!I130</f>
        <v>201987.95</v>
      </c>
      <c r="L130" s="14">
        <f>+'A) Base RI'!J130</f>
        <v>23299.56</v>
      </c>
      <c r="M130" s="14">
        <f>+'A) Base RI'!K130</f>
        <v>6587.5</v>
      </c>
      <c r="N130" s="14">
        <f>+'A) Base RI'!Q130</f>
        <v>25045.58</v>
      </c>
      <c r="O130" s="14">
        <f t="shared" si="7"/>
        <v>77885.05</v>
      </c>
      <c r="P130" s="14">
        <f>+'A) Base RI'!L130</f>
        <v>77885.05</v>
      </c>
      <c r="Q130" s="42">
        <f>'A) Base RI'!Y130</f>
        <v>1</v>
      </c>
      <c r="R130" s="4">
        <f t="shared" si="8"/>
        <v>1340516.8500000001</v>
      </c>
      <c r="S130" s="41">
        <f>'A) Base RI'!T130</f>
        <v>67</v>
      </c>
      <c r="T130" s="4">
        <f t="shared" si="9"/>
        <v>1256044.3</v>
      </c>
      <c r="U130" s="4">
        <f t="shared" si="10"/>
        <v>20007.714179104478</v>
      </c>
      <c r="V130" s="14">
        <f>+'A) Base RI'!O130</f>
        <v>1859.9</v>
      </c>
      <c r="W130" s="14">
        <f>+'A) Base RI'!P130</f>
        <v>98614.6</v>
      </c>
      <c r="X130" s="14">
        <f>+'A) Base RI'!R130</f>
        <v>44920</v>
      </c>
      <c r="Y130" s="4">
        <f t="shared" si="11"/>
        <v>145394.5</v>
      </c>
      <c r="Z130" s="14">
        <f>+'A) Base RI'!N130</f>
        <v>0</v>
      </c>
      <c r="AA130" s="14">
        <f>'A) Base RI'!U130</f>
        <v>398</v>
      </c>
    </row>
    <row r="131" spans="1:27" x14ac:dyDescent="0.25">
      <c r="A131" s="12">
        <f>'A) Base RI'!A131</f>
        <v>5611</v>
      </c>
      <c r="B131" s="40" t="str">
        <f>'A) Base RI'!B131</f>
        <v>Savigny</v>
      </c>
      <c r="C131" s="14">
        <f>'A) Base RI'!C131+'A) Base RI'!D131</f>
        <v>7266254.6499999994</v>
      </c>
      <c r="D131" s="14">
        <f>'A) Base RI'!V131</f>
        <v>-821039.16</v>
      </c>
      <c r="E131" s="39">
        <f>'A) Base RI'!W131</f>
        <v>0</v>
      </c>
      <c r="F131" s="39">
        <f>'A) Base RI'!X131</f>
        <v>-1003.81</v>
      </c>
      <c r="G131" s="4">
        <f t="shared" si="6"/>
        <v>6444211.6799999997</v>
      </c>
      <c r="H131" s="14">
        <f>+'A) Base RI'!E131</f>
        <v>0</v>
      </c>
      <c r="I131" s="14">
        <f>+'A) Base RI'!F131</f>
        <v>0</v>
      </c>
      <c r="J131" s="14">
        <f>+'A) Base RI'!G131+'A) Base RI'!H131</f>
        <v>331413.10000000003</v>
      </c>
      <c r="K131" s="14">
        <f>+'A) Base RI'!I131</f>
        <v>54800.1</v>
      </c>
      <c r="L131" s="14">
        <f>+'A) Base RI'!J131</f>
        <v>205344.15</v>
      </c>
      <c r="M131" s="14">
        <f>+'A) Base RI'!K131</f>
        <v>16691</v>
      </c>
      <c r="N131" s="14">
        <f>+'A) Base RI'!Q131</f>
        <v>306319.39</v>
      </c>
      <c r="O131" s="14">
        <f t="shared" si="7"/>
        <v>613302.91666666674</v>
      </c>
      <c r="P131" s="14">
        <f>+'A) Base RI'!L131</f>
        <v>735963.5</v>
      </c>
      <c r="Q131" s="42">
        <f>'A) Base RI'!Y131</f>
        <v>1.2</v>
      </c>
      <c r="R131" s="4">
        <f t="shared" si="8"/>
        <v>7972082.336666666</v>
      </c>
      <c r="S131" s="41">
        <f>'A) Base RI'!T131</f>
        <v>69</v>
      </c>
      <c r="T131" s="4">
        <f t="shared" si="9"/>
        <v>7342088.419999999</v>
      </c>
      <c r="U131" s="4">
        <f t="shared" si="10"/>
        <v>115537.42516908211</v>
      </c>
      <c r="V131" s="14">
        <f>+'A) Base RI'!O131</f>
        <v>75121.8</v>
      </c>
      <c r="W131" s="14">
        <f>+'A) Base RI'!P131</f>
        <v>283191.15000000002</v>
      </c>
      <c r="X131" s="14">
        <f>+'A) Base RI'!R131</f>
        <v>152180.4</v>
      </c>
      <c r="Y131" s="4">
        <f t="shared" si="11"/>
        <v>510493.35</v>
      </c>
      <c r="Z131" s="14">
        <f>+'A) Base RI'!N131</f>
        <v>135100.65</v>
      </c>
      <c r="AA131" s="14">
        <f>'A) Base RI'!U131</f>
        <v>3276</v>
      </c>
    </row>
    <row r="132" spans="1:27" x14ac:dyDescent="0.25">
      <c r="A132" s="12">
        <f>'A) Base RI'!A132</f>
        <v>5613</v>
      </c>
      <c r="B132" s="40" t="str">
        <f>'A) Base RI'!B132</f>
        <v>Bourg-en-Lavaux</v>
      </c>
      <c r="C132" s="14">
        <f>'A) Base RI'!C132+'A) Base RI'!D132</f>
        <v>16548779.790000001</v>
      </c>
      <c r="D132" s="14">
        <f>'A) Base RI'!V132</f>
        <v>-183802.38</v>
      </c>
      <c r="E132" s="39">
        <f>'A) Base RI'!W132</f>
        <v>0</v>
      </c>
      <c r="F132" s="39">
        <f>'A) Base RI'!X132</f>
        <v>-5726.49</v>
      </c>
      <c r="G132" s="4">
        <f t="shared" si="6"/>
        <v>16359250.92</v>
      </c>
      <c r="H132" s="14">
        <f>+'A) Base RI'!E132</f>
        <v>0</v>
      </c>
      <c r="I132" s="14">
        <f>+'A) Base RI'!F132</f>
        <v>0</v>
      </c>
      <c r="J132" s="14">
        <f>+'A) Base RI'!G132+'A) Base RI'!H132</f>
        <v>293168.59999999998</v>
      </c>
      <c r="K132" s="14">
        <f>+'A) Base RI'!I132</f>
        <v>186407.63</v>
      </c>
      <c r="L132" s="14">
        <f>+'A) Base RI'!J132</f>
        <v>280727.01</v>
      </c>
      <c r="M132" s="14">
        <f>+'A) Base RI'!K132</f>
        <v>10445.5</v>
      </c>
      <c r="N132" s="14">
        <f>+'A) Base RI'!Q132</f>
        <v>29553.360000000001</v>
      </c>
      <c r="O132" s="14">
        <f t="shared" si="7"/>
        <v>1254647.0999999999</v>
      </c>
      <c r="P132" s="14">
        <f>+'A) Base RI'!L132</f>
        <v>1881970.65</v>
      </c>
      <c r="Q132" s="42">
        <f>'A) Base RI'!Y132</f>
        <v>1.5</v>
      </c>
      <c r="R132" s="4">
        <f t="shared" si="8"/>
        <v>18414200.120000001</v>
      </c>
      <c r="S132" s="41">
        <f>'A) Base RI'!T132</f>
        <v>61</v>
      </c>
      <c r="T132" s="4">
        <f t="shared" si="9"/>
        <v>17149107.52</v>
      </c>
      <c r="U132" s="4">
        <f t="shared" si="10"/>
        <v>301872.13311475411</v>
      </c>
      <c r="V132" s="14">
        <f>+'A) Base RI'!O132</f>
        <v>272737.8</v>
      </c>
      <c r="W132" s="14">
        <f>+'A) Base RI'!P132</f>
        <v>741613.55</v>
      </c>
      <c r="X132" s="14">
        <f>+'A) Base RI'!R132</f>
        <v>828928.2</v>
      </c>
      <c r="Y132" s="4">
        <f t="shared" si="11"/>
        <v>1843279.55</v>
      </c>
      <c r="Z132" s="14">
        <f>+'A) Base RI'!N132</f>
        <v>29017</v>
      </c>
      <c r="AA132" s="14">
        <f>'A) Base RI'!U132</f>
        <v>5296</v>
      </c>
    </row>
    <row r="133" spans="1:27" x14ac:dyDescent="0.25">
      <c r="A133" s="12">
        <f>'A) Base RI'!A133</f>
        <v>5621</v>
      </c>
      <c r="B133" s="40" t="str">
        <f>'A) Base RI'!B133</f>
        <v>Aclens</v>
      </c>
      <c r="C133" s="14">
        <f>'A) Base RI'!C133+'A) Base RI'!D133</f>
        <v>1179294.8600000001</v>
      </c>
      <c r="D133" s="14">
        <f>'A) Base RI'!V133</f>
        <v>-7752.4</v>
      </c>
      <c r="E133" s="39">
        <f>'A) Base RI'!W133</f>
        <v>0</v>
      </c>
      <c r="F133" s="39">
        <f>'A) Base RI'!X133</f>
        <v>-1.69</v>
      </c>
      <c r="G133" s="4">
        <f t="shared" si="6"/>
        <v>1171540.7700000003</v>
      </c>
      <c r="H133" s="14">
        <f>+'A) Base RI'!E133</f>
        <v>0</v>
      </c>
      <c r="I133" s="14">
        <f>+'A) Base RI'!F133</f>
        <v>0</v>
      </c>
      <c r="J133" s="14">
        <f>+'A) Base RI'!G133+'A) Base RI'!H133</f>
        <v>154063.09999999998</v>
      </c>
      <c r="K133" s="14">
        <f>+'A) Base RI'!I133</f>
        <v>0</v>
      </c>
      <c r="L133" s="14">
        <f>+'A) Base RI'!J133</f>
        <v>44051.42</v>
      </c>
      <c r="M133" s="14">
        <f>+'A) Base RI'!K133</f>
        <v>18680</v>
      </c>
      <c r="N133" s="14">
        <f>+'A) Base RI'!Q133</f>
        <v>0</v>
      </c>
      <c r="O133" s="14">
        <f t="shared" si="7"/>
        <v>274511.27272727271</v>
      </c>
      <c r="P133" s="14">
        <f>+'A) Base RI'!L133</f>
        <v>301962.40000000002</v>
      </c>
      <c r="Q133" s="42">
        <f>'A) Base RI'!Y133</f>
        <v>1.1000000000000001</v>
      </c>
      <c r="R133" s="4">
        <f t="shared" si="8"/>
        <v>1662846.5627272727</v>
      </c>
      <c r="S133" s="41">
        <f>'A) Base RI'!T133</f>
        <v>62</v>
      </c>
      <c r="T133" s="4">
        <f t="shared" si="9"/>
        <v>1369655.29</v>
      </c>
      <c r="U133" s="4">
        <f t="shared" si="10"/>
        <v>26820.105850439882</v>
      </c>
      <c r="V133" s="14">
        <f>+'A) Base RI'!O133</f>
        <v>0</v>
      </c>
      <c r="W133" s="14">
        <f>+'A) Base RI'!P133</f>
        <v>36549.550000000003</v>
      </c>
      <c r="X133" s="14">
        <f>+'A) Base RI'!R133</f>
        <v>34138.400000000001</v>
      </c>
      <c r="Y133" s="4">
        <f t="shared" si="11"/>
        <v>70687.950000000012</v>
      </c>
      <c r="Z133" s="14">
        <f>+'A) Base RI'!N133</f>
        <v>166682.9</v>
      </c>
      <c r="AA133" s="14">
        <f>'A) Base RI'!U133</f>
        <v>521</v>
      </c>
    </row>
    <row r="134" spans="1:27" x14ac:dyDescent="0.25">
      <c r="A134" s="12">
        <f>'A) Base RI'!A134</f>
        <v>5622</v>
      </c>
      <c r="B134" s="40" t="str">
        <f>'A) Base RI'!B134</f>
        <v>Bremblens</v>
      </c>
      <c r="C134" s="14">
        <f>'A) Base RI'!C134+'A) Base RI'!D134</f>
        <v>1681586.71</v>
      </c>
      <c r="D134" s="14">
        <f>'A) Base RI'!V134</f>
        <v>-1405.51</v>
      </c>
      <c r="E134" s="39">
        <f>'A) Base RI'!W134</f>
        <v>0</v>
      </c>
      <c r="F134" s="39">
        <f>'A) Base RI'!X134</f>
        <v>-11.86</v>
      </c>
      <c r="G134" s="4">
        <f t="shared" si="6"/>
        <v>1680169.3399999999</v>
      </c>
      <c r="H134" s="14">
        <f>+'A) Base RI'!E134</f>
        <v>0</v>
      </c>
      <c r="I134" s="14">
        <f>+'A) Base RI'!F134</f>
        <v>0</v>
      </c>
      <c r="J134" s="14">
        <f>+'A) Base RI'!G134+'A) Base RI'!H134</f>
        <v>326604.64999999997</v>
      </c>
      <c r="K134" s="14">
        <f>+'A) Base RI'!I134</f>
        <v>0</v>
      </c>
      <c r="L134" s="14">
        <f>+'A) Base RI'!J134</f>
        <v>16389.439999999999</v>
      </c>
      <c r="M134" s="14">
        <f>+'A) Base RI'!K134</f>
        <v>4789.5</v>
      </c>
      <c r="N134" s="14">
        <f>+'A) Base RI'!Q134</f>
        <v>0</v>
      </c>
      <c r="O134" s="14">
        <f t="shared" si="7"/>
        <v>129043</v>
      </c>
      <c r="P134" s="14">
        <f>+'A) Base RI'!L134</f>
        <v>129043</v>
      </c>
      <c r="Q134" s="42">
        <f>'A) Base RI'!Y134</f>
        <v>1</v>
      </c>
      <c r="R134" s="4">
        <f t="shared" si="8"/>
        <v>2156995.9299999997</v>
      </c>
      <c r="S134" s="41">
        <f>'A) Base RI'!T134</f>
        <v>66</v>
      </c>
      <c r="T134" s="4">
        <f t="shared" si="9"/>
        <v>2023163.4299999997</v>
      </c>
      <c r="U134" s="4">
        <f t="shared" si="10"/>
        <v>32681.756515151512</v>
      </c>
      <c r="V134" s="14">
        <f>+'A) Base RI'!O134</f>
        <v>0</v>
      </c>
      <c r="W134" s="14">
        <f>+'A) Base RI'!P134</f>
        <v>143003.5</v>
      </c>
      <c r="X134" s="14">
        <f>+'A) Base RI'!R134</f>
        <v>145973.4</v>
      </c>
      <c r="Y134" s="4">
        <f t="shared" si="11"/>
        <v>288976.90000000002</v>
      </c>
      <c r="Z134" s="14">
        <f>+'A) Base RI'!N134</f>
        <v>26447.75</v>
      </c>
      <c r="AA134" s="14">
        <f>'A) Base RI'!U134</f>
        <v>516</v>
      </c>
    </row>
    <row r="135" spans="1:27" x14ac:dyDescent="0.25">
      <c r="A135" s="12">
        <f>'A) Base RI'!A135</f>
        <v>5623</v>
      </c>
      <c r="B135" s="40" t="str">
        <f>'A) Base RI'!B135</f>
        <v>Buchillon</v>
      </c>
      <c r="C135" s="14">
        <f>'A) Base RI'!C135+'A) Base RI'!D135</f>
        <v>3654957.63</v>
      </c>
      <c r="D135" s="14">
        <f>'A) Base RI'!V135</f>
        <v>-1588.75</v>
      </c>
      <c r="E135" s="39">
        <f>'A) Base RI'!W135</f>
        <v>0</v>
      </c>
      <c r="F135" s="39">
        <f>'A) Base RI'!X135</f>
        <v>-55016.53</v>
      </c>
      <c r="G135" s="4">
        <f t="shared" si="6"/>
        <v>3598352.35</v>
      </c>
      <c r="H135" s="14">
        <f>+'A) Base RI'!E135</f>
        <v>0</v>
      </c>
      <c r="I135" s="14">
        <f>+'A) Base RI'!F135</f>
        <v>0</v>
      </c>
      <c r="J135" s="14">
        <f>+'A) Base RI'!G135+'A) Base RI'!H135</f>
        <v>219402.25</v>
      </c>
      <c r="K135" s="14">
        <f>+'A) Base RI'!I135</f>
        <v>226919</v>
      </c>
      <c r="L135" s="14">
        <f>+'A) Base RI'!J135</f>
        <v>20880.25</v>
      </c>
      <c r="M135" s="14">
        <f>+'A) Base RI'!K135</f>
        <v>-854.65</v>
      </c>
      <c r="N135" s="14">
        <f>+'A) Base RI'!Q135</f>
        <v>290.99</v>
      </c>
      <c r="O135" s="14">
        <f t="shared" si="7"/>
        <v>302337.55</v>
      </c>
      <c r="P135" s="14">
        <f>+'A) Base RI'!L135</f>
        <v>302337.55</v>
      </c>
      <c r="Q135" s="42">
        <f>'A) Base RI'!Y135</f>
        <v>1</v>
      </c>
      <c r="R135" s="4">
        <f t="shared" si="8"/>
        <v>4367327.74</v>
      </c>
      <c r="S135" s="41">
        <f>'A) Base RI'!T135</f>
        <v>53</v>
      </c>
      <c r="T135" s="4">
        <f t="shared" si="9"/>
        <v>4065844.8400000003</v>
      </c>
      <c r="U135" s="4">
        <f t="shared" si="10"/>
        <v>82402.410188679249</v>
      </c>
      <c r="V135" s="14">
        <f>+'A) Base RI'!O135</f>
        <v>1726375</v>
      </c>
      <c r="W135" s="14">
        <f>+'A) Base RI'!P135</f>
        <v>172508.75</v>
      </c>
      <c r="X135" s="14">
        <f>+'A) Base RI'!R135</f>
        <v>36443.599999999999</v>
      </c>
      <c r="Y135" s="4">
        <f t="shared" si="11"/>
        <v>1935327.35</v>
      </c>
      <c r="Z135" s="14">
        <f>+'A) Base RI'!N135</f>
        <v>942.3</v>
      </c>
      <c r="AA135" s="14">
        <f>'A) Base RI'!U135</f>
        <v>609</v>
      </c>
    </row>
    <row r="136" spans="1:27" x14ac:dyDescent="0.25">
      <c r="A136" s="12">
        <f>'A) Base RI'!A136</f>
        <v>5624</v>
      </c>
      <c r="B136" s="40" t="str">
        <f>'A) Base RI'!B136</f>
        <v>Bussigny</v>
      </c>
      <c r="C136" s="14">
        <f>'A) Base RI'!C136+'A) Base RI'!D136</f>
        <v>13431066.33</v>
      </c>
      <c r="D136" s="14">
        <f>'A) Base RI'!V136</f>
        <v>-185577.75</v>
      </c>
      <c r="E136" s="39">
        <f>'A) Base RI'!W136</f>
        <v>0</v>
      </c>
      <c r="F136" s="39">
        <f>'A) Base RI'!X136</f>
        <v>-56.72</v>
      </c>
      <c r="G136" s="4">
        <f t="shared" ref="G136:G199" si="12">SUM(C136:F136)</f>
        <v>13245431.859999999</v>
      </c>
      <c r="H136" s="14">
        <f>+'A) Base RI'!E136</f>
        <v>0</v>
      </c>
      <c r="I136" s="14">
        <f>+'A) Base RI'!F136</f>
        <v>0</v>
      </c>
      <c r="J136" s="14">
        <f>+'A) Base RI'!G136+'A) Base RI'!H136</f>
        <v>4680779.2</v>
      </c>
      <c r="K136" s="14">
        <f>+'A) Base RI'!I136</f>
        <v>0</v>
      </c>
      <c r="L136" s="14">
        <f>+'A) Base RI'!J136</f>
        <v>729558.58</v>
      </c>
      <c r="M136" s="14">
        <f>+'A) Base RI'!K136</f>
        <v>272502.5</v>
      </c>
      <c r="N136" s="14">
        <f>+'A) Base RI'!Q136</f>
        <v>34941.82</v>
      </c>
      <c r="O136" s="14">
        <f t="shared" ref="O136:O199" si="13">(P136/Q136)*1</f>
        <v>1752854.3</v>
      </c>
      <c r="P136" s="14">
        <f>+'A) Base RI'!L136</f>
        <v>1752854.3</v>
      </c>
      <c r="Q136" s="42">
        <f>'A) Base RI'!Y136</f>
        <v>1</v>
      </c>
      <c r="R136" s="4">
        <f t="shared" ref="R136:R199" si="14">SUM(G136:O136)</f>
        <v>20716068.259999998</v>
      </c>
      <c r="S136" s="41">
        <f>'A) Base RI'!T136</f>
        <v>62</v>
      </c>
      <c r="T136" s="4">
        <f t="shared" ref="T136:T199" si="15">(G136+H136+J136+K136+L136+N136)</f>
        <v>18690711.459999997</v>
      </c>
      <c r="U136" s="4">
        <f t="shared" ref="U136:U199" si="16">R136/S136</f>
        <v>334130.13322580641</v>
      </c>
      <c r="V136" s="14">
        <f>+'A) Base RI'!O136</f>
        <v>858</v>
      </c>
      <c r="W136" s="14">
        <f>+'A) Base RI'!P136</f>
        <v>862016.1</v>
      </c>
      <c r="X136" s="14">
        <f>+'A) Base RI'!R136</f>
        <v>383787.95</v>
      </c>
      <c r="Y136" s="4">
        <f t="shared" ref="Y136:Y199" si="17">SUM(V136:X136)</f>
        <v>1246662.05</v>
      </c>
      <c r="Z136" s="14">
        <f>+'A) Base RI'!N136</f>
        <v>1348175.55</v>
      </c>
      <c r="AA136" s="14">
        <f>'A) Base RI'!U136</f>
        <v>8227</v>
      </c>
    </row>
    <row r="137" spans="1:27" x14ac:dyDescent="0.25">
      <c r="A137" s="12">
        <f>'A) Base RI'!A137</f>
        <v>5625</v>
      </c>
      <c r="B137" s="40" t="str">
        <f>'A) Base RI'!B137</f>
        <v>Bussy-Chardonney</v>
      </c>
      <c r="C137" s="14">
        <f>'A) Base RI'!C137+'A) Base RI'!D137</f>
        <v>874890.93</v>
      </c>
      <c r="D137" s="14">
        <f>'A) Base RI'!V137</f>
        <v>-3257.56</v>
      </c>
      <c r="E137" s="39">
        <f>'A) Base RI'!W137</f>
        <v>0</v>
      </c>
      <c r="F137" s="39">
        <f>'A) Base RI'!X137</f>
        <v>0</v>
      </c>
      <c r="G137" s="4">
        <f t="shared" si="12"/>
        <v>871633.37</v>
      </c>
      <c r="H137" s="14">
        <f>+'A) Base RI'!E137</f>
        <v>0</v>
      </c>
      <c r="I137" s="14">
        <f>+'A) Base RI'!F137</f>
        <v>0</v>
      </c>
      <c r="J137" s="14">
        <f>+'A) Base RI'!G137+'A) Base RI'!H137</f>
        <v>11175.4</v>
      </c>
      <c r="K137" s="14">
        <f>+'A) Base RI'!I137</f>
        <v>49537.55</v>
      </c>
      <c r="L137" s="14">
        <f>+'A) Base RI'!J137</f>
        <v>49269.29</v>
      </c>
      <c r="M137" s="14">
        <f>+'A) Base RI'!K137</f>
        <v>5795</v>
      </c>
      <c r="N137" s="14">
        <f>+'A) Base RI'!Q137</f>
        <v>4.8099999999999996</v>
      </c>
      <c r="O137" s="14">
        <f t="shared" si="13"/>
        <v>84766.833333333328</v>
      </c>
      <c r="P137" s="14">
        <f>+'A) Base RI'!L137</f>
        <v>101720.2</v>
      </c>
      <c r="Q137" s="42">
        <f>'A) Base RI'!Y137</f>
        <v>1.2</v>
      </c>
      <c r="R137" s="4">
        <f t="shared" si="14"/>
        <v>1072182.2533333334</v>
      </c>
      <c r="S137" s="41">
        <f>'A) Base RI'!T137</f>
        <v>78</v>
      </c>
      <c r="T137" s="4">
        <f t="shared" si="15"/>
        <v>981620.42000000016</v>
      </c>
      <c r="U137" s="4">
        <f t="shared" si="16"/>
        <v>13745.926324786325</v>
      </c>
      <c r="V137" s="14">
        <f>+'A) Base RI'!O137</f>
        <v>0</v>
      </c>
      <c r="W137" s="14">
        <f>+'A) Base RI'!P137</f>
        <v>83810.100000000006</v>
      </c>
      <c r="X137" s="14">
        <f>+'A) Base RI'!R137</f>
        <v>30053.3</v>
      </c>
      <c r="Y137" s="4">
        <f t="shared" si="17"/>
        <v>113863.40000000001</v>
      </c>
      <c r="Z137" s="14">
        <f>+'A) Base RI'!N137</f>
        <v>0</v>
      </c>
      <c r="AA137" s="14">
        <f>'A) Base RI'!U137</f>
        <v>369</v>
      </c>
    </row>
    <row r="138" spans="1:27" x14ac:dyDescent="0.25">
      <c r="A138" s="12">
        <f>'A) Base RI'!A138</f>
        <v>5627</v>
      </c>
      <c r="B138" s="40" t="str">
        <f>'A) Base RI'!B138</f>
        <v>Chavannes-près-Renens</v>
      </c>
      <c r="C138" s="14">
        <f>'A) Base RI'!C138+'A) Base RI'!D138</f>
        <v>9895342.1899999995</v>
      </c>
      <c r="D138" s="14">
        <f>'A) Base RI'!V138</f>
        <v>-326890.31</v>
      </c>
      <c r="E138" s="39">
        <f>'A) Base RI'!W138</f>
        <v>0</v>
      </c>
      <c r="F138" s="39">
        <f>'A) Base RI'!X138</f>
        <v>-290.58999999999997</v>
      </c>
      <c r="G138" s="4">
        <f t="shared" si="12"/>
        <v>9568161.2899999991</v>
      </c>
      <c r="H138" s="14">
        <f>+'A) Base RI'!E138</f>
        <v>0</v>
      </c>
      <c r="I138" s="14">
        <f>+'A) Base RI'!F138</f>
        <v>0</v>
      </c>
      <c r="J138" s="14">
        <f>+'A) Base RI'!G138+'A) Base RI'!H138</f>
        <v>1934842.75</v>
      </c>
      <c r="K138" s="14">
        <f>+'A) Base RI'!I138</f>
        <v>0</v>
      </c>
      <c r="L138" s="14">
        <f>+'A) Base RI'!J138</f>
        <v>999779.97</v>
      </c>
      <c r="M138" s="14">
        <f>+'A) Base RI'!K138</f>
        <v>205091.20000000001</v>
      </c>
      <c r="N138" s="14">
        <f>+'A) Base RI'!Q138</f>
        <v>30588.2</v>
      </c>
      <c r="O138" s="14">
        <f t="shared" si="13"/>
        <v>831434.56666666677</v>
      </c>
      <c r="P138" s="14">
        <f>+'A) Base RI'!L138</f>
        <v>1247151.8500000001</v>
      </c>
      <c r="Q138" s="42">
        <f>'A) Base RI'!Y138</f>
        <v>1.5</v>
      </c>
      <c r="R138" s="4">
        <f t="shared" si="14"/>
        <v>13569897.976666665</v>
      </c>
      <c r="S138" s="41">
        <f>'A) Base RI'!T138</f>
        <v>79</v>
      </c>
      <c r="T138" s="4">
        <f t="shared" si="15"/>
        <v>12533372.209999999</v>
      </c>
      <c r="U138" s="4">
        <f t="shared" si="16"/>
        <v>171770.86046413501</v>
      </c>
      <c r="V138" s="14">
        <f>+'A) Base RI'!O138</f>
        <v>16446.3</v>
      </c>
      <c r="W138" s="14">
        <f>+'A) Base RI'!P138</f>
        <v>369187.9</v>
      </c>
      <c r="X138" s="14">
        <f>+'A) Base RI'!R138</f>
        <v>134238.65</v>
      </c>
      <c r="Y138" s="4">
        <f t="shared" si="17"/>
        <v>519872.85</v>
      </c>
      <c r="Z138" s="14">
        <f>+'A) Base RI'!N138</f>
        <v>464106.9</v>
      </c>
      <c r="AA138" s="14">
        <f>'A) Base RI'!U138</f>
        <v>7543</v>
      </c>
    </row>
    <row r="139" spans="1:27" x14ac:dyDescent="0.25">
      <c r="A139" s="12">
        <f>'A) Base RI'!A139</f>
        <v>5628</v>
      </c>
      <c r="B139" s="40" t="str">
        <f>'A) Base RI'!B139</f>
        <v>Chigny</v>
      </c>
      <c r="C139" s="14">
        <f>'A) Base RI'!C139+'A) Base RI'!D139</f>
        <v>1074883.5</v>
      </c>
      <c r="D139" s="14">
        <f>'A) Base RI'!V139</f>
        <v>-2769.21</v>
      </c>
      <c r="E139" s="39">
        <f>'A) Base RI'!W139</f>
        <v>0</v>
      </c>
      <c r="F139" s="39">
        <f>'A) Base RI'!X139</f>
        <v>0</v>
      </c>
      <c r="G139" s="4">
        <f t="shared" si="12"/>
        <v>1072114.29</v>
      </c>
      <c r="H139" s="14">
        <f>+'A) Base RI'!E139</f>
        <v>0</v>
      </c>
      <c r="I139" s="14">
        <f>+'A) Base RI'!F139</f>
        <v>0</v>
      </c>
      <c r="J139" s="14">
        <f>+'A) Base RI'!G139+'A) Base RI'!H139</f>
        <v>7280.45</v>
      </c>
      <c r="K139" s="14">
        <f>+'A) Base RI'!I139</f>
        <v>0</v>
      </c>
      <c r="L139" s="14">
        <f>+'A) Base RI'!J139</f>
        <v>38803.410000000003</v>
      </c>
      <c r="M139" s="14">
        <f>+'A) Base RI'!K139</f>
        <v>859.5</v>
      </c>
      <c r="N139" s="14">
        <f>+'A) Base RI'!Q139</f>
        <v>0</v>
      </c>
      <c r="O139" s="14">
        <f t="shared" si="13"/>
        <v>81365.6875</v>
      </c>
      <c r="P139" s="14">
        <f>+'A) Base RI'!L139</f>
        <v>65092.55</v>
      </c>
      <c r="Q139" s="42">
        <f>'A) Base RI'!Y139</f>
        <v>0.8</v>
      </c>
      <c r="R139" s="4">
        <f t="shared" si="14"/>
        <v>1200423.3374999999</v>
      </c>
      <c r="S139" s="41">
        <f>'A) Base RI'!T139</f>
        <v>62</v>
      </c>
      <c r="T139" s="4">
        <f t="shared" si="15"/>
        <v>1118198.1499999999</v>
      </c>
      <c r="U139" s="4">
        <f t="shared" si="16"/>
        <v>19361.666733870967</v>
      </c>
      <c r="V139" s="14">
        <f>+'A) Base RI'!O139</f>
        <v>73843</v>
      </c>
      <c r="W139" s="14">
        <f>+'A) Base RI'!P139</f>
        <v>631.29999999999995</v>
      </c>
      <c r="X139" s="14">
        <f>+'A) Base RI'!R139</f>
        <v>0</v>
      </c>
      <c r="Y139" s="4">
        <f t="shared" si="17"/>
        <v>74474.3</v>
      </c>
      <c r="Z139" s="14">
        <f>+'A) Base RI'!N139</f>
        <v>18046</v>
      </c>
      <c r="AA139" s="14">
        <f>'A) Base RI'!U139</f>
        <v>343</v>
      </c>
    </row>
    <row r="140" spans="1:27" x14ac:dyDescent="0.25">
      <c r="A140" s="12">
        <f>'A) Base RI'!A140</f>
        <v>5629</v>
      </c>
      <c r="B140" s="40" t="str">
        <f>'A) Base RI'!B140</f>
        <v>Clarmont</v>
      </c>
      <c r="C140" s="14">
        <f>'A) Base RI'!C140+'A) Base RI'!D140</f>
        <v>532330.6</v>
      </c>
      <c r="D140" s="14">
        <f>'A) Base RI'!V140</f>
        <v>-18.649999999999999</v>
      </c>
      <c r="E140" s="39">
        <f>'A) Base RI'!W140</f>
        <v>0</v>
      </c>
      <c r="F140" s="39">
        <f>'A) Base RI'!X140</f>
        <v>0</v>
      </c>
      <c r="G140" s="4">
        <f t="shared" si="12"/>
        <v>532311.94999999995</v>
      </c>
      <c r="H140" s="14">
        <f>+'A) Base RI'!E140</f>
        <v>0</v>
      </c>
      <c r="I140" s="14">
        <f>+'A) Base RI'!F140</f>
        <v>0</v>
      </c>
      <c r="J140" s="14">
        <f>+'A) Base RI'!G140+'A) Base RI'!H140</f>
        <v>8330.5</v>
      </c>
      <c r="K140" s="14">
        <f>+'A) Base RI'!I140</f>
        <v>0</v>
      </c>
      <c r="L140" s="14">
        <f>+'A) Base RI'!J140</f>
        <v>-15100.26</v>
      </c>
      <c r="M140" s="14">
        <f>+'A) Base RI'!K140</f>
        <v>1599</v>
      </c>
      <c r="N140" s="14">
        <f>+'A) Base RI'!Q140</f>
        <v>3515.15</v>
      </c>
      <c r="O140" s="14">
        <f t="shared" si="13"/>
        <v>34557.1</v>
      </c>
      <c r="P140" s="14">
        <f>+'A) Base RI'!L140</f>
        <v>34557.1</v>
      </c>
      <c r="Q140" s="42">
        <f>'A) Base RI'!Y140</f>
        <v>1</v>
      </c>
      <c r="R140" s="4">
        <f t="shared" si="14"/>
        <v>565213.43999999994</v>
      </c>
      <c r="S140" s="41">
        <f>'A) Base RI'!T140</f>
        <v>75</v>
      </c>
      <c r="T140" s="4">
        <f t="shared" si="15"/>
        <v>529057.34</v>
      </c>
      <c r="U140" s="4">
        <f t="shared" si="16"/>
        <v>7536.1791999999996</v>
      </c>
      <c r="V140" s="14">
        <f>+'A) Base RI'!O140</f>
        <v>51981.1</v>
      </c>
      <c r="W140" s="14">
        <f>+'A) Base RI'!P140</f>
        <v>19002.95</v>
      </c>
      <c r="X140" s="14">
        <f>+'A) Base RI'!R140</f>
        <v>11161.7</v>
      </c>
      <c r="Y140" s="4">
        <f t="shared" si="17"/>
        <v>82145.75</v>
      </c>
      <c r="Z140" s="14">
        <f>+'A) Base RI'!N140</f>
        <v>0</v>
      </c>
      <c r="AA140" s="14">
        <f>'A) Base RI'!U140</f>
        <v>175</v>
      </c>
    </row>
    <row r="141" spans="1:27" x14ac:dyDescent="0.25">
      <c r="A141" s="12">
        <f>'A) Base RI'!A141</f>
        <v>5631</v>
      </c>
      <c r="B141" s="40" t="str">
        <f>'A) Base RI'!B141</f>
        <v>Denens</v>
      </c>
      <c r="C141" s="14">
        <f>'A) Base RI'!C141+'A) Base RI'!D141</f>
        <v>2459503.38</v>
      </c>
      <c r="D141" s="14">
        <f>'A) Base RI'!V141</f>
        <v>-14055.28</v>
      </c>
      <c r="E141" s="39">
        <f>'A) Base RI'!W141</f>
        <v>0</v>
      </c>
      <c r="F141" s="39">
        <f>'A) Base RI'!X141</f>
        <v>-1538.75</v>
      </c>
      <c r="G141" s="4">
        <f t="shared" si="12"/>
        <v>2443909.35</v>
      </c>
      <c r="H141" s="14">
        <f>+'A) Base RI'!E141</f>
        <v>0</v>
      </c>
      <c r="I141" s="14">
        <f>+'A) Base RI'!F141</f>
        <v>0</v>
      </c>
      <c r="J141" s="14">
        <f>+'A) Base RI'!G141+'A) Base RI'!H141</f>
        <v>64252.149999999994</v>
      </c>
      <c r="K141" s="14">
        <f>+'A) Base RI'!I141</f>
        <v>107078.8</v>
      </c>
      <c r="L141" s="14">
        <f>+'A) Base RI'!J141</f>
        <v>68197.55</v>
      </c>
      <c r="M141" s="14">
        <f>+'A) Base RI'!K141</f>
        <v>2398</v>
      </c>
      <c r="N141" s="14">
        <f>+'A) Base RI'!Q141</f>
        <v>2586.31</v>
      </c>
      <c r="O141" s="14">
        <f t="shared" si="13"/>
        <v>182669.5</v>
      </c>
      <c r="P141" s="14">
        <f>+'A) Base RI'!L141</f>
        <v>182669.5</v>
      </c>
      <c r="Q141" s="42">
        <f>'A) Base RI'!Y141</f>
        <v>1</v>
      </c>
      <c r="R141" s="4">
        <f t="shared" si="14"/>
        <v>2871091.6599999997</v>
      </c>
      <c r="S141" s="41">
        <f>'A) Base RI'!T141</f>
        <v>68</v>
      </c>
      <c r="T141" s="4">
        <f t="shared" si="15"/>
        <v>2686024.1599999997</v>
      </c>
      <c r="U141" s="4">
        <f t="shared" si="16"/>
        <v>42221.936176470583</v>
      </c>
      <c r="V141" s="14">
        <f>+'A) Base RI'!O141</f>
        <v>181576.7</v>
      </c>
      <c r="W141" s="14">
        <f>+'A) Base RI'!P141</f>
        <v>340629.6</v>
      </c>
      <c r="X141" s="14">
        <f>+'A) Base RI'!R141</f>
        <v>83935.85</v>
      </c>
      <c r="Y141" s="4">
        <f t="shared" si="17"/>
        <v>606142.15</v>
      </c>
      <c r="Z141" s="14">
        <f>+'A) Base RI'!N141</f>
        <v>0</v>
      </c>
      <c r="AA141" s="14">
        <f>'A) Base RI'!U141</f>
        <v>769</v>
      </c>
    </row>
    <row r="142" spans="1:27" x14ac:dyDescent="0.25">
      <c r="A142" s="12">
        <f>'A) Base RI'!A142</f>
        <v>5632</v>
      </c>
      <c r="B142" s="40" t="str">
        <f>'A) Base RI'!B142</f>
        <v>Denges</v>
      </c>
      <c r="C142" s="14">
        <f>'A) Base RI'!C142+'A) Base RI'!D142</f>
        <v>3566439.1900000004</v>
      </c>
      <c r="D142" s="14">
        <f>'A) Base RI'!V142</f>
        <v>-58960.34</v>
      </c>
      <c r="E142" s="39">
        <f>'A) Base RI'!W142</f>
        <v>0</v>
      </c>
      <c r="F142" s="39">
        <f>'A) Base RI'!X142</f>
        <v>-557.97</v>
      </c>
      <c r="G142" s="4">
        <f t="shared" si="12"/>
        <v>3506920.8800000004</v>
      </c>
      <c r="H142" s="14">
        <f>+'A) Base RI'!E142</f>
        <v>0</v>
      </c>
      <c r="I142" s="14">
        <f>+'A) Base RI'!F142</f>
        <v>0</v>
      </c>
      <c r="J142" s="14">
        <f>+'A) Base RI'!G142+'A) Base RI'!H142</f>
        <v>182298.45</v>
      </c>
      <c r="K142" s="14">
        <f>+'A) Base RI'!I142</f>
        <v>0</v>
      </c>
      <c r="L142" s="14">
        <f>+'A) Base RI'!J142</f>
        <v>118799.66</v>
      </c>
      <c r="M142" s="14">
        <f>+'A) Base RI'!K142</f>
        <v>34477</v>
      </c>
      <c r="N142" s="14">
        <f>+'A) Base RI'!Q142</f>
        <v>6790.74</v>
      </c>
      <c r="O142" s="14">
        <f t="shared" si="13"/>
        <v>323937.40000000002</v>
      </c>
      <c r="P142" s="14">
        <f>+'A) Base RI'!L142</f>
        <v>323937.40000000002</v>
      </c>
      <c r="Q142" s="42">
        <f>'A) Base RI'!Y142</f>
        <v>1</v>
      </c>
      <c r="R142" s="4">
        <f t="shared" si="14"/>
        <v>4173224.1300000008</v>
      </c>
      <c r="S142" s="41">
        <f>'A) Base RI'!T142</f>
        <v>62</v>
      </c>
      <c r="T142" s="4">
        <f t="shared" si="15"/>
        <v>3814809.7300000009</v>
      </c>
      <c r="U142" s="4">
        <f t="shared" si="16"/>
        <v>67310.066612903232</v>
      </c>
      <c r="V142" s="14">
        <f>+'A) Base RI'!O142</f>
        <v>230083.20000000001</v>
      </c>
      <c r="W142" s="14">
        <f>+'A) Base RI'!P142</f>
        <v>68039.05</v>
      </c>
      <c r="X142" s="14">
        <f>+'A) Base RI'!R142</f>
        <v>5525.4</v>
      </c>
      <c r="Y142" s="4">
        <f t="shared" si="17"/>
        <v>303647.65000000002</v>
      </c>
      <c r="Z142" s="14">
        <f>+'A) Base RI'!N142</f>
        <v>120436.9</v>
      </c>
      <c r="AA142" s="14">
        <f>'A) Base RI'!U142</f>
        <v>1624</v>
      </c>
    </row>
    <row r="143" spans="1:27" x14ac:dyDescent="0.25">
      <c r="A143" s="12">
        <f>'A) Base RI'!A143</f>
        <v>5633</v>
      </c>
      <c r="B143" s="40" t="str">
        <f>'A) Base RI'!B143</f>
        <v>Echandens</v>
      </c>
      <c r="C143" s="14">
        <f>'A) Base RI'!C143+'A) Base RI'!D143</f>
        <v>7124879.9699999997</v>
      </c>
      <c r="D143" s="14">
        <f>'A) Base RI'!V143</f>
        <v>-123160.11</v>
      </c>
      <c r="E143" s="39">
        <f>'A) Base RI'!W143</f>
        <v>0</v>
      </c>
      <c r="F143" s="39">
        <f>'A) Base RI'!X143</f>
        <v>0</v>
      </c>
      <c r="G143" s="4">
        <f t="shared" si="12"/>
        <v>7001719.8599999994</v>
      </c>
      <c r="H143" s="14">
        <f>+'A) Base RI'!E143</f>
        <v>0</v>
      </c>
      <c r="I143" s="14">
        <f>+'A) Base RI'!F143</f>
        <v>0</v>
      </c>
      <c r="J143" s="14">
        <f>+'A) Base RI'!G143+'A) Base RI'!H143</f>
        <v>827462.3600000001</v>
      </c>
      <c r="K143" s="14">
        <f>+'A) Base RI'!I143</f>
        <v>0</v>
      </c>
      <c r="L143" s="14">
        <f>+'A) Base RI'!J143</f>
        <v>218703.02</v>
      </c>
      <c r="M143" s="14">
        <f>+'A) Base RI'!K143</f>
        <v>21092</v>
      </c>
      <c r="N143" s="14">
        <f>+'A) Base RI'!Q143</f>
        <v>14158.32</v>
      </c>
      <c r="O143" s="14">
        <f t="shared" si="13"/>
        <v>569240.1</v>
      </c>
      <c r="P143" s="14">
        <f>+'A) Base RI'!L143</f>
        <v>569240.1</v>
      </c>
      <c r="Q143" s="42">
        <f>'A) Base RI'!Y143</f>
        <v>1</v>
      </c>
      <c r="R143" s="4">
        <f t="shared" si="14"/>
        <v>8652375.6600000001</v>
      </c>
      <c r="S143" s="41">
        <f>'A) Base RI'!T143</f>
        <v>62</v>
      </c>
      <c r="T143" s="4">
        <f t="shared" si="15"/>
        <v>8062043.5599999996</v>
      </c>
      <c r="U143" s="4">
        <f t="shared" si="16"/>
        <v>139554.44612903227</v>
      </c>
      <c r="V143" s="14">
        <f>+'A) Base RI'!O143</f>
        <v>54125.3</v>
      </c>
      <c r="W143" s="14">
        <f>+'A) Base RI'!P143</f>
        <v>280536.7</v>
      </c>
      <c r="X143" s="14">
        <f>+'A) Base RI'!R143</f>
        <v>185024.5</v>
      </c>
      <c r="Y143" s="4">
        <f t="shared" si="17"/>
        <v>519686.5</v>
      </c>
      <c r="Z143" s="14">
        <f>+'A) Base RI'!N143</f>
        <v>134469</v>
      </c>
      <c r="AA143" s="14">
        <f>'A) Base RI'!U143</f>
        <v>2731</v>
      </c>
    </row>
    <row r="144" spans="1:27" x14ac:dyDescent="0.25">
      <c r="A144" s="12">
        <f>'A) Base RI'!A144</f>
        <v>5634</v>
      </c>
      <c r="B144" s="40" t="str">
        <f>'A) Base RI'!B144</f>
        <v>Echichens</v>
      </c>
      <c r="C144" s="14">
        <f>'A) Base RI'!C144+'A) Base RI'!D144</f>
        <v>7756007.0600000005</v>
      </c>
      <c r="D144" s="14">
        <f>'A) Base RI'!V144</f>
        <v>-109600.94</v>
      </c>
      <c r="E144" s="39">
        <f>'A) Base RI'!W144</f>
        <v>0</v>
      </c>
      <c r="F144" s="39">
        <f>'A) Base RI'!X144</f>
        <v>-3629.23</v>
      </c>
      <c r="G144" s="4">
        <f t="shared" si="12"/>
        <v>7642776.8899999997</v>
      </c>
      <c r="H144" s="14">
        <f>+'A) Base RI'!E144</f>
        <v>0</v>
      </c>
      <c r="I144" s="14">
        <f>+'A) Base RI'!F144</f>
        <v>0</v>
      </c>
      <c r="J144" s="14">
        <f>+'A) Base RI'!G144+'A) Base RI'!H144</f>
        <v>110204.75</v>
      </c>
      <c r="K144" s="14">
        <f>+'A) Base RI'!I144</f>
        <v>84657.2</v>
      </c>
      <c r="L144" s="14">
        <f>+'A) Base RI'!J144</f>
        <v>167717.95000000001</v>
      </c>
      <c r="M144" s="14">
        <f>+'A) Base RI'!K144</f>
        <v>17888.5</v>
      </c>
      <c r="N144" s="14">
        <f>+'A) Base RI'!Q144</f>
        <v>31972.2</v>
      </c>
      <c r="O144" s="14">
        <f t="shared" si="13"/>
        <v>492329.15</v>
      </c>
      <c r="P144" s="14">
        <f>+'A) Base RI'!L144</f>
        <v>492329.15</v>
      </c>
      <c r="Q144" s="42">
        <f>'A) Base RI'!Y144</f>
        <v>1</v>
      </c>
      <c r="R144" s="4">
        <f t="shared" si="14"/>
        <v>8547546.6400000006</v>
      </c>
      <c r="S144" s="41">
        <f>'A) Base RI'!T144</f>
        <v>68</v>
      </c>
      <c r="T144" s="4">
        <f t="shared" si="15"/>
        <v>8037328.9900000002</v>
      </c>
      <c r="U144" s="4">
        <f t="shared" si="16"/>
        <v>125699.21529411766</v>
      </c>
      <c r="V144" s="14">
        <f>+'A) Base RI'!O144</f>
        <v>129027</v>
      </c>
      <c r="W144" s="14">
        <f>+'A) Base RI'!P144</f>
        <v>605312.1</v>
      </c>
      <c r="X144" s="14">
        <f>+'A) Base RI'!R144</f>
        <v>274942.5</v>
      </c>
      <c r="Y144" s="4">
        <f t="shared" si="17"/>
        <v>1009281.6</v>
      </c>
      <c r="Z144" s="14">
        <f>+'A) Base RI'!N144</f>
        <v>20791.55</v>
      </c>
      <c r="AA144" s="14">
        <f>'A) Base RI'!U144</f>
        <v>2639</v>
      </c>
    </row>
    <row r="145" spans="1:27" x14ac:dyDescent="0.25">
      <c r="A145" s="12">
        <f>'A) Base RI'!A145</f>
        <v>5635</v>
      </c>
      <c r="B145" s="40" t="str">
        <f>'A) Base RI'!B145</f>
        <v>Ecublens</v>
      </c>
      <c r="C145" s="14">
        <f>'A) Base RI'!C145+'A) Base RI'!D145</f>
        <v>20248942.73</v>
      </c>
      <c r="D145" s="14">
        <f>'A) Base RI'!V145</f>
        <v>-2224727.37</v>
      </c>
      <c r="E145" s="39">
        <f>'A) Base RI'!W145</f>
        <v>0</v>
      </c>
      <c r="F145" s="39">
        <f>'A) Base RI'!X145</f>
        <v>-5439.77</v>
      </c>
      <c r="G145" s="4">
        <f t="shared" si="12"/>
        <v>18018775.59</v>
      </c>
      <c r="H145" s="14">
        <f>+'A) Base RI'!E145</f>
        <v>0</v>
      </c>
      <c r="I145" s="14">
        <f>+'A) Base RI'!F145</f>
        <v>0</v>
      </c>
      <c r="J145" s="14">
        <f>+'A) Base RI'!G145+'A) Base RI'!H145</f>
        <v>4037197.35</v>
      </c>
      <c r="K145" s="14">
        <f>+'A) Base RI'!I145</f>
        <v>19068.849999999999</v>
      </c>
      <c r="L145" s="14">
        <f>+'A) Base RI'!J145</f>
        <v>1559861.06</v>
      </c>
      <c r="M145" s="14">
        <f>+'A) Base RI'!K145</f>
        <v>402579.5</v>
      </c>
      <c r="N145" s="14">
        <f>+'A) Base RI'!Q145</f>
        <v>139320.39000000001</v>
      </c>
      <c r="O145" s="14">
        <f t="shared" si="13"/>
        <v>2144882.5789473685</v>
      </c>
      <c r="P145" s="14">
        <f>+'A) Base RI'!L145</f>
        <v>2037638.45</v>
      </c>
      <c r="Q145" s="42">
        <f>'A) Base RI'!Y145</f>
        <v>0.95</v>
      </c>
      <c r="R145" s="4">
        <f t="shared" si="14"/>
        <v>26321685.318947371</v>
      </c>
      <c r="S145" s="41">
        <f>'A) Base RI'!T145</f>
        <v>62</v>
      </c>
      <c r="T145" s="4">
        <f t="shared" si="15"/>
        <v>23774223.240000002</v>
      </c>
      <c r="U145" s="4">
        <f t="shared" si="16"/>
        <v>424543.31159592536</v>
      </c>
      <c r="V145" s="14">
        <f>+'A) Base RI'!O145</f>
        <v>770721.3</v>
      </c>
      <c r="W145" s="14">
        <f>+'A) Base RI'!P145</f>
        <v>666547.75</v>
      </c>
      <c r="X145" s="14">
        <f>+'A) Base RI'!R145</f>
        <v>490704</v>
      </c>
      <c r="Y145" s="4">
        <f t="shared" si="17"/>
        <v>1927973.05</v>
      </c>
      <c r="Z145" s="14">
        <f>+'A) Base RI'!N145</f>
        <v>1718415.3</v>
      </c>
      <c r="AA145" s="14">
        <f>'A) Base RI'!U145</f>
        <v>12340</v>
      </c>
    </row>
    <row r="146" spans="1:27" x14ac:dyDescent="0.25">
      <c r="A146" s="12">
        <f>'A) Base RI'!A146</f>
        <v>5636</v>
      </c>
      <c r="B146" s="40" t="str">
        <f>'A) Base RI'!B146</f>
        <v>Etoy</v>
      </c>
      <c r="C146" s="14">
        <f>'A) Base RI'!C146+'A) Base RI'!D146</f>
        <v>6125878.7199999997</v>
      </c>
      <c r="D146" s="14">
        <f>'A) Base RI'!V146</f>
        <v>-173716.56</v>
      </c>
      <c r="E146" s="39">
        <f>'A) Base RI'!W146</f>
        <v>0</v>
      </c>
      <c r="F146" s="39">
        <f>'A) Base RI'!X146</f>
        <v>-346.66</v>
      </c>
      <c r="G146" s="4">
        <f t="shared" si="12"/>
        <v>5951815.5</v>
      </c>
      <c r="H146" s="14">
        <f>+'A) Base RI'!E146</f>
        <v>0</v>
      </c>
      <c r="I146" s="14">
        <f>+'A) Base RI'!F146</f>
        <v>0</v>
      </c>
      <c r="J146" s="14">
        <f>+'A) Base RI'!G146+'A) Base RI'!H146</f>
        <v>1669769.9</v>
      </c>
      <c r="K146" s="14">
        <f>+'A) Base RI'!I146</f>
        <v>75875.600000000006</v>
      </c>
      <c r="L146" s="14">
        <f>+'A) Base RI'!J146</f>
        <v>339228.27</v>
      </c>
      <c r="M146" s="14">
        <f>+'A) Base RI'!K146</f>
        <v>158075.5</v>
      </c>
      <c r="N146" s="14">
        <f>+'A) Base RI'!Q146</f>
        <v>24754.65</v>
      </c>
      <c r="O146" s="14">
        <f t="shared" si="13"/>
        <v>982625.5</v>
      </c>
      <c r="P146" s="14">
        <f>+'A) Base RI'!L146</f>
        <v>982625.5</v>
      </c>
      <c r="Q146" s="42">
        <f>'A) Base RI'!Y146</f>
        <v>1</v>
      </c>
      <c r="R146" s="4">
        <f t="shared" si="14"/>
        <v>9202144.9199999999</v>
      </c>
      <c r="S146" s="41">
        <f>'A) Base RI'!T146</f>
        <v>61</v>
      </c>
      <c r="T146" s="4">
        <f t="shared" si="15"/>
        <v>8061443.9199999999</v>
      </c>
      <c r="U146" s="4">
        <f t="shared" si="16"/>
        <v>150854.83475409835</v>
      </c>
      <c r="V146" s="14">
        <f>+'A) Base RI'!O146</f>
        <v>4455438.8499999996</v>
      </c>
      <c r="W146" s="14">
        <f>+'A) Base RI'!P146</f>
        <v>379384.8</v>
      </c>
      <c r="X146" s="14">
        <f>+'A) Base RI'!R146</f>
        <v>167571.25</v>
      </c>
      <c r="Y146" s="4">
        <f t="shared" si="17"/>
        <v>5002394.8999999994</v>
      </c>
      <c r="Z146" s="14">
        <f>+'A) Base RI'!N146</f>
        <v>521446.40000000002</v>
      </c>
      <c r="AA146" s="14">
        <f>'A) Base RI'!U146</f>
        <v>2906</v>
      </c>
    </row>
    <row r="147" spans="1:27" x14ac:dyDescent="0.25">
      <c r="A147" s="12">
        <f>'A) Base RI'!A147</f>
        <v>5637</v>
      </c>
      <c r="B147" s="40" t="str">
        <f>'A) Base RI'!B147</f>
        <v>Lavigny</v>
      </c>
      <c r="C147" s="14">
        <f>'A) Base RI'!C147+'A) Base RI'!D147</f>
        <v>2304929.7200000002</v>
      </c>
      <c r="D147" s="14">
        <f>'A) Base RI'!V147</f>
        <v>-8888.19</v>
      </c>
      <c r="E147" s="39">
        <f>'A) Base RI'!W147</f>
        <v>0</v>
      </c>
      <c r="F147" s="39">
        <f>'A) Base RI'!X147</f>
        <v>-164.58</v>
      </c>
      <c r="G147" s="4">
        <f t="shared" si="12"/>
        <v>2295876.9500000002</v>
      </c>
      <c r="H147" s="14">
        <f>+'A) Base RI'!E147</f>
        <v>0</v>
      </c>
      <c r="I147" s="14">
        <f>+'A) Base RI'!F147</f>
        <v>0</v>
      </c>
      <c r="J147" s="14">
        <f>+'A) Base RI'!G147+'A) Base RI'!H147</f>
        <v>81747.850000000006</v>
      </c>
      <c r="K147" s="14">
        <f>+'A) Base RI'!I147</f>
        <v>0</v>
      </c>
      <c r="L147" s="14">
        <f>+'A) Base RI'!J147</f>
        <v>109806.95</v>
      </c>
      <c r="M147" s="14">
        <f>+'A) Base RI'!K147</f>
        <v>4183.5</v>
      </c>
      <c r="N147" s="14">
        <f>+'A) Base RI'!Q147</f>
        <v>0</v>
      </c>
      <c r="O147" s="14">
        <f t="shared" si="13"/>
        <v>174651.06666666668</v>
      </c>
      <c r="P147" s="14">
        <f>+'A) Base RI'!L147</f>
        <v>261976.6</v>
      </c>
      <c r="Q147" s="42">
        <f>'A) Base RI'!Y147</f>
        <v>1.5</v>
      </c>
      <c r="R147" s="4">
        <f t="shared" si="14"/>
        <v>2666266.3166666673</v>
      </c>
      <c r="S147" s="41">
        <f>'A) Base RI'!T147</f>
        <v>74.5</v>
      </c>
      <c r="T147" s="4">
        <f t="shared" si="15"/>
        <v>2487431.7500000005</v>
      </c>
      <c r="U147" s="4">
        <f t="shared" si="16"/>
        <v>35788.809619686814</v>
      </c>
      <c r="V147" s="14">
        <f>+'A) Base RI'!O147</f>
        <v>0</v>
      </c>
      <c r="W147" s="14">
        <f>+'A) Base RI'!P147</f>
        <v>70531.25</v>
      </c>
      <c r="X147" s="14">
        <f>+'A) Base RI'!R147</f>
        <v>47470.2</v>
      </c>
      <c r="Y147" s="4">
        <f t="shared" si="17"/>
        <v>118001.45</v>
      </c>
      <c r="Z147" s="14">
        <f>+'A) Base RI'!N147</f>
        <v>265599.65000000002</v>
      </c>
      <c r="AA147" s="14">
        <f>'A) Base RI'!U147</f>
        <v>1006</v>
      </c>
    </row>
    <row r="148" spans="1:27" x14ac:dyDescent="0.25">
      <c r="A148" s="12">
        <f>'A) Base RI'!A148</f>
        <v>5638</v>
      </c>
      <c r="B148" s="40" t="str">
        <f>'A) Base RI'!B148</f>
        <v>Lonay</v>
      </c>
      <c r="C148" s="14">
        <f>'A) Base RI'!C148+'A) Base RI'!D148</f>
        <v>5851678.5999999996</v>
      </c>
      <c r="D148" s="14">
        <f>'A) Base RI'!V148</f>
        <v>-4570.74</v>
      </c>
      <c r="E148" s="39">
        <f>'A) Base RI'!W148</f>
        <v>0</v>
      </c>
      <c r="F148" s="39">
        <f>'A) Base RI'!X148</f>
        <v>-12389.09</v>
      </c>
      <c r="G148" s="4">
        <f t="shared" si="12"/>
        <v>5834718.7699999996</v>
      </c>
      <c r="H148" s="14">
        <f>+'A) Base RI'!E148</f>
        <v>0</v>
      </c>
      <c r="I148" s="14">
        <f>+'A) Base RI'!F148</f>
        <v>0</v>
      </c>
      <c r="J148" s="14">
        <f>+'A) Base RI'!G148+'A) Base RI'!H148</f>
        <v>1454063.7</v>
      </c>
      <c r="K148" s="14">
        <f>+'A) Base RI'!I148</f>
        <v>184173.85</v>
      </c>
      <c r="L148" s="14">
        <f>+'A) Base RI'!J148</f>
        <v>182171.58</v>
      </c>
      <c r="M148" s="14">
        <f>+'A) Base RI'!K148</f>
        <v>28415</v>
      </c>
      <c r="N148" s="14">
        <f>+'A) Base RI'!Q148</f>
        <v>9260.57</v>
      </c>
      <c r="O148" s="14">
        <f t="shared" si="13"/>
        <v>605283.15</v>
      </c>
      <c r="P148" s="14">
        <f>+'A) Base RI'!L148</f>
        <v>605283.15</v>
      </c>
      <c r="Q148" s="42">
        <f>'A) Base RI'!Y148</f>
        <v>1</v>
      </c>
      <c r="R148" s="4">
        <f t="shared" si="14"/>
        <v>8298086.6200000001</v>
      </c>
      <c r="S148" s="41">
        <f>'A) Base RI'!T148</f>
        <v>55</v>
      </c>
      <c r="T148" s="4">
        <f t="shared" si="15"/>
        <v>7664388.4699999997</v>
      </c>
      <c r="U148" s="4">
        <f t="shared" si="16"/>
        <v>150874.30218181817</v>
      </c>
      <c r="V148" s="14">
        <f>+'A) Base RI'!O148</f>
        <v>2138901.2999999998</v>
      </c>
      <c r="W148" s="14">
        <f>+'A) Base RI'!P148</f>
        <v>467534.2</v>
      </c>
      <c r="X148" s="14">
        <f>+'A) Base RI'!R148</f>
        <v>87471.05</v>
      </c>
      <c r="Y148" s="4">
        <f t="shared" si="17"/>
        <v>2693906.55</v>
      </c>
      <c r="Z148" s="14">
        <f>+'A) Base RI'!N148</f>
        <v>173908.2</v>
      </c>
      <c r="AA148" s="14">
        <f>'A) Base RI'!U148</f>
        <v>2530</v>
      </c>
    </row>
    <row r="149" spans="1:27" x14ac:dyDescent="0.25">
      <c r="A149" s="12">
        <f>'A) Base RI'!A149</f>
        <v>5639</v>
      </c>
      <c r="B149" s="40" t="str">
        <f>'A) Base RI'!B149</f>
        <v>Lully</v>
      </c>
      <c r="C149" s="14">
        <f>'A) Base RI'!C149+'A) Base RI'!D149</f>
        <v>2409266.86</v>
      </c>
      <c r="D149" s="14">
        <f>'A) Base RI'!V149</f>
        <v>-144104.69</v>
      </c>
      <c r="E149" s="39">
        <f>'A) Base RI'!W149</f>
        <v>0</v>
      </c>
      <c r="F149" s="39">
        <f>'A) Base RI'!X149</f>
        <v>0</v>
      </c>
      <c r="G149" s="4">
        <f t="shared" si="12"/>
        <v>2265162.17</v>
      </c>
      <c r="H149" s="14">
        <f>+'A) Base RI'!E149</f>
        <v>0</v>
      </c>
      <c r="I149" s="14">
        <f>+'A) Base RI'!F149</f>
        <v>0</v>
      </c>
      <c r="J149" s="14">
        <f>+'A) Base RI'!G149+'A) Base RI'!H149</f>
        <v>85621</v>
      </c>
      <c r="K149" s="14">
        <f>+'A) Base RI'!I149</f>
        <v>0</v>
      </c>
      <c r="L149" s="14">
        <f>+'A) Base RI'!J149</f>
        <v>10707.99</v>
      </c>
      <c r="M149" s="14">
        <f>+'A) Base RI'!K149</f>
        <v>2965</v>
      </c>
      <c r="N149" s="14">
        <f>+'A) Base RI'!Q149</f>
        <v>0</v>
      </c>
      <c r="O149" s="14">
        <f t="shared" si="13"/>
        <v>180689.88</v>
      </c>
      <c r="P149" s="14">
        <f>+'A) Base RI'!L149</f>
        <v>225862.35</v>
      </c>
      <c r="Q149" s="42">
        <f>'A) Base RI'!Y149</f>
        <v>1.25</v>
      </c>
      <c r="R149" s="4">
        <f t="shared" si="14"/>
        <v>2545146.04</v>
      </c>
      <c r="S149" s="41">
        <f>'A) Base RI'!T149</f>
        <v>61</v>
      </c>
      <c r="T149" s="4">
        <f t="shared" si="15"/>
        <v>2361491.16</v>
      </c>
      <c r="U149" s="4">
        <f t="shared" si="16"/>
        <v>41723.705573770494</v>
      </c>
      <c r="V149" s="14">
        <f>+'A) Base RI'!O149</f>
        <v>26672.2</v>
      </c>
      <c r="W149" s="14">
        <f>+'A) Base RI'!P149</f>
        <v>71985.95</v>
      </c>
      <c r="X149" s="14">
        <f>+'A) Base RI'!R149</f>
        <v>49166.45</v>
      </c>
      <c r="Y149" s="4">
        <f t="shared" si="17"/>
        <v>147824.59999999998</v>
      </c>
      <c r="Z149" s="14">
        <f>+'A) Base RI'!N149</f>
        <v>0</v>
      </c>
      <c r="AA149" s="14">
        <f>'A) Base RI'!U149</f>
        <v>785</v>
      </c>
    </row>
    <row r="150" spans="1:27" x14ac:dyDescent="0.25">
      <c r="A150" s="12">
        <f>'A) Base RI'!A150</f>
        <v>5640</v>
      </c>
      <c r="B150" s="40" t="str">
        <f>'A) Base RI'!B150</f>
        <v>Lussy-sur-Morges</v>
      </c>
      <c r="C150" s="14">
        <f>'A) Base RI'!C150+'A) Base RI'!D150</f>
        <v>2912812.75</v>
      </c>
      <c r="D150" s="14">
        <f>'A) Base RI'!V150</f>
        <v>-5232.91</v>
      </c>
      <c r="E150" s="39">
        <f>'A) Base RI'!W150</f>
        <v>0</v>
      </c>
      <c r="F150" s="39">
        <f>'A) Base RI'!X150</f>
        <v>-2047.95</v>
      </c>
      <c r="G150" s="4">
        <f t="shared" si="12"/>
        <v>2905531.8899999997</v>
      </c>
      <c r="H150" s="14">
        <f>+'A) Base RI'!E150</f>
        <v>0</v>
      </c>
      <c r="I150" s="14">
        <f>+'A) Base RI'!F150</f>
        <v>0</v>
      </c>
      <c r="J150" s="14">
        <f>+'A) Base RI'!G150+'A) Base RI'!H150</f>
        <v>299072.8</v>
      </c>
      <c r="K150" s="14">
        <f>+'A) Base RI'!I150</f>
        <v>172769.75</v>
      </c>
      <c r="L150" s="14">
        <f>+'A) Base RI'!J150</f>
        <v>20946.87</v>
      </c>
      <c r="M150" s="14">
        <f>+'A) Base RI'!K150</f>
        <v>3465.5</v>
      </c>
      <c r="N150" s="14">
        <f>+'A) Base RI'!Q150</f>
        <v>0</v>
      </c>
      <c r="O150" s="14">
        <f t="shared" si="13"/>
        <v>173800.65</v>
      </c>
      <c r="P150" s="14">
        <f>+'A) Base RI'!L150</f>
        <v>173800.65</v>
      </c>
      <c r="Q150" s="42">
        <f>'A) Base RI'!Y150</f>
        <v>1</v>
      </c>
      <c r="R150" s="4">
        <f t="shared" si="14"/>
        <v>3575587.4599999995</v>
      </c>
      <c r="S150" s="41">
        <f>'A) Base RI'!T150</f>
        <v>66</v>
      </c>
      <c r="T150" s="4">
        <f t="shared" si="15"/>
        <v>3398321.3099999996</v>
      </c>
      <c r="U150" s="4">
        <f t="shared" si="16"/>
        <v>54175.567575757566</v>
      </c>
      <c r="V150" s="14">
        <f>+'A) Base RI'!O150</f>
        <v>109938.2</v>
      </c>
      <c r="W150" s="14">
        <f>+'A) Base RI'!P150</f>
        <v>126017.05</v>
      </c>
      <c r="X150" s="14">
        <f>+'A) Base RI'!R150</f>
        <v>138804.5</v>
      </c>
      <c r="Y150" s="4">
        <f t="shared" si="17"/>
        <v>374759.75</v>
      </c>
      <c r="Z150" s="14">
        <f>+'A) Base RI'!N150</f>
        <v>20362.95</v>
      </c>
      <c r="AA150" s="14">
        <f>'A) Base RI'!U150</f>
        <v>644</v>
      </c>
    </row>
    <row r="151" spans="1:27" x14ac:dyDescent="0.25">
      <c r="A151" s="12">
        <f>'A) Base RI'!A151</f>
        <v>5642</v>
      </c>
      <c r="B151" s="40" t="str">
        <f>'A) Base RI'!B151</f>
        <v>Morges</v>
      </c>
      <c r="C151" s="14">
        <f>'A) Base RI'!C151+'A) Base RI'!D151</f>
        <v>38516270.75</v>
      </c>
      <c r="D151" s="14">
        <f>'A) Base RI'!V151</f>
        <v>-659973.52</v>
      </c>
      <c r="E151" s="39">
        <f>'A) Base RI'!W151</f>
        <v>0</v>
      </c>
      <c r="F151" s="39">
        <f>'A) Base RI'!X151</f>
        <v>-37045.53</v>
      </c>
      <c r="G151" s="4">
        <f t="shared" si="12"/>
        <v>37819251.699999996</v>
      </c>
      <c r="H151" s="14">
        <f>+'A) Base RI'!E151</f>
        <v>0</v>
      </c>
      <c r="I151" s="14">
        <f>+'A) Base RI'!F151</f>
        <v>0</v>
      </c>
      <c r="J151" s="14">
        <f>+'A) Base RI'!G151+'A) Base RI'!H151</f>
        <v>9455981.4000000004</v>
      </c>
      <c r="K151" s="14">
        <f>+'A) Base RI'!I151</f>
        <v>604864.14</v>
      </c>
      <c r="L151" s="14">
        <f>+'A) Base RI'!J151</f>
        <v>2122272.9</v>
      </c>
      <c r="M151" s="14">
        <f>+'A) Base RI'!K151</f>
        <v>382545.5</v>
      </c>
      <c r="N151" s="14">
        <f>+'A) Base RI'!Q151</f>
        <v>130637.43</v>
      </c>
      <c r="O151" s="14">
        <f t="shared" si="13"/>
        <v>3036282.15</v>
      </c>
      <c r="P151" s="14">
        <f>+'A) Base RI'!L151</f>
        <v>3036282.15</v>
      </c>
      <c r="Q151" s="42">
        <f>'A) Base RI'!Y151</f>
        <v>1</v>
      </c>
      <c r="R151" s="4">
        <f t="shared" si="14"/>
        <v>53551835.219999991</v>
      </c>
      <c r="S151" s="41">
        <f>'A) Base RI'!T151</f>
        <v>68.5</v>
      </c>
      <c r="T151" s="4">
        <f t="shared" si="15"/>
        <v>50133007.569999993</v>
      </c>
      <c r="U151" s="4">
        <f t="shared" si="16"/>
        <v>781778.61635036487</v>
      </c>
      <c r="V151" s="14">
        <f>+'A) Base RI'!O151</f>
        <v>1658467.8</v>
      </c>
      <c r="W151" s="14">
        <f>+'A) Base RI'!P151</f>
        <v>1251388.55</v>
      </c>
      <c r="X151" s="14">
        <f>+'A) Base RI'!R151</f>
        <v>1318625.05</v>
      </c>
      <c r="Y151" s="4">
        <f t="shared" si="17"/>
        <v>4228481.4000000004</v>
      </c>
      <c r="Z151" s="14">
        <f>+'A) Base RI'!N151</f>
        <v>1269504.8500000001</v>
      </c>
      <c r="AA151" s="14">
        <f>'A) Base RI'!U151</f>
        <v>15819</v>
      </c>
    </row>
    <row r="152" spans="1:27" x14ac:dyDescent="0.25">
      <c r="A152" s="12">
        <f>'A) Base RI'!A152</f>
        <v>5643</v>
      </c>
      <c r="B152" s="40" t="str">
        <f>'A) Base RI'!B152</f>
        <v>Préverenges</v>
      </c>
      <c r="C152" s="14">
        <f>'A) Base RI'!C152+'A) Base RI'!D152</f>
        <v>14052562.969999999</v>
      </c>
      <c r="D152" s="14">
        <f>'A) Base RI'!V152</f>
        <v>-148667.34</v>
      </c>
      <c r="E152" s="39">
        <f>'A) Base RI'!W152</f>
        <v>0</v>
      </c>
      <c r="F152" s="39">
        <f>'A) Base RI'!X152</f>
        <v>-7398.71</v>
      </c>
      <c r="G152" s="4">
        <f t="shared" si="12"/>
        <v>13896496.919999998</v>
      </c>
      <c r="H152" s="14">
        <f>+'A) Base RI'!E152</f>
        <v>0</v>
      </c>
      <c r="I152" s="14">
        <f>+'A) Base RI'!F152</f>
        <v>0</v>
      </c>
      <c r="J152" s="14">
        <f>+'A) Base RI'!G152+'A) Base RI'!H152</f>
        <v>910997.04999999993</v>
      </c>
      <c r="K152" s="14">
        <f>+'A) Base RI'!I152</f>
        <v>329188.25</v>
      </c>
      <c r="L152" s="14">
        <f>+'A) Base RI'!J152</f>
        <v>479795.29</v>
      </c>
      <c r="M152" s="14">
        <f>+'A) Base RI'!K152</f>
        <v>107756.5</v>
      </c>
      <c r="N152" s="14">
        <f>+'A) Base RI'!Q152</f>
        <v>34630.67</v>
      </c>
      <c r="O152" s="14">
        <f t="shared" si="13"/>
        <v>1059050.1499999999</v>
      </c>
      <c r="P152" s="14">
        <f>+'A) Base RI'!L152</f>
        <v>1059050.1499999999</v>
      </c>
      <c r="Q152" s="42">
        <f>'A) Base RI'!Y152</f>
        <v>1</v>
      </c>
      <c r="R152" s="4">
        <f t="shared" si="14"/>
        <v>16817914.829999998</v>
      </c>
      <c r="S152" s="41">
        <f>'A) Base RI'!T152</f>
        <v>64</v>
      </c>
      <c r="T152" s="4">
        <f t="shared" si="15"/>
        <v>15651108.179999998</v>
      </c>
      <c r="U152" s="4">
        <f t="shared" si="16"/>
        <v>262779.91921874997</v>
      </c>
      <c r="V152" s="14">
        <f>+'A) Base RI'!O152</f>
        <v>4785</v>
      </c>
      <c r="W152" s="14">
        <f>+'A) Base RI'!P152</f>
        <v>587553.85</v>
      </c>
      <c r="X152" s="14">
        <f>+'A) Base RI'!R152</f>
        <v>381651.1</v>
      </c>
      <c r="Y152" s="4">
        <f t="shared" si="17"/>
        <v>973989.95</v>
      </c>
      <c r="Z152" s="14">
        <f>+'A) Base RI'!N152</f>
        <v>204178.25</v>
      </c>
      <c r="AA152" s="14">
        <f>'A) Base RI'!U152</f>
        <v>5276</v>
      </c>
    </row>
    <row r="153" spans="1:27" x14ac:dyDescent="0.25">
      <c r="A153" s="12">
        <f>'A) Base RI'!A153</f>
        <v>5644</v>
      </c>
      <c r="B153" s="40" t="str">
        <f>'A) Base RI'!B153</f>
        <v>Reverolle</v>
      </c>
      <c r="C153" s="14">
        <f>'A) Base RI'!C153+'A) Base RI'!D153</f>
        <v>937551.08</v>
      </c>
      <c r="D153" s="14">
        <f>'A) Base RI'!V153</f>
        <v>-950.83</v>
      </c>
      <c r="E153" s="39">
        <f>'A) Base RI'!W153</f>
        <v>0</v>
      </c>
      <c r="F153" s="39">
        <f>'A) Base RI'!X153</f>
        <v>-0.21</v>
      </c>
      <c r="G153" s="4">
        <f t="shared" si="12"/>
        <v>936600.04</v>
      </c>
      <c r="H153" s="14">
        <f>+'A) Base RI'!E153</f>
        <v>0</v>
      </c>
      <c r="I153" s="14">
        <f>+'A) Base RI'!F153</f>
        <v>0</v>
      </c>
      <c r="J153" s="14">
        <f>+'A) Base RI'!G153+'A) Base RI'!H153</f>
        <v>54928.25</v>
      </c>
      <c r="K153" s="14">
        <f>+'A) Base RI'!I153</f>
        <v>0</v>
      </c>
      <c r="L153" s="14">
        <f>+'A) Base RI'!J153</f>
        <v>16885.34</v>
      </c>
      <c r="M153" s="14">
        <f>+'A) Base RI'!K153</f>
        <v>-389.5</v>
      </c>
      <c r="N153" s="14">
        <f>+'A) Base RI'!Q153</f>
        <v>0</v>
      </c>
      <c r="O153" s="14">
        <f t="shared" si="13"/>
        <v>65769.25</v>
      </c>
      <c r="P153" s="14">
        <f>+'A) Base RI'!L153</f>
        <v>65769.25</v>
      </c>
      <c r="Q153" s="42">
        <f>'A) Base RI'!Y153</f>
        <v>1</v>
      </c>
      <c r="R153" s="4">
        <f t="shared" si="14"/>
        <v>1073793.3799999999</v>
      </c>
      <c r="S153" s="41">
        <f>'A) Base RI'!T153</f>
        <v>76</v>
      </c>
      <c r="T153" s="4">
        <f t="shared" si="15"/>
        <v>1008413.63</v>
      </c>
      <c r="U153" s="4">
        <f t="shared" si="16"/>
        <v>14128.860263157892</v>
      </c>
      <c r="V153" s="14">
        <f>+'A) Base RI'!O153</f>
        <v>4842</v>
      </c>
      <c r="W153" s="14">
        <f>+'A) Base RI'!P153</f>
        <v>30664.1</v>
      </c>
      <c r="X153" s="14">
        <f>+'A) Base RI'!R153</f>
        <v>21084.25</v>
      </c>
      <c r="Y153" s="4">
        <f t="shared" si="17"/>
        <v>56590.35</v>
      </c>
      <c r="Z153" s="14">
        <f>+'A) Base RI'!N153</f>
        <v>10960.05</v>
      </c>
      <c r="AA153" s="14">
        <f>'A) Base RI'!U153</f>
        <v>368</v>
      </c>
    </row>
    <row r="154" spans="1:27" x14ac:dyDescent="0.25">
      <c r="A154" s="12">
        <f>'A) Base RI'!A154</f>
        <v>5645</v>
      </c>
      <c r="B154" s="40" t="str">
        <f>'A) Base RI'!B154</f>
        <v>Romanel-sur-Morges</v>
      </c>
      <c r="C154" s="14">
        <f>'A) Base RI'!C154+'A) Base RI'!D154</f>
        <v>1173882.17</v>
      </c>
      <c r="D154" s="14">
        <f>'A) Base RI'!V154</f>
        <v>-8590.99</v>
      </c>
      <c r="E154" s="39">
        <f>'A) Base RI'!W154</f>
        <v>0</v>
      </c>
      <c r="F154" s="39">
        <f>'A) Base RI'!X154</f>
        <v>-260.94</v>
      </c>
      <c r="G154" s="4">
        <f t="shared" si="12"/>
        <v>1165030.24</v>
      </c>
      <c r="H154" s="14">
        <f>+'A) Base RI'!E154</f>
        <v>0</v>
      </c>
      <c r="I154" s="14">
        <f>+'A) Base RI'!F154</f>
        <v>0</v>
      </c>
      <c r="J154" s="14">
        <f>+'A) Base RI'!G154+'A) Base RI'!H154</f>
        <v>110486.6</v>
      </c>
      <c r="K154" s="14">
        <f>+'A) Base RI'!I154</f>
        <v>0</v>
      </c>
      <c r="L154" s="14">
        <f>+'A) Base RI'!J154</f>
        <v>46624.55</v>
      </c>
      <c r="M154" s="14">
        <f>+'A) Base RI'!K154</f>
        <v>13999.5</v>
      </c>
      <c r="N154" s="14">
        <f>+'A) Base RI'!Q154</f>
        <v>1320.96</v>
      </c>
      <c r="O154" s="14">
        <f t="shared" si="13"/>
        <v>138467.68749999997</v>
      </c>
      <c r="P154" s="14">
        <f>+'A) Base RI'!L154</f>
        <v>110774.15</v>
      </c>
      <c r="Q154" s="42">
        <f>'A) Base RI'!Y154</f>
        <v>0.8</v>
      </c>
      <c r="R154" s="4">
        <f t="shared" si="14"/>
        <v>1475929.5375000001</v>
      </c>
      <c r="S154" s="41">
        <f>'A) Base RI'!T154</f>
        <v>56</v>
      </c>
      <c r="T154" s="4">
        <f t="shared" si="15"/>
        <v>1323462.3500000001</v>
      </c>
      <c r="U154" s="4">
        <f t="shared" si="16"/>
        <v>26355.884598214288</v>
      </c>
      <c r="V154" s="14">
        <f>+'A) Base RI'!O154</f>
        <v>57205</v>
      </c>
      <c r="W154" s="14">
        <f>+'A) Base RI'!P154</f>
        <v>26722.45</v>
      </c>
      <c r="X154" s="14">
        <f>+'A) Base RI'!R154</f>
        <v>20603.400000000001</v>
      </c>
      <c r="Y154" s="4">
        <f t="shared" si="17"/>
        <v>104530.85</v>
      </c>
      <c r="Z154" s="14">
        <f>+'A) Base RI'!N154</f>
        <v>61686.3</v>
      </c>
      <c r="AA154" s="14">
        <f>'A) Base RI'!U154</f>
        <v>477</v>
      </c>
    </row>
    <row r="155" spans="1:27" x14ac:dyDescent="0.25">
      <c r="A155" s="12">
        <f>'A) Base RI'!A155</f>
        <v>5646</v>
      </c>
      <c r="B155" s="40" t="str">
        <f>'A) Base RI'!B155</f>
        <v>Saint-Prex</v>
      </c>
      <c r="C155" s="14">
        <f>'A) Base RI'!C155+'A) Base RI'!D155</f>
        <v>13034846.93</v>
      </c>
      <c r="D155" s="14">
        <f>'A) Base RI'!V155</f>
        <v>-288226.26</v>
      </c>
      <c r="E155" s="39">
        <f>'A) Base RI'!W155</f>
        <v>0</v>
      </c>
      <c r="F155" s="39">
        <f>'A) Base RI'!X155</f>
        <v>-6001.43</v>
      </c>
      <c r="G155" s="4">
        <f t="shared" si="12"/>
        <v>12740619.24</v>
      </c>
      <c r="H155" s="14">
        <f>+'A) Base RI'!E155</f>
        <v>0</v>
      </c>
      <c r="I155" s="14">
        <f>+'A) Base RI'!F155</f>
        <v>0</v>
      </c>
      <c r="J155" s="14">
        <f>+'A) Base RI'!G155+'A) Base RI'!H155</f>
        <v>13178187.85</v>
      </c>
      <c r="K155" s="14">
        <f>+'A) Base RI'!I155</f>
        <v>983317.82</v>
      </c>
      <c r="L155" s="14">
        <f>+'A) Base RI'!J155</f>
        <v>638533.88</v>
      </c>
      <c r="M155" s="14">
        <f>+'A) Base RI'!K155</f>
        <v>93413.5</v>
      </c>
      <c r="N155" s="14">
        <f>+'A) Base RI'!Q155</f>
        <v>22443.78</v>
      </c>
      <c r="O155" s="14">
        <f t="shared" si="13"/>
        <v>1481196.2</v>
      </c>
      <c r="P155" s="14">
        <f>+'A) Base RI'!L155</f>
        <v>1481196.2</v>
      </c>
      <c r="Q155" s="42">
        <f>'A) Base RI'!Y155</f>
        <v>1</v>
      </c>
      <c r="R155" s="4">
        <f t="shared" si="14"/>
        <v>29137712.27</v>
      </c>
      <c r="S155" s="41">
        <f>'A) Base RI'!T155</f>
        <v>55</v>
      </c>
      <c r="T155" s="4">
        <f t="shared" si="15"/>
        <v>27563102.57</v>
      </c>
      <c r="U155" s="4">
        <f t="shared" si="16"/>
        <v>529776.58672727272</v>
      </c>
      <c r="V155" s="14">
        <f>+'A) Base RI'!O155</f>
        <v>-77260.600000000006</v>
      </c>
      <c r="W155" s="14">
        <f>+'A) Base RI'!P155</f>
        <v>888125.65</v>
      </c>
      <c r="X155" s="14">
        <f>+'A) Base RI'!R155</f>
        <v>584799</v>
      </c>
      <c r="Y155" s="4">
        <f t="shared" si="17"/>
        <v>1395664.05</v>
      </c>
      <c r="Z155" s="14">
        <f>+'A) Base RI'!N155</f>
        <v>610213.05000000005</v>
      </c>
      <c r="AA155" s="14">
        <f>'A) Base RI'!U155</f>
        <v>5661</v>
      </c>
    </row>
    <row r="156" spans="1:27" x14ac:dyDescent="0.25">
      <c r="A156" s="12">
        <f>'A) Base RI'!A156</f>
        <v>5648</v>
      </c>
      <c r="B156" s="40" t="str">
        <f>'A) Base RI'!B156</f>
        <v>Saint-Sulpice</v>
      </c>
      <c r="C156" s="14">
        <f>'A) Base RI'!C156+'A) Base RI'!D156</f>
        <v>13698814.16</v>
      </c>
      <c r="D156" s="14">
        <f>'A) Base RI'!V156</f>
        <v>-137107.69</v>
      </c>
      <c r="E156" s="39">
        <f>'A) Base RI'!W156</f>
        <v>0</v>
      </c>
      <c r="F156" s="39">
        <f>'A) Base RI'!X156</f>
        <v>-15923.17</v>
      </c>
      <c r="G156" s="4">
        <f t="shared" si="12"/>
        <v>13545783.300000001</v>
      </c>
      <c r="H156" s="14">
        <f>+'A) Base RI'!E156</f>
        <v>0</v>
      </c>
      <c r="I156" s="14">
        <f>+'A) Base RI'!F156</f>
        <v>0</v>
      </c>
      <c r="J156" s="14">
        <f>+'A) Base RI'!G156+'A) Base RI'!H156</f>
        <v>1694793.95</v>
      </c>
      <c r="K156" s="14">
        <f>+'A) Base RI'!I156</f>
        <v>404476.6</v>
      </c>
      <c r="L156" s="14">
        <f>+'A) Base RI'!J156</f>
        <v>504771.25</v>
      </c>
      <c r="M156" s="14">
        <f>+'A) Base RI'!K156</f>
        <v>115737.5</v>
      </c>
      <c r="N156" s="14">
        <f>+'A) Base RI'!Q156</f>
        <v>93835.9</v>
      </c>
      <c r="O156" s="14">
        <f t="shared" si="13"/>
        <v>1270280.4375</v>
      </c>
      <c r="P156" s="14">
        <f>+'A) Base RI'!L156</f>
        <v>1016224.35</v>
      </c>
      <c r="Q156" s="42">
        <f>'A) Base RI'!Y156</f>
        <v>0.8</v>
      </c>
      <c r="R156" s="4">
        <f t="shared" si="14"/>
        <v>17629678.9375</v>
      </c>
      <c r="S156" s="41">
        <f>'A) Base RI'!T156</f>
        <v>55</v>
      </c>
      <c r="T156" s="4">
        <f t="shared" si="15"/>
        <v>16243661</v>
      </c>
      <c r="U156" s="4">
        <f t="shared" si="16"/>
        <v>320539.61704545456</v>
      </c>
      <c r="V156" s="14">
        <f>+'A) Base RI'!O156</f>
        <v>1374595.3</v>
      </c>
      <c r="W156" s="14">
        <f>+'A) Base RI'!P156</f>
        <v>1114570.8</v>
      </c>
      <c r="X156" s="14">
        <f>+'A) Base RI'!R156</f>
        <v>290681.40000000002</v>
      </c>
      <c r="Y156" s="4">
        <f t="shared" si="17"/>
        <v>2779847.5</v>
      </c>
      <c r="Z156" s="14">
        <f>+'A) Base RI'!N156</f>
        <v>50581.9</v>
      </c>
      <c r="AA156" s="14">
        <f>'A) Base RI'!U156</f>
        <v>4148</v>
      </c>
    </row>
    <row r="157" spans="1:27" x14ac:dyDescent="0.25">
      <c r="A157" s="12">
        <f>'A) Base RI'!A157</f>
        <v>5649</v>
      </c>
      <c r="B157" s="40" t="str">
        <f>'A) Base RI'!B157</f>
        <v>Tolochenaz</v>
      </c>
      <c r="C157" s="14">
        <f>'A) Base RI'!C157+'A) Base RI'!D157</f>
        <v>4358450.42</v>
      </c>
      <c r="D157" s="14">
        <f>'A) Base RI'!V157</f>
        <v>-67967.240000000005</v>
      </c>
      <c r="E157" s="39">
        <f>'A) Base RI'!W157</f>
        <v>0</v>
      </c>
      <c r="F157" s="39">
        <f>'A) Base RI'!X157</f>
        <v>-828.46</v>
      </c>
      <c r="G157" s="4">
        <f t="shared" si="12"/>
        <v>4289654.72</v>
      </c>
      <c r="H157" s="14">
        <f>+'A) Base RI'!E157</f>
        <v>0</v>
      </c>
      <c r="I157" s="14">
        <f>+'A) Base RI'!F157</f>
        <v>0</v>
      </c>
      <c r="J157" s="14">
        <f>+'A) Base RI'!G157+'A) Base RI'!H157</f>
        <v>-510384.85000000009</v>
      </c>
      <c r="K157" s="14">
        <f>+'A) Base RI'!I157</f>
        <v>116515</v>
      </c>
      <c r="L157" s="14">
        <f>+'A) Base RI'!J157</f>
        <v>641666.52</v>
      </c>
      <c r="M157" s="14">
        <f>+'A) Base RI'!K157</f>
        <v>62562.5</v>
      </c>
      <c r="N157" s="14">
        <f>+'A) Base RI'!Q157</f>
        <v>-4902.84</v>
      </c>
      <c r="O157" s="14">
        <f t="shared" si="13"/>
        <v>522191.45</v>
      </c>
      <c r="P157" s="14">
        <f>+'A) Base RI'!L157</f>
        <v>522191.45</v>
      </c>
      <c r="Q157" s="42">
        <f>'A) Base RI'!Y157</f>
        <v>1</v>
      </c>
      <c r="R157" s="4">
        <f t="shared" si="14"/>
        <v>5117302.5</v>
      </c>
      <c r="S157" s="41">
        <f>'A) Base RI'!T157</f>
        <v>65</v>
      </c>
      <c r="T157" s="4">
        <f t="shared" si="15"/>
        <v>4532548.55</v>
      </c>
      <c r="U157" s="4">
        <f t="shared" si="16"/>
        <v>78727.730769230766</v>
      </c>
      <c r="V157" s="14">
        <f>+'A) Base RI'!O157</f>
        <v>261199.4</v>
      </c>
      <c r="W157" s="14">
        <f>+'A) Base RI'!P157</f>
        <v>269132.7</v>
      </c>
      <c r="X157" s="14">
        <f>+'A) Base RI'!R157</f>
        <v>87002.25</v>
      </c>
      <c r="Y157" s="4">
        <f t="shared" si="17"/>
        <v>617334.35</v>
      </c>
      <c r="Z157" s="14">
        <f>+'A) Base RI'!N157</f>
        <v>470084</v>
      </c>
      <c r="AA157" s="14">
        <f>'A) Base RI'!U157</f>
        <v>1865</v>
      </c>
    </row>
    <row r="158" spans="1:27" x14ac:dyDescent="0.25">
      <c r="A158" s="12">
        <f>'A) Base RI'!A158</f>
        <v>5650</v>
      </c>
      <c r="B158" s="40" t="str">
        <f>'A) Base RI'!B158</f>
        <v>Vaux-sur-Morges</v>
      </c>
      <c r="C158" s="14">
        <f>'A) Base RI'!C158+'A) Base RI'!D158</f>
        <v>9314164.8000000007</v>
      </c>
      <c r="D158" s="14">
        <f>'A) Base RI'!V158</f>
        <v>-10.26</v>
      </c>
      <c r="E158" s="39">
        <f>'A) Base RI'!W158</f>
        <v>0</v>
      </c>
      <c r="F158" s="39">
        <f>'A) Base RI'!X158</f>
        <v>0</v>
      </c>
      <c r="G158" s="4">
        <f t="shared" si="12"/>
        <v>9314154.540000001</v>
      </c>
      <c r="H158" s="14">
        <f>+'A) Base RI'!E158</f>
        <v>0</v>
      </c>
      <c r="I158" s="14">
        <f>+'A) Base RI'!F158</f>
        <v>0</v>
      </c>
      <c r="J158" s="14">
        <f>+'A) Base RI'!G158+'A) Base RI'!H158</f>
        <v>19571.7</v>
      </c>
      <c r="K158" s="14">
        <f>+'A) Base RI'!I158</f>
        <v>0</v>
      </c>
      <c r="L158" s="14">
        <f>+'A) Base RI'!J158</f>
        <v>9331.68</v>
      </c>
      <c r="M158" s="14">
        <f>+'A) Base RI'!K158</f>
        <v>0</v>
      </c>
      <c r="N158" s="14">
        <f>+'A) Base RI'!Q158</f>
        <v>0</v>
      </c>
      <c r="O158" s="14">
        <f t="shared" si="13"/>
        <v>42231.040000000001</v>
      </c>
      <c r="P158" s="14">
        <f>+'A) Base RI'!L158</f>
        <v>52788.800000000003</v>
      </c>
      <c r="Q158" s="42">
        <f>'A) Base RI'!Y158</f>
        <v>1.25</v>
      </c>
      <c r="R158" s="4">
        <f t="shared" si="14"/>
        <v>9385288.959999999</v>
      </c>
      <c r="S158" s="41">
        <f>'A) Base RI'!T158</f>
        <v>56</v>
      </c>
      <c r="T158" s="4">
        <f t="shared" si="15"/>
        <v>9343057.9199999999</v>
      </c>
      <c r="U158" s="4">
        <f t="shared" si="16"/>
        <v>167594.44571428568</v>
      </c>
      <c r="V158" s="14">
        <f>+'A) Base RI'!O158</f>
        <v>0</v>
      </c>
      <c r="W158" s="14">
        <f>+'A) Base RI'!P158</f>
        <v>2238.1999999999998</v>
      </c>
      <c r="X158" s="14">
        <f>+'A) Base RI'!R158</f>
        <v>0</v>
      </c>
      <c r="Y158" s="4">
        <f t="shared" si="17"/>
        <v>2238.1999999999998</v>
      </c>
      <c r="Z158" s="14">
        <f>+'A) Base RI'!N158</f>
        <v>0</v>
      </c>
      <c r="AA158" s="14">
        <f>'A) Base RI'!U158</f>
        <v>200</v>
      </c>
    </row>
    <row r="159" spans="1:27" x14ac:dyDescent="0.25">
      <c r="A159" s="12">
        <f>'A) Base RI'!A159</f>
        <v>5651</v>
      </c>
      <c r="B159" s="40" t="str">
        <f>'A) Base RI'!B159</f>
        <v>Villars-Sainte-Croix</v>
      </c>
      <c r="C159" s="14">
        <f>'A) Base RI'!C159+'A) Base RI'!D159</f>
        <v>1741715.57</v>
      </c>
      <c r="D159" s="14">
        <f>'A) Base RI'!V159</f>
        <v>-18096.36</v>
      </c>
      <c r="E159" s="39">
        <f>'A) Base RI'!W159</f>
        <v>0</v>
      </c>
      <c r="F159" s="39">
        <f>'A) Base RI'!X159</f>
        <v>-12.34</v>
      </c>
      <c r="G159" s="4">
        <f t="shared" si="12"/>
        <v>1723606.8699999999</v>
      </c>
      <c r="H159" s="14">
        <f>+'A) Base RI'!E159</f>
        <v>0</v>
      </c>
      <c r="I159" s="14">
        <f>+'A) Base RI'!F159</f>
        <v>0</v>
      </c>
      <c r="J159" s="14">
        <f>+'A) Base RI'!G159+'A) Base RI'!H159</f>
        <v>254644.35</v>
      </c>
      <c r="K159" s="14">
        <f>+'A) Base RI'!I159</f>
        <v>0</v>
      </c>
      <c r="L159" s="14">
        <f>+'A) Base RI'!J159</f>
        <v>50326.52</v>
      </c>
      <c r="M159" s="14">
        <f>+'A) Base RI'!K159</f>
        <v>23305.5</v>
      </c>
      <c r="N159" s="14">
        <f>+'A) Base RI'!Q159</f>
        <v>5023.6499999999996</v>
      </c>
      <c r="O159" s="14">
        <f t="shared" si="13"/>
        <v>249576</v>
      </c>
      <c r="P159" s="14">
        <f>+'A) Base RI'!L159</f>
        <v>249576</v>
      </c>
      <c r="Q159" s="42">
        <f>'A) Base RI'!Y159</f>
        <v>1</v>
      </c>
      <c r="R159" s="4">
        <f t="shared" si="14"/>
        <v>2306482.8899999997</v>
      </c>
      <c r="S159" s="41">
        <f>'A) Base RI'!T159</f>
        <v>59</v>
      </c>
      <c r="T159" s="4">
        <f t="shared" si="15"/>
        <v>2033601.39</v>
      </c>
      <c r="U159" s="4">
        <f t="shared" si="16"/>
        <v>39092.930338983046</v>
      </c>
      <c r="V159" s="14">
        <f>+'A) Base RI'!O159</f>
        <v>0</v>
      </c>
      <c r="W159" s="14">
        <f>+'A) Base RI'!P159</f>
        <v>282336.84999999998</v>
      </c>
      <c r="X159" s="14">
        <f>+'A) Base RI'!R159</f>
        <v>56587.6</v>
      </c>
      <c r="Y159" s="4">
        <f t="shared" si="17"/>
        <v>338924.44999999995</v>
      </c>
      <c r="Z159" s="14">
        <f>+'A) Base RI'!N159</f>
        <v>185736.05</v>
      </c>
      <c r="AA159" s="14">
        <f>'A) Base RI'!U159</f>
        <v>841</v>
      </c>
    </row>
    <row r="160" spans="1:27" x14ac:dyDescent="0.25">
      <c r="A160" s="12">
        <f>'A) Base RI'!A160</f>
        <v>5652</v>
      </c>
      <c r="B160" s="40" t="str">
        <f>'A) Base RI'!B160</f>
        <v>Villars-sous-Yens</v>
      </c>
      <c r="C160" s="14">
        <f>'A) Base RI'!C160+'A) Base RI'!D160</f>
        <v>1514215.43</v>
      </c>
      <c r="D160" s="14">
        <f>'A) Base RI'!V160</f>
        <v>-11477.47</v>
      </c>
      <c r="E160" s="39">
        <f>'A) Base RI'!W160</f>
        <v>0</v>
      </c>
      <c r="F160" s="39">
        <f>'A) Base RI'!X160</f>
        <v>-98.18</v>
      </c>
      <c r="G160" s="4">
        <f t="shared" si="12"/>
        <v>1502639.78</v>
      </c>
      <c r="H160" s="14">
        <f>+'A) Base RI'!E160</f>
        <v>0</v>
      </c>
      <c r="I160" s="14">
        <f>+'A) Base RI'!F160</f>
        <v>0</v>
      </c>
      <c r="J160" s="14">
        <f>+'A) Base RI'!G160+'A) Base RI'!H160</f>
        <v>26651.399999999998</v>
      </c>
      <c r="K160" s="14">
        <f>+'A) Base RI'!I160</f>
        <v>0</v>
      </c>
      <c r="L160" s="14">
        <f>+'A) Base RI'!J160</f>
        <v>37005.360000000001</v>
      </c>
      <c r="M160" s="14">
        <f>+'A) Base RI'!K160</f>
        <v>850</v>
      </c>
      <c r="N160" s="14">
        <f>+'A) Base RI'!Q160</f>
        <v>3604.55</v>
      </c>
      <c r="O160" s="14">
        <f t="shared" si="13"/>
        <v>95279.5</v>
      </c>
      <c r="P160" s="14">
        <f>+'A) Base RI'!L160</f>
        <v>114335.4</v>
      </c>
      <c r="Q160" s="42">
        <f>'A) Base RI'!Y160</f>
        <v>1.2</v>
      </c>
      <c r="R160" s="4">
        <f t="shared" si="14"/>
        <v>1666030.59</v>
      </c>
      <c r="S160" s="41">
        <f>'A) Base RI'!T160</f>
        <v>76</v>
      </c>
      <c r="T160" s="4">
        <f t="shared" si="15"/>
        <v>1569901.09</v>
      </c>
      <c r="U160" s="4">
        <f t="shared" si="16"/>
        <v>21921.455131578947</v>
      </c>
      <c r="V160" s="14">
        <f>+'A) Base RI'!O160</f>
        <v>53248</v>
      </c>
      <c r="W160" s="14">
        <f>+'A) Base RI'!P160</f>
        <v>60796.35</v>
      </c>
      <c r="X160" s="14">
        <f>+'A) Base RI'!R160</f>
        <v>13199.1</v>
      </c>
      <c r="Y160" s="4">
        <f t="shared" si="17"/>
        <v>127243.45000000001</v>
      </c>
      <c r="Z160" s="14">
        <f>+'A) Base RI'!N160</f>
        <v>2656.2</v>
      </c>
      <c r="AA160" s="14">
        <f>'A) Base RI'!U160</f>
        <v>598</v>
      </c>
    </row>
    <row r="161" spans="1:27" x14ac:dyDescent="0.25">
      <c r="A161" s="12">
        <f>'A) Base RI'!A161</f>
        <v>5653</v>
      </c>
      <c r="B161" s="40" t="str">
        <f>'A) Base RI'!B161</f>
        <v>Vufflens-le-Château</v>
      </c>
      <c r="C161" s="14">
        <f>'A) Base RI'!C161+'A) Base RI'!D161</f>
        <v>3008397.9299999997</v>
      </c>
      <c r="D161" s="14">
        <f>'A) Base RI'!V161</f>
        <v>-9879.5499999999993</v>
      </c>
      <c r="E161" s="39">
        <f>'A) Base RI'!W161</f>
        <v>0</v>
      </c>
      <c r="F161" s="39">
        <f>'A) Base RI'!X161</f>
        <v>-658.49</v>
      </c>
      <c r="G161" s="4">
        <f t="shared" si="12"/>
        <v>2997859.8899999997</v>
      </c>
      <c r="H161" s="14">
        <f>+'A) Base RI'!E161</f>
        <v>0</v>
      </c>
      <c r="I161" s="14">
        <f>+'A) Base RI'!F161</f>
        <v>0</v>
      </c>
      <c r="J161" s="14">
        <f>+'A) Base RI'!G161+'A) Base RI'!H161</f>
        <v>-14934.249999999998</v>
      </c>
      <c r="K161" s="14">
        <f>+'A) Base RI'!I161</f>
        <v>120500.85</v>
      </c>
      <c r="L161" s="14">
        <f>+'A) Base RI'!J161</f>
        <v>32826.33</v>
      </c>
      <c r="M161" s="14">
        <f>+'A) Base RI'!K161</f>
        <v>2764.5</v>
      </c>
      <c r="N161" s="14">
        <f>+'A) Base RI'!Q161</f>
        <v>0</v>
      </c>
      <c r="O161" s="14">
        <f t="shared" si="13"/>
        <v>221766.43749999997</v>
      </c>
      <c r="P161" s="14">
        <f>+'A) Base RI'!L161</f>
        <v>177413.15</v>
      </c>
      <c r="Q161" s="42">
        <f>'A) Base RI'!Y161</f>
        <v>0.8</v>
      </c>
      <c r="R161" s="4">
        <f t="shared" si="14"/>
        <v>3360783.7574999998</v>
      </c>
      <c r="S161" s="41">
        <f>'A) Base RI'!T161</f>
        <v>55</v>
      </c>
      <c r="T161" s="4">
        <f t="shared" si="15"/>
        <v>3136252.82</v>
      </c>
      <c r="U161" s="4">
        <f t="shared" si="16"/>
        <v>61105.159227272721</v>
      </c>
      <c r="V161" s="14">
        <f>+'A) Base RI'!O161</f>
        <v>0</v>
      </c>
      <c r="W161" s="14">
        <f>+'A) Base RI'!P161</f>
        <v>100975.45</v>
      </c>
      <c r="X161" s="14">
        <f>+'A) Base RI'!R161</f>
        <v>104910</v>
      </c>
      <c r="Y161" s="4">
        <f t="shared" si="17"/>
        <v>205885.45</v>
      </c>
      <c r="Z161" s="14">
        <f>+'A) Base RI'!N161</f>
        <v>1378.1</v>
      </c>
      <c r="AA161" s="14">
        <f>'A) Base RI'!U161</f>
        <v>841</v>
      </c>
    </row>
    <row r="162" spans="1:27" x14ac:dyDescent="0.25">
      <c r="A162" s="12">
        <f>'A) Base RI'!A162</f>
        <v>5654</v>
      </c>
      <c r="B162" s="40" t="str">
        <f>'A) Base RI'!B162</f>
        <v>Vullierens</v>
      </c>
      <c r="C162" s="14">
        <f>'A) Base RI'!C162+'A) Base RI'!D162</f>
        <v>1152461.52</v>
      </c>
      <c r="D162" s="14">
        <f>'A) Base RI'!V162</f>
        <v>-7192.05</v>
      </c>
      <c r="E162" s="39">
        <f>'A) Base RI'!W162</f>
        <v>0</v>
      </c>
      <c r="F162" s="39">
        <f>'A) Base RI'!X162</f>
        <v>-613.52</v>
      </c>
      <c r="G162" s="4">
        <f t="shared" si="12"/>
        <v>1144655.95</v>
      </c>
      <c r="H162" s="14">
        <f>+'A) Base RI'!E162</f>
        <v>0</v>
      </c>
      <c r="I162" s="14">
        <f>+'A) Base RI'!F162</f>
        <v>0</v>
      </c>
      <c r="J162" s="14">
        <f>+'A) Base RI'!G162+'A) Base RI'!H162</f>
        <v>26038.6</v>
      </c>
      <c r="K162" s="14">
        <f>+'A) Base RI'!I162</f>
        <v>0</v>
      </c>
      <c r="L162" s="14">
        <f>+'A) Base RI'!J162</f>
        <v>42400.21</v>
      </c>
      <c r="M162" s="14">
        <f>+'A) Base RI'!K162</f>
        <v>1254</v>
      </c>
      <c r="N162" s="14">
        <f>+'A) Base RI'!Q162</f>
        <v>1927.75</v>
      </c>
      <c r="O162" s="14">
        <f t="shared" si="13"/>
        <v>86495.35</v>
      </c>
      <c r="P162" s="14">
        <f>+'A) Base RI'!L162</f>
        <v>86495.35</v>
      </c>
      <c r="Q162" s="42">
        <f>'A) Base RI'!Y162</f>
        <v>1</v>
      </c>
      <c r="R162" s="4">
        <f t="shared" si="14"/>
        <v>1302771.8600000001</v>
      </c>
      <c r="S162" s="41">
        <f>'A) Base RI'!T162</f>
        <v>76</v>
      </c>
      <c r="T162" s="4">
        <f t="shared" si="15"/>
        <v>1215022.51</v>
      </c>
      <c r="U162" s="4">
        <f t="shared" si="16"/>
        <v>17141.735000000001</v>
      </c>
      <c r="V162" s="14">
        <f>+'A) Base RI'!O162</f>
        <v>2346</v>
      </c>
      <c r="W162" s="14">
        <f>+'A) Base RI'!P162</f>
        <v>51545.45</v>
      </c>
      <c r="X162" s="14">
        <f>+'A) Base RI'!R162</f>
        <v>42146.2</v>
      </c>
      <c r="Y162" s="4">
        <f t="shared" si="17"/>
        <v>96037.65</v>
      </c>
      <c r="Z162" s="14">
        <f>+'A) Base RI'!N162</f>
        <v>1924.35</v>
      </c>
      <c r="AA162" s="14">
        <f>'A) Base RI'!U162</f>
        <v>461</v>
      </c>
    </row>
    <row r="163" spans="1:27" x14ac:dyDescent="0.25">
      <c r="A163" s="12">
        <f>'A) Base RI'!A163</f>
        <v>5655</v>
      </c>
      <c r="B163" s="40" t="str">
        <f>'A) Base RI'!B163</f>
        <v>Yens</v>
      </c>
      <c r="C163" s="14">
        <f>'A) Base RI'!C163+'A) Base RI'!D163</f>
        <v>5287424.9899999993</v>
      </c>
      <c r="D163" s="14">
        <f>'A) Base RI'!V163</f>
        <v>-16979.07</v>
      </c>
      <c r="E163" s="39">
        <f>'A) Base RI'!W163</f>
        <v>0</v>
      </c>
      <c r="F163" s="39">
        <f>'A) Base RI'!X163</f>
        <v>-872.03</v>
      </c>
      <c r="G163" s="4">
        <f t="shared" si="12"/>
        <v>5269573.8899999987</v>
      </c>
      <c r="H163" s="14">
        <f>+'A) Base RI'!E163</f>
        <v>0</v>
      </c>
      <c r="I163" s="14">
        <f>+'A) Base RI'!F163</f>
        <v>0</v>
      </c>
      <c r="J163" s="14">
        <f>+'A) Base RI'!G163+'A) Base RI'!H163</f>
        <v>250693.44999999998</v>
      </c>
      <c r="K163" s="14">
        <f>+'A) Base RI'!I163</f>
        <v>61299.01</v>
      </c>
      <c r="L163" s="14">
        <f>+'A) Base RI'!J163</f>
        <v>51791.519999999997</v>
      </c>
      <c r="M163" s="14">
        <f>+'A) Base RI'!K163</f>
        <v>5513.5</v>
      </c>
      <c r="N163" s="14">
        <f>+'A) Base RI'!Q163</f>
        <v>5725.36</v>
      </c>
      <c r="O163" s="14">
        <f t="shared" si="13"/>
        <v>456784.45</v>
      </c>
      <c r="P163" s="14">
        <f>+'A) Base RI'!L163</f>
        <v>456784.45</v>
      </c>
      <c r="Q163" s="42">
        <f>'A) Base RI'!Y163</f>
        <v>1</v>
      </c>
      <c r="R163" s="4">
        <f t="shared" si="14"/>
        <v>6101381.1799999988</v>
      </c>
      <c r="S163" s="41">
        <f>'A) Base RI'!T163</f>
        <v>73</v>
      </c>
      <c r="T163" s="4">
        <f t="shared" si="15"/>
        <v>5639083.2299999986</v>
      </c>
      <c r="U163" s="4">
        <f t="shared" si="16"/>
        <v>83580.564109589031</v>
      </c>
      <c r="V163" s="14">
        <f>+'A) Base RI'!O163</f>
        <v>4143</v>
      </c>
      <c r="W163" s="14">
        <f>+'A) Base RI'!P163</f>
        <v>90982.15</v>
      </c>
      <c r="X163" s="14">
        <f>+'A) Base RI'!R163</f>
        <v>104074.2</v>
      </c>
      <c r="Y163" s="4">
        <f t="shared" si="17"/>
        <v>199199.34999999998</v>
      </c>
      <c r="Z163" s="14">
        <f>+'A) Base RI'!N163</f>
        <v>67540.800000000003</v>
      </c>
      <c r="AA163" s="14">
        <f>'A) Base RI'!U163</f>
        <v>1388</v>
      </c>
    </row>
    <row r="164" spans="1:27" x14ac:dyDescent="0.25">
      <c r="A164" s="12">
        <f>'A) Base RI'!A164</f>
        <v>5661</v>
      </c>
      <c r="B164" s="40" t="str">
        <f>'A) Base RI'!B164</f>
        <v>Boulens</v>
      </c>
      <c r="C164" s="14">
        <f>'A) Base RI'!C164+'A) Base RI'!D164</f>
        <v>670519.48</v>
      </c>
      <c r="D164" s="14">
        <f>'A) Base RI'!V164</f>
        <v>0</v>
      </c>
      <c r="E164" s="39">
        <f>'A) Base RI'!W164</f>
        <v>0</v>
      </c>
      <c r="F164" s="39">
        <f>'A) Base RI'!X164</f>
        <v>0</v>
      </c>
      <c r="G164" s="4">
        <f t="shared" si="12"/>
        <v>670519.48</v>
      </c>
      <c r="H164" s="14">
        <f>+'A) Base RI'!E164</f>
        <v>0</v>
      </c>
      <c r="I164" s="14">
        <f>+'A) Base RI'!F164</f>
        <v>1800</v>
      </c>
      <c r="J164" s="14">
        <f>+'A) Base RI'!G164+'A) Base RI'!H164</f>
        <v>43518.719999999994</v>
      </c>
      <c r="K164" s="14">
        <f>+'A) Base RI'!I164</f>
        <v>0</v>
      </c>
      <c r="L164" s="14">
        <f>+'A) Base RI'!J164</f>
        <v>1490.82</v>
      </c>
      <c r="M164" s="14">
        <f>+'A) Base RI'!K164</f>
        <v>317.5</v>
      </c>
      <c r="N164" s="14">
        <f>+'A) Base RI'!Q164</f>
        <v>148.44999999999999</v>
      </c>
      <c r="O164" s="14">
        <f t="shared" si="13"/>
        <v>40049.75</v>
      </c>
      <c r="P164" s="14">
        <f>+'A) Base RI'!L164</f>
        <v>40049.75</v>
      </c>
      <c r="Q164" s="42">
        <f>'A) Base RI'!Y164</f>
        <v>1</v>
      </c>
      <c r="R164" s="4">
        <f t="shared" si="14"/>
        <v>757844.71999999986</v>
      </c>
      <c r="S164" s="41">
        <f>'A) Base RI'!T164</f>
        <v>79</v>
      </c>
      <c r="T164" s="4">
        <f t="shared" si="15"/>
        <v>715677.46999999986</v>
      </c>
      <c r="U164" s="4">
        <f t="shared" si="16"/>
        <v>9592.9711392405043</v>
      </c>
      <c r="V164" s="14">
        <f>+'A) Base RI'!O164</f>
        <v>0</v>
      </c>
      <c r="W164" s="14">
        <f>+'A) Base RI'!P164</f>
        <v>33333.199999999997</v>
      </c>
      <c r="X164" s="14">
        <f>+'A) Base RI'!R164</f>
        <v>6125</v>
      </c>
      <c r="Y164" s="4">
        <f t="shared" si="17"/>
        <v>39458.199999999997</v>
      </c>
      <c r="Z164" s="14">
        <f>+'A) Base RI'!N164</f>
        <v>13441.35</v>
      </c>
      <c r="AA164" s="14">
        <f>'A) Base RI'!U164</f>
        <v>368</v>
      </c>
    </row>
    <row r="165" spans="1:27" x14ac:dyDescent="0.25">
      <c r="A165" s="12">
        <f>'A) Base RI'!A165</f>
        <v>5663</v>
      </c>
      <c r="B165" s="40" t="str">
        <f>'A) Base RI'!B165</f>
        <v>Bussy-sur-Moudon</v>
      </c>
      <c r="C165" s="14">
        <f>'A) Base RI'!C165+'A) Base RI'!D165</f>
        <v>386173.12</v>
      </c>
      <c r="D165" s="14">
        <f>'A) Base RI'!V165</f>
        <v>-10445.549999999999</v>
      </c>
      <c r="E165" s="39">
        <f>'A) Base RI'!W165</f>
        <v>0</v>
      </c>
      <c r="F165" s="39">
        <f>'A) Base RI'!X165</f>
        <v>-1.76</v>
      </c>
      <c r="G165" s="4">
        <f t="shared" si="12"/>
        <v>375725.81</v>
      </c>
      <c r="H165" s="14">
        <f>+'A) Base RI'!E165</f>
        <v>0</v>
      </c>
      <c r="I165" s="14">
        <f>+'A) Base RI'!F165</f>
        <v>1290</v>
      </c>
      <c r="J165" s="14">
        <f>+'A) Base RI'!G165+'A) Base RI'!H165</f>
        <v>27928.2</v>
      </c>
      <c r="K165" s="14">
        <f>+'A) Base RI'!I165</f>
        <v>0</v>
      </c>
      <c r="L165" s="14">
        <f>+'A) Base RI'!J165</f>
        <v>4027.44</v>
      </c>
      <c r="M165" s="14">
        <f>+'A) Base RI'!K165</f>
        <v>460.5</v>
      </c>
      <c r="N165" s="14">
        <f>+'A) Base RI'!Q165</f>
        <v>108.81</v>
      </c>
      <c r="O165" s="14">
        <f t="shared" si="13"/>
        <v>27932.3</v>
      </c>
      <c r="P165" s="14">
        <f>+'A) Base RI'!L165</f>
        <v>27932.3</v>
      </c>
      <c r="Q165" s="42">
        <f>'A) Base RI'!Y165</f>
        <v>1</v>
      </c>
      <c r="R165" s="4">
        <f t="shared" si="14"/>
        <v>437473.06</v>
      </c>
      <c r="S165" s="41">
        <f>'A) Base RI'!T165</f>
        <v>80</v>
      </c>
      <c r="T165" s="4">
        <f t="shared" si="15"/>
        <v>407790.26</v>
      </c>
      <c r="U165" s="4">
        <f t="shared" si="16"/>
        <v>5468.4132499999996</v>
      </c>
      <c r="V165" s="14">
        <f>+'A) Base RI'!O165</f>
        <v>0</v>
      </c>
      <c r="W165" s="14">
        <f>+'A) Base RI'!P165</f>
        <v>9625</v>
      </c>
      <c r="X165" s="14">
        <f>+'A) Base RI'!R165</f>
        <v>11074.7</v>
      </c>
      <c r="Y165" s="4">
        <f t="shared" si="17"/>
        <v>20699.7</v>
      </c>
      <c r="Z165" s="14">
        <f>+'A) Base RI'!N165</f>
        <v>0</v>
      </c>
      <c r="AA165" s="14">
        <f>'A) Base RI'!U165</f>
        <v>208</v>
      </c>
    </row>
    <row r="166" spans="1:27" x14ac:dyDescent="0.25">
      <c r="A166" s="12">
        <f>'A) Base RI'!A166</f>
        <v>5665</v>
      </c>
      <c r="B166" s="40" t="str">
        <f>'A) Base RI'!B166</f>
        <v>Chavannes-sur-Moudon</v>
      </c>
      <c r="C166" s="14">
        <f>'A) Base RI'!C166+'A) Base RI'!D166</f>
        <v>332732.52999999997</v>
      </c>
      <c r="D166" s="14">
        <f>'A) Base RI'!V166</f>
        <v>-1198.19</v>
      </c>
      <c r="E166" s="39">
        <f>'A) Base RI'!W166</f>
        <v>0</v>
      </c>
      <c r="F166" s="39">
        <f>'A) Base RI'!X166</f>
        <v>0</v>
      </c>
      <c r="G166" s="4">
        <f t="shared" si="12"/>
        <v>331534.33999999997</v>
      </c>
      <c r="H166" s="14">
        <f>+'A) Base RI'!E166</f>
        <v>0</v>
      </c>
      <c r="I166" s="14">
        <f>+'A) Base RI'!F166</f>
        <v>0</v>
      </c>
      <c r="J166" s="14">
        <f>+'A) Base RI'!G166+'A) Base RI'!H166</f>
        <v>6664.55</v>
      </c>
      <c r="K166" s="14">
        <f>+'A) Base RI'!I166</f>
        <v>0</v>
      </c>
      <c r="L166" s="14">
        <f>+'A) Base RI'!J166</f>
        <v>1566.97</v>
      </c>
      <c r="M166" s="14">
        <f>+'A) Base RI'!K166</f>
        <v>4.5</v>
      </c>
      <c r="N166" s="14">
        <f>+'A) Base RI'!Q166</f>
        <v>426.01</v>
      </c>
      <c r="O166" s="14">
        <f t="shared" si="13"/>
        <v>23553.8</v>
      </c>
      <c r="P166" s="14">
        <f>+'A) Base RI'!L166</f>
        <v>23553.8</v>
      </c>
      <c r="Q166" s="42">
        <f>'A) Base RI'!Y166</f>
        <v>1</v>
      </c>
      <c r="R166" s="4">
        <f t="shared" si="14"/>
        <v>363750.16999999993</v>
      </c>
      <c r="S166" s="41">
        <f>'A) Base RI'!T166</f>
        <v>73</v>
      </c>
      <c r="T166" s="4">
        <f t="shared" si="15"/>
        <v>340191.86999999994</v>
      </c>
      <c r="U166" s="4">
        <f t="shared" si="16"/>
        <v>4982.8790410958891</v>
      </c>
      <c r="V166" s="14">
        <f>+'A) Base RI'!O166</f>
        <v>0</v>
      </c>
      <c r="W166" s="14">
        <f>+'A) Base RI'!P166</f>
        <v>2420</v>
      </c>
      <c r="X166" s="14">
        <f>+'A) Base RI'!R166</f>
        <v>0</v>
      </c>
      <c r="Y166" s="4">
        <f t="shared" si="17"/>
        <v>2420</v>
      </c>
      <c r="Z166" s="14">
        <f>+'A) Base RI'!N166</f>
        <v>0</v>
      </c>
      <c r="AA166" s="14">
        <f>'A) Base RI'!U166</f>
        <v>224</v>
      </c>
    </row>
    <row r="167" spans="1:27" x14ac:dyDescent="0.25">
      <c r="A167" s="12">
        <f>'A) Base RI'!A167</f>
        <v>5669</v>
      </c>
      <c r="B167" s="40" t="str">
        <f>'A) Base RI'!B167</f>
        <v>Curtilles</v>
      </c>
      <c r="C167" s="14">
        <f>'A) Base RI'!C167+'A) Base RI'!D167</f>
        <v>525094.30000000005</v>
      </c>
      <c r="D167" s="14">
        <f>'A) Base RI'!V167</f>
        <v>-14651.18</v>
      </c>
      <c r="E167" s="39">
        <f>'A) Base RI'!W167</f>
        <v>0</v>
      </c>
      <c r="F167" s="39">
        <f>'A) Base RI'!X167</f>
        <v>-0.12</v>
      </c>
      <c r="G167" s="4">
        <f t="shared" si="12"/>
        <v>510443.00000000006</v>
      </c>
      <c r="H167" s="14">
        <f>+'A) Base RI'!E167</f>
        <v>0</v>
      </c>
      <c r="I167" s="14">
        <f>+'A) Base RI'!F167</f>
        <v>0</v>
      </c>
      <c r="J167" s="14">
        <f>+'A) Base RI'!G167+'A) Base RI'!H167</f>
        <v>29472.949999999997</v>
      </c>
      <c r="K167" s="14">
        <f>+'A) Base RI'!I167</f>
        <v>0</v>
      </c>
      <c r="L167" s="14">
        <f>+'A) Base RI'!J167</f>
        <v>12607.58</v>
      </c>
      <c r="M167" s="14">
        <f>+'A) Base RI'!K167</f>
        <v>337</v>
      </c>
      <c r="N167" s="14">
        <f>+'A) Base RI'!Q167</f>
        <v>0</v>
      </c>
      <c r="O167" s="14">
        <f t="shared" si="13"/>
        <v>43240</v>
      </c>
      <c r="P167" s="14">
        <f>+'A) Base RI'!L167</f>
        <v>21620</v>
      </c>
      <c r="Q167" s="42">
        <f>'A) Base RI'!Y167</f>
        <v>0.5</v>
      </c>
      <c r="R167" s="4">
        <f t="shared" si="14"/>
        <v>596100.53</v>
      </c>
      <c r="S167" s="41">
        <f>'A) Base RI'!T167</f>
        <v>72</v>
      </c>
      <c r="T167" s="4">
        <f t="shared" si="15"/>
        <v>552523.53</v>
      </c>
      <c r="U167" s="4">
        <f t="shared" si="16"/>
        <v>8279.174027777779</v>
      </c>
      <c r="V167" s="14">
        <f>+'A) Base RI'!O167</f>
        <v>184.7</v>
      </c>
      <c r="W167" s="14">
        <f>+'A) Base RI'!P167</f>
        <v>5881.7</v>
      </c>
      <c r="X167" s="14">
        <f>+'A) Base RI'!R167</f>
        <v>0</v>
      </c>
      <c r="Y167" s="4">
        <f t="shared" si="17"/>
        <v>6066.4</v>
      </c>
      <c r="Z167" s="14">
        <f>+'A) Base RI'!N167</f>
        <v>0</v>
      </c>
      <c r="AA167" s="14">
        <f>'A) Base RI'!U167</f>
        <v>309</v>
      </c>
    </row>
    <row r="168" spans="1:27" x14ac:dyDescent="0.25">
      <c r="A168" s="12">
        <f>'A) Base RI'!A168</f>
        <v>5671</v>
      </c>
      <c r="B168" s="40" t="str">
        <f>'A) Base RI'!B168</f>
        <v>Dompierre</v>
      </c>
      <c r="C168" s="14">
        <f>'A) Base RI'!C168+'A) Base RI'!D168</f>
        <v>458731.22000000003</v>
      </c>
      <c r="D168" s="14">
        <f>'A) Base RI'!V168</f>
        <v>-271.35000000000002</v>
      </c>
      <c r="E168" s="39">
        <f>'A) Base RI'!W168</f>
        <v>0</v>
      </c>
      <c r="F168" s="39">
        <f>'A) Base RI'!X168</f>
        <v>0</v>
      </c>
      <c r="G168" s="4">
        <f t="shared" si="12"/>
        <v>458459.87000000005</v>
      </c>
      <c r="H168" s="14">
        <f>+'A) Base RI'!E168</f>
        <v>0</v>
      </c>
      <c r="I168" s="14">
        <f>+'A) Base RI'!F168</f>
        <v>1580</v>
      </c>
      <c r="J168" s="14">
        <f>+'A) Base RI'!G168+'A) Base RI'!H168</f>
        <v>17367.650000000001</v>
      </c>
      <c r="K168" s="14">
        <f>+'A) Base RI'!I168</f>
        <v>0</v>
      </c>
      <c r="L168" s="14">
        <f>+'A) Base RI'!J168</f>
        <v>22427.35</v>
      </c>
      <c r="M168" s="14">
        <f>+'A) Base RI'!K168</f>
        <v>223.5</v>
      </c>
      <c r="N168" s="14">
        <f>+'A) Base RI'!Q168</f>
        <v>0</v>
      </c>
      <c r="O168" s="14">
        <f t="shared" si="13"/>
        <v>33765.4</v>
      </c>
      <c r="P168" s="14">
        <f>+'A) Base RI'!L168</f>
        <v>33765.4</v>
      </c>
      <c r="Q168" s="42">
        <f>'A) Base RI'!Y168</f>
        <v>1</v>
      </c>
      <c r="R168" s="4">
        <f t="shared" si="14"/>
        <v>533823.77</v>
      </c>
      <c r="S168" s="41">
        <f>'A) Base RI'!T168</f>
        <v>80</v>
      </c>
      <c r="T168" s="4">
        <f t="shared" si="15"/>
        <v>498254.87000000005</v>
      </c>
      <c r="U168" s="4">
        <f t="shared" si="16"/>
        <v>6672.7971250000001</v>
      </c>
      <c r="V168" s="14">
        <f>+'A) Base RI'!O168</f>
        <v>0</v>
      </c>
      <c r="W168" s="14">
        <f>+'A) Base RI'!P168</f>
        <v>0</v>
      </c>
      <c r="X168" s="14">
        <f>+'A) Base RI'!R168</f>
        <v>0</v>
      </c>
      <c r="Y168" s="4">
        <f t="shared" si="17"/>
        <v>0</v>
      </c>
      <c r="Z168" s="14">
        <f>+'A) Base RI'!N168</f>
        <v>0</v>
      </c>
      <c r="AA168" s="14">
        <f>'A) Base RI'!U168</f>
        <v>242</v>
      </c>
    </row>
    <row r="169" spans="1:27" x14ac:dyDescent="0.25">
      <c r="A169" s="12">
        <f>'A) Base RI'!A169</f>
        <v>5673</v>
      </c>
      <c r="B169" s="40" t="str">
        <f>'A) Base RI'!B169</f>
        <v>Hermenches</v>
      </c>
      <c r="C169" s="14">
        <f>'A) Base RI'!C169+'A) Base RI'!D169</f>
        <v>548671.70000000007</v>
      </c>
      <c r="D169" s="14">
        <f>'A) Base RI'!V169</f>
        <v>-29358.080000000002</v>
      </c>
      <c r="E169" s="39">
        <f>'A) Base RI'!W169</f>
        <v>0</v>
      </c>
      <c r="F169" s="39">
        <f>'A) Base RI'!X169</f>
        <v>-23.39</v>
      </c>
      <c r="G169" s="4">
        <f t="shared" si="12"/>
        <v>519290.23000000004</v>
      </c>
      <c r="H169" s="14">
        <f>+'A) Base RI'!E169</f>
        <v>0</v>
      </c>
      <c r="I169" s="14">
        <f>+'A) Base RI'!F169</f>
        <v>1960</v>
      </c>
      <c r="J169" s="14">
        <f>+'A) Base RI'!G169+'A) Base RI'!H169</f>
        <v>787.5</v>
      </c>
      <c r="K169" s="14">
        <f>+'A) Base RI'!I169</f>
        <v>0</v>
      </c>
      <c r="L169" s="14">
        <f>+'A) Base RI'!J169</f>
        <v>8666.73</v>
      </c>
      <c r="M169" s="14">
        <f>+'A) Base RI'!K169</f>
        <v>7.5</v>
      </c>
      <c r="N169" s="14">
        <f>+'A) Base RI'!Q169</f>
        <v>15882.3</v>
      </c>
      <c r="O169" s="14">
        <f t="shared" si="13"/>
        <v>43905.666666666672</v>
      </c>
      <c r="P169" s="14">
        <f>+'A) Base RI'!L169</f>
        <v>26343.4</v>
      </c>
      <c r="Q169" s="42">
        <f>'A) Base RI'!Y169</f>
        <v>0.6</v>
      </c>
      <c r="R169" s="4">
        <f t="shared" si="14"/>
        <v>590499.92666666675</v>
      </c>
      <c r="S169" s="41">
        <f>'A) Base RI'!T169</f>
        <v>75</v>
      </c>
      <c r="T169" s="4">
        <f t="shared" si="15"/>
        <v>544626.76000000013</v>
      </c>
      <c r="U169" s="4">
        <f t="shared" si="16"/>
        <v>7873.3323555555571</v>
      </c>
      <c r="V169" s="14">
        <f>+'A) Base RI'!O169</f>
        <v>0</v>
      </c>
      <c r="W169" s="14">
        <f>+'A) Base RI'!P169</f>
        <v>9460</v>
      </c>
      <c r="X169" s="14">
        <f>+'A) Base RI'!R169</f>
        <v>5558.15</v>
      </c>
      <c r="Y169" s="4">
        <f t="shared" si="17"/>
        <v>15018.15</v>
      </c>
      <c r="Z169" s="14">
        <f>+'A) Base RI'!N169</f>
        <v>17541.400000000001</v>
      </c>
      <c r="AA169" s="14">
        <f>'A) Base RI'!U169</f>
        <v>379</v>
      </c>
    </row>
    <row r="170" spans="1:27" x14ac:dyDescent="0.25">
      <c r="A170" s="12">
        <f>'A) Base RI'!A170</f>
        <v>5674</v>
      </c>
      <c r="B170" s="40" t="str">
        <f>'A) Base RI'!B170</f>
        <v>Lovatens</v>
      </c>
      <c r="C170" s="14">
        <f>'A) Base RI'!C170+'A) Base RI'!D170</f>
        <v>274628.15000000002</v>
      </c>
      <c r="D170" s="14">
        <f>'A) Base RI'!V170</f>
        <v>0</v>
      </c>
      <c r="E170" s="39">
        <f>'A) Base RI'!W170</f>
        <v>-12974.5</v>
      </c>
      <c r="F170" s="39">
        <f>'A) Base RI'!X170</f>
        <v>0</v>
      </c>
      <c r="G170" s="4">
        <f t="shared" si="12"/>
        <v>261653.65000000002</v>
      </c>
      <c r="H170" s="14">
        <f>+'A) Base RI'!E170</f>
        <v>0</v>
      </c>
      <c r="I170" s="14">
        <f>+'A) Base RI'!F170</f>
        <v>0</v>
      </c>
      <c r="J170" s="14">
        <f>+'A) Base RI'!G170+'A) Base RI'!H170</f>
        <v>2237.35</v>
      </c>
      <c r="K170" s="14">
        <f>+'A) Base RI'!I170</f>
        <v>0</v>
      </c>
      <c r="L170" s="14">
        <f>+'A) Base RI'!J170</f>
        <v>3084.51</v>
      </c>
      <c r="M170" s="14">
        <f>+'A) Base RI'!K170</f>
        <v>0</v>
      </c>
      <c r="N170" s="14">
        <f>+'A) Base RI'!Q170</f>
        <v>0</v>
      </c>
      <c r="O170" s="14">
        <f t="shared" si="13"/>
        <v>16287.428571428574</v>
      </c>
      <c r="P170" s="14">
        <f>+'A) Base RI'!L170</f>
        <v>11401.2</v>
      </c>
      <c r="Q170" s="42">
        <f>'A) Base RI'!Y170</f>
        <v>0.7</v>
      </c>
      <c r="R170" s="4">
        <f t="shared" si="14"/>
        <v>283262.93857142859</v>
      </c>
      <c r="S170" s="41">
        <f>'A) Base RI'!T170</f>
        <v>75</v>
      </c>
      <c r="T170" s="4">
        <f t="shared" si="15"/>
        <v>266975.51</v>
      </c>
      <c r="U170" s="4">
        <f t="shared" si="16"/>
        <v>3776.8391809523814</v>
      </c>
      <c r="V170" s="14">
        <f>+'A) Base RI'!O170</f>
        <v>55216.3</v>
      </c>
      <c r="W170" s="14">
        <f>+'A) Base RI'!P170</f>
        <v>0</v>
      </c>
      <c r="X170" s="14">
        <f>+'A) Base RI'!R170</f>
        <v>0</v>
      </c>
      <c r="Y170" s="4">
        <f t="shared" si="17"/>
        <v>55216.3</v>
      </c>
      <c r="Z170" s="14">
        <f>+'A) Base RI'!N170</f>
        <v>0</v>
      </c>
      <c r="AA170" s="14">
        <f>'A) Base RI'!U170</f>
        <v>143</v>
      </c>
    </row>
    <row r="171" spans="1:27" x14ac:dyDescent="0.25">
      <c r="A171" s="12">
        <f>'A) Base RI'!A171</f>
        <v>5675</v>
      </c>
      <c r="B171" s="40" t="str">
        <f>'A) Base RI'!B171</f>
        <v>Lucens</v>
      </c>
      <c r="C171" s="14">
        <f>'A) Base RI'!C171+'A) Base RI'!D171</f>
        <v>4957121.6800000006</v>
      </c>
      <c r="D171" s="14">
        <f>'A) Base RI'!V171</f>
        <v>-299673.38</v>
      </c>
      <c r="E171" s="39">
        <f>'A) Base RI'!W171</f>
        <v>0</v>
      </c>
      <c r="F171" s="39">
        <f>'A) Base RI'!X171</f>
        <v>-565.42999999999995</v>
      </c>
      <c r="G171" s="4">
        <f t="shared" si="12"/>
        <v>4656882.870000001</v>
      </c>
      <c r="H171" s="14">
        <f>+'A) Base RI'!E171</f>
        <v>0</v>
      </c>
      <c r="I171" s="14">
        <f>+'A) Base RI'!F171</f>
        <v>0</v>
      </c>
      <c r="J171" s="14">
        <f>+'A) Base RI'!G171+'A) Base RI'!H171</f>
        <v>727857.6</v>
      </c>
      <c r="K171" s="14">
        <f>+'A) Base RI'!I171</f>
        <v>0</v>
      </c>
      <c r="L171" s="14">
        <f>+'A) Base RI'!J171</f>
        <v>301200.08</v>
      </c>
      <c r="M171" s="14">
        <f>+'A) Base RI'!K171</f>
        <v>19555.5</v>
      </c>
      <c r="N171" s="14">
        <f>+'A) Base RI'!Q171</f>
        <v>45414.47</v>
      </c>
      <c r="O171" s="14">
        <f t="shared" si="13"/>
        <v>551375.36363636365</v>
      </c>
      <c r="P171" s="14">
        <f>+'A) Base RI'!L171</f>
        <v>606512.9</v>
      </c>
      <c r="Q171" s="42">
        <f>'A) Base RI'!Y171</f>
        <v>1.1000000000000001</v>
      </c>
      <c r="R171" s="4">
        <f t="shared" si="14"/>
        <v>6302285.8836363638</v>
      </c>
      <c r="S171" s="41">
        <f>'A) Base RI'!T171</f>
        <v>67.819999999999993</v>
      </c>
      <c r="T171" s="4">
        <f t="shared" si="15"/>
        <v>5731355.0200000005</v>
      </c>
      <c r="U171" s="4">
        <f t="shared" si="16"/>
        <v>92926.657086941384</v>
      </c>
      <c r="V171" s="14">
        <f>+'A) Base RI'!O171</f>
        <v>38786.800000000003</v>
      </c>
      <c r="W171" s="14">
        <f>+'A) Base RI'!P171</f>
        <v>221220.44999999998</v>
      </c>
      <c r="X171" s="14">
        <f>+'A) Base RI'!R171</f>
        <v>161254.04999999999</v>
      </c>
      <c r="Y171" s="4">
        <f t="shared" si="17"/>
        <v>421261.3</v>
      </c>
      <c r="Z171" s="14">
        <f>+'A) Base RI'!N171</f>
        <v>31958.400000000001</v>
      </c>
      <c r="AA171" s="14">
        <f>'A) Base RI'!U171</f>
        <v>4009</v>
      </c>
    </row>
    <row r="172" spans="1:27" x14ac:dyDescent="0.25">
      <c r="A172" s="12">
        <f>'A) Base RI'!A172</f>
        <v>5678</v>
      </c>
      <c r="B172" s="40" t="str">
        <f>'A) Base RI'!B172</f>
        <v>Moudon</v>
      </c>
      <c r="C172" s="14">
        <f>'A) Base RI'!C172+'A) Base RI'!D172</f>
        <v>7345659.0199999996</v>
      </c>
      <c r="D172" s="14">
        <f>'A) Base RI'!V172</f>
        <v>-433206.72</v>
      </c>
      <c r="E172" s="39">
        <f>'A) Base RI'!W172</f>
        <v>0</v>
      </c>
      <c r="F172" s="39">
        <f>'A) Base RI'!X172</f>
        <v>-287.72000000000003</v>
      </c>
      <c r="G172" s="4">
        <f t="shared" si="12"/>
        <v>6912164.5800000001</v>
      </c>
      <c r="H172" s="14">
        <f>+'A) Base RI'!E172</f>
        <v>0</v>
      </c>
      <c r="I172" s="14">
        <f>+'A) Base RI'!F172</f>
        <v>31651.95</v>
      </c>
      <c r="J172" s="14">
        <f>+'A) Base RI'!G172+'A) Base RI'!H172</f>
        <v>891239.54999999993</v>
      </c>
      <c r="K172" s="14">
        <f>+'A) Base RI'!I172</f>
        <v>0</v>
      </c>
      <c r="L172" s="14">
        <f>+'A) Base RI'!J172</f>
        <v>539477.31999999995</v>
      </c>
      <c r="M172" s="14">
        <f>+'A) Base RI'!K172</f>
        <v>43408.5</v>
      </c>
      <c r="N172" s="14">
        <f>+'A) Base RI'!Q172</f>
        <v>92575.84</v>
      </c>
      <c r="O172" s="14">
        <f t="shared" si="13"/>
        <v>723218.05</v>
      </c>
      <c r="P172" s="14">
        <f>+'A) Base RI'!L172</f>
        <v>723218.05</v>
      </c>
      <c r="Q172" s="42">
        <f>'A) Base RI'!Y172</f>
        <v>1</v>
      </c>
      <c r="R172" s="4">
        <f t="shared" si="14"/>
        <v>9233735.790000001</v>
      </c>
      <c r="S172" s="41">
        <f>'A) Base RI'!T172</f>
        <v>75</v>
      </c>
      <c r="T172" s="4">
        <f t="shared" si="15"/>
        <v>8435457.290000001</v>
      </c>
      <c r="U172" s="4">
        <f t="shared" si="16"/>
        <v>123116.47720000001</v>
      </c>
      <c r="V172" s="14">
        <f>+'A) Base RI'!O172</f>
        <v>164003.4</v>
      </c>
      <c r="W172" s="14">
        <f>+'A) Base RI'!P172</f>
        <v>354202.6</v>
      </c>
      <c r="X172" s="14">
        <f>+'A) Base RI'!R172</f>
        <v>180094.4</v>
      </c>
      <c r="Y172" s="4">
        <f t="shared" si="17"/>
        <v>698300.4</v>
      </c>
      <c r="Z172" s="14">
        <f>+'A) Base RI'!N172</f>
        <v>174981.1</v>
      </c>
      <c r="AA172" s="14">
        <f>'A) Base RI'!U172</f>
        <v>6003</v>
      </c>
    </row>
    <row r="173" spans="1:27" x14ac:dyDescent="0.25">
      <c r="A173" s="12">
        <f>'A) Base RI'!A173</f>
        <v>5680</v>
      </c>
      <c r="B173" s="40" t="str">
        <f>'A) Base RI'!B173</f>
        <v>Ogens</v>
      </c>
      <c r="C173" s="14">
        <f>'A) Base RI'!C173+'A) Base RI'!D173</f>
        <v>609381.82000000007</v>
      </c>
      <c r="D173" s="14">
        <f>'A) Base RI'!V173</f>
        <v>-82.1</v>
      </c>
      <c r="E173" s="39">
        <f>'A) Base RI'!W173</f>
        <v>0</v>
      </c>
      <c r="F173" s="39">
        <f>'A) Base RI'!X173</f>
        <v>-2.56</v>
      </c>
      <c r="G173" s="4">
        <f t="shared" si="12"/>
        <v>609297.16</v>
      </c>
      <c r="H173" s="14">
        <f>+'A) Base RI'!E173</f>
        <v>0</v>
      </c>
      <c r="I173" s="14">
        <f>+'A) Base RI'!F173</f>
        <v>0</v>
      </c>
      <c r="J173" s="14">
        <f>+'A) Base RI'!G173+'A) Base RI'!H173</f>
        <v>8692.9500000000007</v>
      </c>
      <c r="K173" s="14">
        <f>+'A) Base RI'!I173</f>
        <v>0</v>
      </c>
      <c r="L173" s="14">
        <f>+'A) Base RI'!J173</f>
        <v>8369.33</v>
      </c>
      <c r="M173" s="14">
        <f>+'A) Base RI'!K173</f>
        <v>55</v>
      </c>
      <c r="N173" s="14">
        <f>+'A) Base RI'!Q173</f>
        <v>0</v>
      </c>
      <c r="O173" s="14">
        <f t="shared" si="13"/>
        <v>36924.76666666667</v>
      </c>
      <c r="P173" s="14">
        <f>+'A) Base RI'!L173</f>
        <v>55387.15</v>
      </c>
      <c r="Q173" s="42">
        <f>'A) Base RI'!Y173</f>
        <v>1.5</v>
      </c>
      <c r="R173" s="4">
        <f t="shared" si="14"/>
        <v>663339.20666666667</v>
      </c>
      <c r="S173" s="41">
        <f>'A) Base RI'!T173</f>
        <v>78</v>
      </c>
      <c r="T173" s="4">
        <f t="shared" si="15"/>
        <v>626359.43999999994</v>
      </c>
      <c r="U173" s="4">
        <f t="shared" si="16"/>
        <v>8504.3488034188031</v>
      </c>
      <c r="V173" s="14">
        <f>+'A) Base RI'!O173</f>
        <v>1500</v>
      </c>
      <c r="W173" s="14">
        <f>+'A) Base RI'!P173</f>
        <v>15439.9</v>
      </c>
      <c r="X173" s="14">
        <f>+'A) Base RI'!R173</f>
        <v>22530.05</v>
      </c>
      <c r="Y173" s="4">
        <f t="shared" si="17"/>
        <v>39469.949999999997</v>
      </c>
      <c r="Z173" s="14">
        <f>+'A) Base RI'!N173</f>
        <v>0</v>
      </c>
      <c r="AA173" s="14">
        <f>'A) Base RI'!U173</f>
        <v>296</v>
      </c>
    </row>
    <row r="174" spans="1:27" x14ac:dyDescent="0.25">
      <c r="A174" s="12">
        <f>'A) Base RI'!A174</f>
        <v>5683</v>
      </c>
      <c r="B174" s="40" t="str">
        <f>'A) Base RI'!B174</f>
        <v>Prévonloup</v>
      </c>
      <c r="C174" s="14">
        <f>'A) Base RI'!C174+'A) Base RI'!D174</f>
        <v>239620.28999999998</v>
      </c>
      <c r="D174" s="14">
        <f>'A) Base RI'!V174</f>
        <v>-8505.93</v>
      </c>
      <c r="E174" s="39">
        <f>'A) Base RI'!W174</f>
        <v>0</v>
      </c>
      <c r="F174" s="39">
        <f>'A) Base RI'!X174</f>
        <v>0</v>
      </c>
      <c r="G174" s="4">
        <f t="shared" si="12"/>
        <v>231114.36</v>
      </c>
      <c r="H174" s="14">
        <f>+'A) Base RI'!E174</f>
        <v>0</v>
      </c>
      <c r="I174" s="14">
        <f>+'A) Base RI'!F174</f>
        <v>0</v>
      </c>
      <c r="J174" s="14">
        <f>+'A) Base RI'!G174+'A) Base RI'!H174</f>
        <v>32581.7</v>
      </c>
      <c r="K174" s="14">
        <f>+'A) Base RI'!I174</f>
        <v>0</v>
      </c>
      <c r="L174" s="14">
        <f>+'A) Base RI'!J174</f>
        <v>16591.48</v>
      </c>
      <c r="M174" s="14">
        <f>+'A) Base RI'!K174</f>
        <v>93</v>
      </c>
      <c r="N174" s="14">
        <f>+'A) Base RI'!Q174</f>
        <v>2938.48</v>
      </c>
      <c r="O174" s="14">
        <f t="shared" si="13"/>
        <v>22195.05</v>
      </c>
      <c r="P174" s="14">
        <f>+'A) Base RI'!L174</f>
        <v>22195.05</v>
      </c>
      <c r="Q174" s="42">
        <f>'A) Base RI'!Y174</f>
        <v>1</v>
      </c>
      <c r="R174" s="4">
        <f t="shared" si="14"/>
        <v>305514.06999999995</v>
      </c>
      <c r="S174" s="41">
        <f>'A) Base RI'!T174</f>
        <v>74</v>
      </c>
      <c r="T174" s="4">
        <f t="shared" si="15"/>
        <v>283226.01999999996</v>
      </c>
      <c r="U174" s="4">
        <f t="shared" si="16"/>
        <v>4128.5685135135127</v>
      </c>
      <c r="V174" s="14">
        <f>+'A) Base RI'!O174</f>
        <v>0</v>
      </c>
      <c r="W174" s="14">
        <f>+'A) Base RI'!P174</f>
        <v>0</v>
      </c>
      <c r="X174" s="14">
        <f>+'A) Base RI'!R174</f>
        <v>0</v>
      </c>
      <c r="Y174" s="4">
        <f t="shared" si="17"/>
        <v>0</v>
      </c>
      <c r="Z174" s="14">
        <f>+'A) Base RI'!N174</f>
        <v>0</v>
      </c>
      <c r="AA174" s="14">
        <f>'A) Base RI'!U174</f>
        <v>166</v>
      </c>
    </row>
    <row r="175" spans="1:27" x14ac:dyDescent="0.25">
      <c r="A175" s="12">
        <f>'A) Base RI'!A175</f>
        <v>5684</v>
      </c>
      <c r="B175" s="40" t="str">
        <f>'A) Base RI'!B175</f>
        <v>Rossenges</v>
      </c>
      <c r="C175" s="14">
        <f>'A) Base RI'!C175+'A) Base RI'!D175</f>
        <v>125614.25</v>
      </c>
      <c r="D175" s="14">
        <f>'A) Base RI'!V175</f>
        <v>-5592.4</v>
      </c>
      <c r="E175" s="39">
        <f>'A) Base RI'!W175</f>
        <v>0</v>
      </c>
      <c r="F175" s="39">
        <f>'A) Base RI'!X175</f>
        <v>-0.13</v>
      </c>
      <c r="G175" s="4">
        <f t="shared" si="12"/>
        <v>120021.72</v>
      </c>
      <c r="H175" s="14">
        <f>+'A) Base RI'!E175</f>
        <v>0</v>
      </c>
      <c r="I175" s="14">
        <f>+'A) Base RI'!F175</f>
        <v>0</v>
      </c>
      <c r="J175" s="14">
        <f>+'A) Base RI'!G175+'A) Base RI'!H175</f>
        <v>-1557.1000000000001</v>
      </c>
      <c r="K175" s="14">
        <f>+'A) Base RI'!I175</f>
        <v>0</v>
      </c>
      <c r="L175" s="14">
        <f>+'A) Base RI'!J175</f>
        <v>0</v>
      </c>
      <c r="M175" s="14">
        <f>+'A) Base RI'!K175</f>
        <v>0</v>
      </c>
      <c r="N175" s="14">
        <f>+'A) Base RI'!Q175</f>
        <v>0</v>
      </c>
      <c r="O175" s="14">
        <f t="shared" si="13"/>
        <v>8732.5</v>
      </c>
      <c r="P175" s="14">
        <f>+'A) Base RI'!L175</f>
        <v>6986</v>
      </c>
      <c r="Q175" s="42">
        <f>'A) Base RI'!Y175</f>
        <v>0.8</v>
      </c>
      <c r="R175" s="4">
        <f t="shared" si="14"/>
        <v>127197.12</v>
      </c>
      <c r="S175" s="41">
        <f>'A) Base RI'!T175</f>
        <v>60</v>
      </c>
      <c r="T175" s="4">
        <f t="shared" si="15"/>
        <v>118464.62</v>
      </c>
      <c r="U175" s="4">
        <f t="shared" si="16"/>
        <v>2119.9519999999998</v>
      </c>
      <c r="V175" s="14">
        <f>+'A) Base RI'!O175</f>
        <v>0</v>
      </c>
      <c r="W175" s="14">
        <f>+'A) Base RI'!P175</f>
        <v>0</v>
      </c>
      <c r="X175" s="14">
        <f>+'A) Base RI'!R175</f>
        <v>0</v>
      </c>
      <c r="Y175" s="4">
        <f t="shared" si="17"/>
        <v>0</v>
      </c>
      <c r="Z175" s="14">
        <f>+'A) Base RI'!N175</f>
        <v>0</v>
      </c>
      <c r="AA175" s="14">
        <f>'A) Base RI'!U175</f>
        <v>60</v>
      </c>
    </row>
    <row r="176" spans="1:27" x14ac:dyDescent="0.25">
      <c r="A176" s="12">
        <f>'A) Base RI'!A176</f>
        <v>5688</v>
      </c>
      <c r="B176" s="40" t="str">
        <f>'A) Base RI'!B176</f>
        <v>Syens</v>
      </c>
      <c r="C176" s="14">
        <f>'A) Base RI'!C176+'A) Base RI'!D176</f>
        <v>340285.44</v>
      </c>
      <c r="D176" s="14">
        <f>'A) Base RI'!V176</f>
        <v>-2149.25</v>
      </c>
      <c r="E176" s="39">
        <f>'A) Base RI'!W176</f>
        <v>0</v>
      </c>
      <c r="F176" s="39">
        <f>'A) Base RI'!X176</f>
        <v>0</v>
      </c>
      <c r="G176" s="4">
        <f t="shared" si="12"/>
        <v>338136.19</v>
      </c>
      <c r="H176" s="14">
        <f>+'A) Base RI'!E176</f>
        <v>0</v>
      </c>
      <c r="I176" s="14">
        <f>+'A) Base RI'!F176</f>
        <v>0</v>
      </c>
      <c r="J176" s="14">
        <f>+'A) Base RI'!G176+'A) Base RI'!H176</f>
        <v>-5534.75</v>
      </c>
      <c r="K176" s="14">
        <f>+'A) Base RI'!I176</f>
        <v>0</v>
      </c>
      <c r="L176" s="14">
        <f>+'A) Base RI'!J176</f>
        <v>12693.46</v>
      </c>
      <c r="M176" s="14">
        <f>+'A) Base RI'!K176</f>
        <v>0</v>
      </c>
      <c r="N176" s="14">
        <f>+'A) Base RI'!Q176</f>
        <v>0</v>
      </c>
      <c r="O176" s="14">
        <f t="shared" si="13"/>
        <v>21017.4</v>
      </c>
      <c r="P176" s="14">
        <f>+'A) Base RI'!L176</f>
        <v>21017.4</v>
      </c>
      <c r="Q176" s="42">
        <f>'A) Base RI'!Y176</f>
        <v>1</v>
      </c>
      <c r="R176" s="4">
        <f t="shared" si="14"/>
        <v>366312.30000000005</v>
      </c>
      <c r="S176" s="41">
        <f>'A) Base RI'!T176</f>
        <v>75.599999999999994</v>
      </c>
      <c r="T176" s="4">
        <f t="shared" si="15"/>
        <v>345294.9</v>
      </c>
      <c r="U176" s="4">
        <f t="shared" si="16"/>
        <v>4845.4007936507942</v>
      </c>
      <c r="V176" s="14">
        <f>+'A) Base RI'!O176</f>
        <v>238.2</v>
      </c>
      <c r="W176" s="14">
        <f>+'A) Base RI'!P176</f>
        <v>42282.75</v>
      </c>
      <c r="X176" s="14">
        <f>+'A) Base RI'!R176</f>
        <v>515.79999999999995</v>
      </c>
      <c r="Y176" s="4">
        <f t="shared" si="17"/>
        <v>43036.75</v>
      </c>
      <c r="Z176" s="14">
        <f>+'A) Base RI'!N176</f>
        <v>115.75</v>
      </c>
      <c r="AA176" s="14">
        <f>'A) Base RI'!U176</f>
        <v>145</v>
      </c>
    </row>
    <row r="177" spans="1:27" x14ac:dyDescent="0.25">
      <c r="A177" s="12">
        <f>'A) Base RI'!A177</f>
        <v>5690</v>
      </c>
      <c r="B177" s="40" t="str">
        <f>'A) Base RI'!B177</f>
        <v>Villars-le-Comte</v>
      </c>
      <c r="C177" s="14">
        <f>'A) Base RI'!C177+'A) Base RI'!D177</f>
        <v>229836.87999999998</v>
      </c>
      <c r="D177" s="14">
        <f>'A) Base RI'!V177</f>
        <v>-3631.78</v>
      </c>
      <c r="E177" s="39">
        <f>'A) Base RI'!W177</f>
        <v>0</v>
      </c>
      <c r="F177" s="39">
        <f>'A) Base RI'!X177</f>
        <v>0</v>
      </c>
      <c r="G177" s="4">
        <f t="shared" si="12"/>
        <v>226205.09999999998</v>
      </c>
      <c r="H177" s="14">
        <f>+'A) Base RI'!E177</f>
        <v>0</v>
      </c>
      <c r="I177" s="14">
        <f>+'A) Base RI'!F177</f>
        <v>900</v>
      </c>
      <c r="J177" s="14">
        <f>+'A) Base RI'!G177+'A) Base RI'!H177</f>
        <v>1017.75</v>
      </c>
      <c r="K177" s="14">
        <f>+'A) Base RI'!I177</f>
        <v>0</v>
      </c>
      <c r="L177" s="14">
        <f>+'A) Base RI'!J177</f>
        <v>8.02</v>
      </c>
      <c r="M177" s="14">
        <f>+'A) Base RI'!K177</f>
        <v>184</v>
      </c>
      <c r="N177" s="14">
        <f>+'A) Base RI'!Q177</f>
        <v>0</v>
      </c>
      <c r="O177" s="14">
        <f t="shared" si="13"/>
        <v>18858.8</v>
      </c>
      <c r="P177" s="14">
        <f>+'A) Base RI'!L177</f>
        <v>28288.2</v>
      </c>
      <c r="Q177" s="42">
        <f>'A) Base RI'!Y177</f>
        <v>1.5</v>
      </c>
      <c r="R177" s="4">
        <f t="shared" si="14"/>
        <v>247173.66999999995</v>
      </c>
      <c r="S177" s="41">
        <f>'A) Base RI'!T177</f>
        <v>76</v>
      </c>
      <c r="T177" s="4">
        <f t="shared" si="15"/>
        <v>227230.86999999997</v>
      </c>
      <c r="U177" s="4">
        <f t="shared" si="16"/>
        <v>3252.2851315789467</v>
      </c>
      <c r="V177" s="14">
        <f>+'A) Base RI'!O177</f>
        <v>0</v>
      </c>
      <c r="W177" s="14">
        <f>+'A) Base RI'!P177</f>
        <v>1017.3</v>
      </c>
      <c r="X177" s="14">
        <f>+'A) Base RI'!R177</f>
        <v>1728.95</v>
      </c>
      <c r="Y177" s="4">
        <f t="shared" si="17"/>
        <v>2746.25</v>
      </c>
      <c r="Z177" s="14">
        <f>+'A) Base RI'!N177</f>
        <v>0</v>
      </c>
      <c r="AA177" s="14">
        <f>'A) Base RI'!U177</f>
        <v>143</v>
      </c>
    </row>
    <row r="178" spans="1:27" x14ac:dyDescent="0.25">
      <c r="A178" s="12">
        <f>'A) Base RI'!A178</f>
        <v>5692</v>
      </c>
      <c r="B178" s="40" t="str">
        <f>'A) Base RI'!B178</f>
        <v>Vucherens</v>
      </c>
      <c r="C178" s="14">
        <f>'A) Base RI'!C178+'A) Base RI'!D178</f>
        <v>1234959.6000000001</v>
      </c>
      <c r="D178" s="14">
        <f>'A) Base RI'!V178</f>
        <v>-11052.96</v>
      </c>
      <c r="E178" s="39">
        <f>'A) Base RI'!W178</f>
        <v>0</v>
      </c>
      <c r="F178" s="39">
        <f>'A) Base RI'!X178</f>
        <v>0</v>
      </c>
      <c r="G178" s="4">
        <f t="shared" si="12"/>
        <v>1223906.6400000001</v>
      </c>
      <c r="H178" s="14">
        <f>+'A) Base RI'!E178</f>
        <v>0</v>
      </c>
      <c r="I178" s="14">
        <f>+'A) Base RI'!F178</f>
        <v>0</v>
      </c>
      <c r="J178" s="14">
        <f>+'A) Base RI'!G178+'A) Base RI'!H178</f>
        <v>16167.55</v>
      </c>
      <c r="K178" s="14">
        <f>+'A) Base RI'!I178</f>
        <v>0</v>
      </c>
      <c r="L178" s="14">
        <f>+'A) Base RI'!J178</f>
        <v>6440.13</v>
      </c>
      <c r="M178" s="14">
        <f>+'A) Base RI'!K178</f>
        <v>427.5</v>
      </c>
      <c r="N178" s="14">
        <f>+'A) Base RI'!Q178</f>
        <v>10085.540000000001</v>
      </c>
      <c r="O178" s="14">
        <f t="shared" si="13"/>
        <v>85438</v>
      </c>
      <c r="P178" s="14">
        <f>+'A) Base RI'!L178</f>
        <v>85438</v>
      </c>
      <c r="Q178" s="42">
        <f>'A) Base RI'!Y178</f>
        <v>1</v>
      </c>
      <c r="R178" s="4">
        <f t="shared" si="14"/>
        <v>1342465.36</v>
      </c>
      <c r="S178" s="41">
        <f>'A) Base RI'!T178</f>
        <v>79</v>
      </c>
      <c r="T178" s="4">
        <f t="shared" si="15"/>
        <v>1256599.8600000001</v>
      </c>
      <c r="U178" s="4">
        <f t="shared" si="16"/>
        <v>16993.232405063292</v>
      </c>
      <c r="V178" s="14">
        <f>+'A) Base RI'!O178</f>
        <v>109142.39999999999</v>
      </c>
      <c r="W178" s="14">
        <f>+'A) Base RI'!P178</f>
        <v>17542.5</v>
      </c>
      <c r="X178" s="14">
        <f>+'A) Base RI'!R178</f>
        <v>9543.15</v>
      </c>
      <c r="Y178" s="4">
        <f t="shared" si="17"/>
        <v>136228.04999999999</v>
      </c>
      <c r="Z178" s="14">
        <f>+'A) Base RI'!N178</f>
        <v>5328.7</v>
      </c>
      <c r="AA178" s="14">
        <f>'A) Base RI'!U178</f>
        <v>557</v>
      </c>
    </row>
    <row r="179" spans="1:27" x14ac:dyDescent="0.25">
      <c r="A179" s="12">
        <f>'A) Base RI'!A179</f>
        <v>5693</v>
      </c>
      <c r="B179" s="40" t="str">
        <f>'A) Base RI'!B179</f>
        <v>Montanaire</v>
      </c>
      <c r="C179" s="14">
        <f>'A) Base RI'!C179+'A) Base RI'!D179</f>
        <v>4039374.1300000004</v>
      </c>
      <c r="D179" s="14">
        <f>'A) Base RI'!V179</f>
        <v>-98426.97</v>
      </c>
      <c r="E179" s="39">
        <f>'A) Base RI'!W179</f>
        <v>0</v>
      </c>
      <c r="F179" s="39">
        <f>'A) Base RI'!X179</f>
        <v>-154.87</v>
      </c>
      <c r="G179" s="4">
        <f t="shared" si="12"/>
        <v>3940792.29</v>
      </c>
      <c r="H179" s="14">
        <f>+'A) Base RI'!E179</f>
        <v>0</v>
      </c>
      <c r="I179" s="14">
        <f>+'A) Base RI'!F179</f>
        <v>0</v>
      </c>
      <c r="J179" s="14">
        <f>+'A) Base RI'!G179+'A) Base RI'!H179</f>
        <v>208856.95</v>
      </c>
      <c r="K179" s="14">
        <f>+'A) Base RI'!I179</f>
        <v>0</v>
      </c>
      <c r="L179" s="14">
        <f>+'A) Base RI'!J179</f>
        <v>100735.82</v>
      </c>
      <c r="M179" s="14">
        <f>+'A) Base RI'!K179</f>
        <v>2802</v>
      </c>
      <c r="N179" s="14">
        <f>+'A) Base RI'!Q179</f>
        <v>5911.01</v>
      </c>
      <c r="O179" s="14">
        <f t="shared" si="13"/>
        <v>319027.8</v>
      </c>
      <c r="P179" s="14">
        <f>+'A) Base RI'!L179</f>
        <v>319027.8</v>
      </c>
      <c r="Q179" s="42">
        <f>'A) Base RI'!Y179</f>
        <v>1</v>
      </c>
      <c r="R179" s="4">
        <f t="shared" si="14"/>
        <v>4578125.87</v>
      </c>
      <c r="S179" s="41">
        <f>'A) Base RI'!T179</f>
        <v>72</v>
      </c>
      <c r="T179" s="4">
        <f t="shared" si="15"/>
        <v>4256296.07</v>
      </c>
      <c r="U179" s="4">
        <f t="shared" si="16"/>
        <v>63585.08152777778</v>
      </c>
      <c r="V179" s="14">
        <f>+'A) Base RI'!O179</f>
        <v>53951.1</v>
      </c>
      <c r="W179" s="14">
        <f>+'A) Base RI'!P179</f>
        <v>126289.05</v>
      </c>
      <c r="X179" s="14">
        <f>+'A) Base RI'!R179</f>
        <v>106443.45</v>
      </c>
      <c r="Y179" s="4">
        <f t="shared" si="17"/>
        <v>286683.59999999998</v>
      </c>
      <c r="Z179" s="14">
        <f>+'A) Base RI'!N179</f>
        <v>11101.4</v>
      </c>
      <c r="AA179" s="14">
        <f>'A) Base RI'!U179</f>
        <v>2500</v>
      </c>
    </row>
    <row r="180" spans="1:27" x14ac:dyDescent="0.25">
      <c r="A180" s="12">
        <f>'A) Base RI'!A180</f>
        <v>5701</v>
      </c>
      <c r="B180" s="40" t="str">
        <f>'A) Base RI'!B180</f>
        <v>Arnex-sur-Nyon</v>
      </c>
      <c r="C180" s="14">
        <f>'A) Base RI'!C180+'A) Base RI'!D180</f>
        <v>932223.08</v>
      </c>
      <c r="D180" s="14">
        <f>'A) Base RI'!V180</f>
        <v>-15399.91</v>
      </c>
      <c r="E180" s="39">
        <f>'A) Base RI'!W180</f>
        <v>0</v>
      </c>
      <c r="F180" s="39">
        <f>'A) Base RI'!X180</f>
        <v>0</v>
      </c>
      <c r="G180" s="4">
        <f t="shared" si="12"/>
        <v>916823.16999999993</v>
      </c>
      <c r="H180" s="14">
        <f>+'A) Base RI'!E180</f>
        <v>0</v>
      </c>
      <c r="I180" s="14">
        <f>+'A) Base RI'!F180</f>
        <v>0</v>
      </c>
      <c r="J180" s="14">
        <f>+'A) Base RI'!G180+'A) Base RI'!H180</f>
        <v>11101.6</v>
      </c>
      <c r="K180" s="14">
        <f>+'A) Base RI'!I180</f>
        <v>62884.15</v>
      </c>
      <c r="L180" s="14">
        <f>+'A) Base RI'!J180</f>
        <v>12671.43</v>
      </c>
      <c r="M180" s="14">
        <f>+'A) Base RI'!K180</f>
        <v>16</v>
      </c>
      <c r="N180" s="14">
        <f>+'A) Base RI'!Q180</f>
        <v>0</v>
      </c>
      <c r="O180" s="14">
        <f t="shared" si="13"/>
        <v>65446.400000000001</v>
      </c>
      <c r="P180" s="14">
        <f>+'A) Base RI'!L180</f>
        <v>65446.400000000001</v>
      </c>
      <c r="Q180" s="42">
        <f>'A) Base RI'!Y180</f>
        <v>1</v>
      </c>
      <c r="R180" s="4">
        <f t="shared" si="14"/>
        <v>1068942.75</v>
      </c>
      <c r="S180" s="41">
        <f>'A) Base RI'!T180</f>
        <v>70</v>
      </c>
      <c r="T180" s="4">
        <f t="shared" si="15"/>
        <v>1003480.35</v>
      </c>
      <c r="U180" s="4">
        <f t="shared" si="16"/>
        <v>15270.610714285714</v>
      </c>
      <c r="V180" s="14">
        <f>+'A) Base RI'!O180</f>
        <v>0</v>
      </c>
      <c r="W180" s="14">
        <f>+'A) Base RI'!P180</f>
        <v>36300</v>
      </c>
      <c r="X180" s="14">
        <f>+'A) Base RI'!R180</f>
        <v>77532.350000000006</v>
      </c>
      <c r="Y180" s="4">
        <f t="shared" si="17"/>
        <v>113832.35</v>
      </c>
      <c r="Z180" s="14">
        <f>+'A) Base RI'!N180</f>
        <v>0</v>
      </c>
      <c r="AA180" s="14">
        <f>'A) Base RI'!U180</f>
        <v>214</v>
      </c>
    </row>
    <row r="181" spans="1:27" x14ac:dyDescent="0.25">
      <c r="A181" s="12">
        <f>'A) Base RI'!A181</f>
        <v>5702</v>
      </c>
      <c r="B181" s="40" t="str">
        <f>'A) Base RI'!B181</f>
        <v>Arzier-Le Muids</v>
      </c>
      <c r="C181" s="14">
        <f>'A) Base RI'!C181+'A) Base RI'!D181</f>
        <v>8486632.5800000001</v>
      </c>
      <c r="D181" s="14">
        <f>'A) Base RI'!V181</f>
        <v>-74728.460000000006</v>
      </c>
      <c r="E181" s="39">
        <f>'A) Base RI'!W181</f>
        <v>0</v>
      </c>
      <c r="F181" s="39">
        <f>'A) Base RI'!X181</f>
        <v>-5046.3999999999996</v>
      </c>
      <c r="G181" s="4">
        <f t="shared" si="12"/>
        <v>8406857.7199999988</v>
      </c>
      <c r="H181" s="14">
        <f>+'A) Base RI'!E181</f>
        <v>0</v>
      </c>
      <c r="I181" s="14">
        <f>+'A) Base RI'!F181</f>
        <v>0</v>
      </c>
      <c r="J181" s="14">
        <f>+'A) Base RI'!G181+'A) Base RI'!H181</f>
        <v>174448.5</v>
      </c>
      <c r="K181" s="14">
        <f>+'A) Base RI'!I181</f>
        <v>463597.88</v>
      </c>
      <c r="L181" s="14">
        <f>+'A) Base RI'!J181</f>
        <v>95044.33</v>
      </c>
      <c r="M181" s="14">
        <f>+'A) Base RI'!K181</f>
        <v>11801.5</v>
      </c>
      <c r="N181" s="14">
        <f>+'A) Base RI'!Q181</f>
        <v>13592.12</v>
      </c>
      <c r="O181" s="14">
        <f t="shared" si="13"/>
        <v>682521.9</v>
      </c>
      <c r="P181" s="14">
        <f>+'A) Base RI'!L181</f>
        <v>1023782.85</v>
      </c>
      <c r="Q181" s="42">
        <f>'A) Base RI'!Y181</f>
        <v>1.5</v>
      </c>
      <c r="R181" s="4">
        <f t="shared" si="14"/>
        <v>9847863.9499999993</v>
      </c>
      <c r="S181" s="41">
        <f>'A) Base RI'!T181</f>
        <v>64</v>
      </c>
      <c r="T181" s="4">
        <f t="shared" si="15"/>
        <v>9153540.5499999989</v>
      </c>
      <c r="U181" s="4">
        <f t="shared" si="16"/>
        <v>153872.87421874999</v>
      </c>
      <c r="V181" s="14">
        <f>+'A) Base RI'!O181</f>
        <v>136333.6</v>
      </c>
      <c r="W181" s="14">
        <f>+'A) Base RI'!P181</f>
        <v>597142.6</v>
      </c>
      <c r="X181" s="14">
        <f>+'A) Base RI'!R181</f>
        <v>172600.55</v>
      </c>
      <c r="Y181" s="4">
        <f t="shared" si="17"/>
        <v>906076.75</v>
      </c>
      <c r="Z181" s="14">
        <f>+'A) Base RI'!N181</f>
        <v>60340.95</v>
      </c>
      <c r="AA181" s="14">
        <f>'A) Base RI'!U181</f>
        <v>2565</v>
      </c>
    </row>
    <row r="182" spans="1:27" x14ac:dyDescent="0.25">
      <c r="A182" s="12">
        <f>'A) Base RI'!A182</f>
        <v>5703</v>
      </c>
      <c r="B182" s="40" t="str">
        <f>'A) Base RI'!B182</f>
        <v>Bassins</v>
      </c>
      <c r="C182" s="14">
        <f>'A) Base RI'!C182+'A) Base RI'!D182</f>
        <v>3326288.73</v>
      </c>
      <c r="D182" s="14">
        <f>'A) Base RI'!V182</f>
        <v>-28188.720000000001</v>
      </c>
      <c r="E182" s="39">
        <f>'A) Base RI'!W182</f>
        <v>0</v>
      </c>
      <c r="F182" s="39">
        <f>'A) Base RI'!X182</f>
        <v>-510.72</v>
      </c>
      <c r="G182" s="4">
        <f t="shared" si="12"/>
        <v>3297589.2899999996</v>
      </c>
      <c r="H182" s="14">
        <f>+'A) Base RI'!E182</f>
        <v>0</v>
      </c>
      <c r="I182" s="14">
        <f>+'A) Base RI'!F182</f>
        <v>0</v>
      </c>
      <c r="J182" s="14">
        <f>+'A) Base RI'!G182+'A) Base RI'!H182</f>
        <v>72913.099999999991</v>
      </c>
      <c r="K182" s="14">
        <f>+'A) Base RI'!I182</f>
        <v>10517.3</v>
      </c>
      <c r="L182" s="14">
        <f>+'A) Base RI'!J182</f>
        <v>23533.01</v>
      </c>
      <c r="M182" s="14">
        <f>+'A) Base RI'!K182</f>
        <v>185.5</v>
      </c>
      <c r="N182" s="14">
        <f>+'A) Base RI'!Q182</f>
        <v>27300.17</v>
      </c>
      <c r="O182" s="14">
        <f t="shared" si="13"/>
        <v>286388.25000000006</v>
      </c>
      <c r="P182" s="14">
        <f>+'A) Base RI'!L182</f>
        <v>343665.9</v>
      </c>
      <c r="Q182" s="42">
        <f>'A) Base RI'!Y182</f>
        <v>1.2</v>
      </c>
      <c r="R182" s="4">
        <f t="shared" si="14"/>
        <v>3718426.6199999992</v>
      </c>
      <c r="S182" s="41">
        <f>'A) Base RI'!T182</f>
        <v>71</v>
      </c>
      <c r="T182" s="4">
        <f t="shared" si="15"/>
        <v>3431852.8699999992</v>
      </c>
      <c r="U182" s="4">
        <f t="shared" si="16"/>
        <v>52372.205915492945</v>
      </c>
      <c r="V182" s="14">
        <f>+'A) Base RI'!O182</f>
        <v>6361.8</v>
      </c>
      <c r="W182" s="14">
        <f>+'A) Base RI'!P182</f>
        <v>128623.25</v>
      </c>
      <c r="X182" s="14">
        <f>+'A) Base RI'!R182</f>
        <v>54970.15</v>
      </c>
      <c r="Y182" s="4">
        <f t="shared" si="17"/>
        <v>189955.19999999998</v>
      </c>
      <c r="Z182" s="14">
        <f>+'A) Base RI'!N182</f>
        <v>34704.25</v>
      </c>
      <c r="AA182" s="14">
        <f>'A) Base RI'!U182</f>
        <v>1311</v>
      </c>
    </row>
    <row r="183" spans="1:27" x14ac:dyDescent="0.25">
      <c r="A183" s="12">
        <f>'A) Base RI'!A183</f>
        <v>5704</v>
      </c>
      <c r="B183" s="40" t="str">
        <f>'A) Base RI'!B183</f>
        <v>Begnins</v>
      </c>
      <c r="C183" s="14">
        <f>'A) Base RI'!C183+'A) Base RI'!D183</f>
        <v>6915838.3700000001</v>
      </c>
      <c r="D183" s="14">
        <f>'A) Base RI'!V183</f>
        <v>-98455.53</v>
      </c>
      <c r="E183" s="39">
        <f>'A) Base RI'!W183</f>
        <v>0</v>
      </c>
      <c r="F183" s="39">
        <f>'A) Base RI'!X183</f>
        <v>-5155.2299999999996</v>
      </c>
      <c r="G183" s="4">
        <f t="shared" si="12"/>
        <v>6812227.6099999994</v>
      </c>
      <c r="H183" s="14">
        <f>+'A) Base RI'!E183</f>
        <v>0</v>
      </c>
      <c r="I183" s="14">
        <f>+'A) Base RI'!F183</f>
        <v>0</v>
      </c>
      <c r="J183" s="14">
        <f>+'A) Base RI'!G183+'A) Base RI'!H183</f>
        <v>138522.1</v>
      </c>
      <c r="K183" s="14">
        <f>+'A) Base RI'!I183</f>
        <v>384651.5</v>
      </c>
      <c r="L183" s="14">
        <f>+'A) Base RI'!J183</f>
        <v>142920.94</v>
      </c>
      <c r="M183" s="14">
        <f>+'A) Base RI'!K183</f>
        <v>1369.5</v>
      </c>
      <c r="N183" s="14">
        <f>+'A) Base RI'!Q183</f>
        <v>-2184.35</v>
      </c>
      <c r="O183" s="14">
        <f t="shared" si="13"/>
        <v>449049.66666666669</v>
      </c>
      <c r="P183" s="14">
        <f>+'A) Base RI'!L183</f>
        <v>673574.5</v>
      </c>
      <c r="Q183" s="42">
        <f>'A) Base RI'!Y183</f>
        <v>1.5</v>
      </c>
      <c r="R183" s="4">
        <f t="shared" si="14"/>
        <v>7926556.9666666668</v>
      </c>
      <c r="S183" s="41">
        <f>'A) Base RI'!T183</f>
        <v>67</v>
      </c>
      <c r="T183" s="4">
        <f t="shared" si="15"/>
        <v>7476137.7999999998</v>
      </c>
      <c r="U183" s="4">
        <f t="shared" si="16"/>
        <v>118306.82039800995</v>
      </c>
      <c r="V183" s="14">
        <f>+'A) Base RI'!O183</f>
        <v>104803</v>
      </c>
      <c r="W183" s="14">
        <f>+'A) Base RI'!P183</f>
        <v>341186.55</v>
      </c>
      <c r="X183" s="14">
        <f>+'A) Base RI'!R183</f>
        <v>261044.95</v>
      </c>
      <c r="Y183" s="4">
        <f t="shared" si="17"/>
        <v>707034.5</v>
      </c>
      <c r="Z183" s="14">
        <f>+'A) Base RI'!N183</f>
        <v>52487.1</v>
      </c>
      <c r="AA183" s="14">
        <f>'A) Base RI'!U183</f>
        <v>1856</v>
      </c>
    </row>
    <row r="184" spans="1:27" x14ac:dyDescent="0.25">
      <c r="A184" s="12">
        <f>'A) Base RI'!A184</f>
        <v>5705</v>
      </c>
      <c r="B184" s="40" t="str">
        <f>'A) Base RI'!B184</f>
        <v>Bogis-Bossey</v>
      </c>
      <c r="C184" s="14">
        <f>'A) Base RI'!C184+'A) Base RI'!D184</f>
        <v>3148220.3899999997</v>
      </c>
      <c r="D184" s="14">
        <f>'A) Base RI'!V184</f>
        <v>-6225.45</v>
      </c>
      <c r="E184" s="39">
        <f>'A) Base RI'!W184</f>
        <v>0</v>
      </c>
      <c r="F184" s="39">
        <f>'A) Base RI'!X184</f>
        <v>-4456.5</v>
      </c>
      <c r="G184" s="4">
        <f t="shared" si="12"/>
        <v>3137538.4399999995</v>
      </c>
      <c r="H184" s="14">
        <f>+'A) Base RI'!E184</f>
        <v>0</v>
      </c>
      <c r="I184" s="14">
        <f>+'A) Base RI'!F184</f>
        <v>0</v>
      </c>
      <c r="J184" s="14">
        <f>+'A) Base RI'!G184+'A) Base RI'!H184</f>
        <v>30926.7</v>
      </c>
      <c r="K184" s="14">
        <f>+'A) Base RI'!I184</f>
        <v>21804.9</v>
      </c>
      <c r="L184" s="14">
        <f>+'A) Base RI'!J184</f>
        <v>59299.11</v>
      </c>
      <c r="M184" s="14">
        <f>+'A) Base RI'!K184</f>
        <v>9034</v>
      </c>
      <c r="N184" s="14">
        <f>+'A) Base RI'!Q184</f>
        <v>4314.8900000000003</v>
      </c>
      <c r="O184" s="14">
        <f t="shared" si="13"/>
        <v>209829.3</v>
      </c>
      <c r="P184" s="14">
        <f>+'A) Base RI'!L184</f>
        <v>209829.3</v>
      </c>
      <c r="Q184" s="42">
        <f>'A) Base RI'!Y184</f>
        <v>1</v>
      </c>
      <c r="R184" s="4">
        <f t="shared" si="14"/>
        <v>3472747.3399999994</v>
      </c>
      <c r="S184" s="41">
        <f>'A) Base RI'!T184</f>
        <v>70</v>
      </c>
      <c r="T184" s="4">
        <f t="shared" si="15"/>
        <v>3253884.0399999996</v>
      </c>
      <c r="U184" s="4">
        <f t="shared" si="16"/>
        <v>49610.676285714275</v>
      </c>
      <c r="V184" s="14">
        <f>+'A) Base RI'!O184</f>
        <v>0</v>
      </c>
      <c r="W184" s="14">
        <f>+'A) Base RI'!P184</f>
        <v>80330.5</v>
      </c>
      <c r="X184" s="14">
        <f>+'A) Base RI'!R184</f>
        <v>55773.8</v>
      </c>
      <c r="Y184" s="4">
        <f t="shared" si="17"/>
        <v>136104.29999999999</v>
      </c>
      <c r="Z184" s="14">
        <f>+'A) Base RI'!N184</f>
        <v>30724.95</v>
      </c>
      <c r="AA184" s="14">
        <f>'A) Base RI'!U184</f>
        <v>827</v>
      </c>
    </row>
    <row r="185" spans="1:27" x14ac:dyDescent="0.25">
      <c r="A185" s="12">
        <f>'A) Base RI'!A185</f>
        <v>5706</v>
      </c>
      <c r="B185" s="40" t="str">
        <f>'A) Base RI'!B185</f>
        <v>Borex</v>
      </c>
      <c r="C185" s="14">
        <f>'A) Base RI'!C185+'A) Base RI'!D185</f>
        <v>3406766.66</v>
      </c>
      <c r="D185" s="14">
        <f>'A) Base RI'!V185</f>
        <v>-2433.25</v>
      </c>
      <c r="E185" s="39">
        <f>'A) Base RI'!W185</f>
        <v>0</v>
      </c>
      <c r="F185" s="39">
        <f>'A) Base RI'!X185</f>
        <v>-3323.14</v>
      </c>
      <c r="G185" s="4">
        <f t="shared" si="12"/>
        <v>3401010.27</v>
      </c>
      <c r="H185" s="14">
        <f>+'A) Base RI'!E185</f>
        <v>0</v>
      </c>
      <c r="I185" s="14">
        <f>+'A) Base RI'!F185</f>
        <v>0</v>
      </c>
      <c r="J185" s="14">
        <f>+'A) Base RI'!G185+'A) Base RI'!H185</f>
        <v>21562.85</v>
      </c>
      <c r="K185" s="14">
        <f>+'A) Base RI'!I185</f>
        <v>-17830.45</v>
      </c>
      <c r="L185" s="14">
        <f>+'A) Base RI'!J185</f>
        <v>102006.02</v>
      </c>
      <c r="M185" s="14">
        <f>+'A) Base RI'!K185</f>
        <v>1957.5</v>
      </c>
      <c r="N185" s="14">
        <f>+'A) Base RI'!Q185</f>
        <v>3709.8</v>
      </c>
      <c r="O185" s="14">
        <f t="shared" si="13"/>
        <v>239197.43333333335</v>
      </c>
      <c r="P185" s="14">
        <f>+'A) Base RI'!L185</f>
        <v>358796.15</v>
      </c>
      <c r="Q185" s="42">
        <f>'A) Base RI'!Y185</f>
        <v>1.5</v>
      </c>
      <c r="R185" s="4">
        <f t="shared" si="14"/>
        <v>3751613.4233333329</v>
      </c>
      <c r="S185" s="41">
        <f>'A) Base RI'!T185</f>
        <v>55</v>
      </c>
      <c r="T185" s="4">
        <f t="shared" si="15"/>
        <v>3510458.4899999998</v>
      </c>
      <c r="U185" s="4">
        <f t="shared" si="16"/>
        <v>68211.153151515144</v>
      </c>
      <c r="V185" s="14">
        <f>+'A) Base RI'!O185</f>
        <v>9871.7999999999993</v>
      </c>
      <c r="W185" s="14">
        <f>+'A) Base RI'!P185</f>
        <v>200483.85</v>
      </c>
      <c r="X185" s="14">
        <f>+'A) Base RI'!R185</f>
        <v>210270.5</v>
      </c>
      <c r="Y185" s="4">
        <f t="shared" si="17"/>
        <v>420626.15</v>
      </c>
      <c r="Z185" s="14">
        <f>+'A) Base RI'!N185</f>
        <v>7866.85</v>
      </c>
      <c r="AA185" s="14">
        <f>'A) Base RI'!U185</f>
        <v>1099</v>
      </c>
    </row>
    <row r="186" spans="1:27" x14ac:dyDescent="0.25">
      <c r="A186" s="12">
        <f>'A) Base RI'!A186</f>
        <v>5707</v>
      </c>
      <c r="B186" s="40" t="str">
        <f>'A) Base RI'!B186</f>
        <v>Chavannes-de-Bogis</v>
      </c>
      <c r="C186" s="14">
        <f>'A) Base RI'!C186+'A) Base RI'!D186</f>
        <v>4636861.79</v>
      </c>
      <c r="D186" s="14">
        <f>'A) Base RI'!V186</f>
        <v>-34928.61</v>
      </c>
      <c r="E186" s="39">
        <f>'A) Base RI'!W186</f>
        <v>0</v>
      </c>
      <c r="F186" s="39">
        <f>'A) Base RI'!X186</f>
        <v>-589.27</v>
      </c>
      <c r="G186" s="4">
        <f t="shared" si="12"/>
        <v>4601343.91</v>
      </c>
      <c r="H186" s="14">
        <f>+'A) Base RI'!E186</f>
        <v>0</v>
      </c>
      <c r="I186" s="14">
        <f>+'A) Base RI'!F186</f>
        <v>0</v>
      </c>
      <c r="J186" s="14">
        <f>+'A) Base RI'!G186+'A) Base RI'!H186</f>
        <v>583958.69999999995</v>
      </c>
      <c r="K186" s="14">
        <f>+'A) Base RI'!I186</f>
        <v>97054</v>
      </c>
      <c r="L186" s="14">
        <f>+'A) Base RI'!J186</f>
        <v>180783.23</v>
      </c>
      <c r="M186" s="14">
        <f>+'A) Base RI'!K186</f>
        <v>57170</v>
      </c>
      <c r="N186" s="14">
        <f>+'A) Base RI'!Q186</f>
        <v>2470.46</v>
      </c>
      <c r="O186" s="14">
        <f t="shared" si="13"/>
        <v>451678.26666666666</v>
      </c>
      <c r="P186" s="14">
        <f>+'A) Base RI'!L186</f>
        <v>677517.4</v>
      </c>
      <c r="Q186" s="42">
        <f>'A) Base RI'!Y186</f>
        <v>1.5</v>
      </c>
      <c r="R186" s="4">
        <f t="shared" si="14"/>
        <v>5974458.5666666673</v>
      </c>
      <c r="S186" s="41">
        <f>'A) Base RI'!T186</f>
        <v>59</v>
      </c>
      <c r="T186" s="4">
        <f t="shared" si="15"/>
        <v>5465610.3000000007</v>
      </c>
      <c r="U186" s="4">
        <f t="shared" si="16"/>
        <v>101262.00960451979</v>
      </c>
      <c r="V186" s="14">
        <f>+'A) Base RI'!O186</f>
        <v>0</v>
      </c>
      <c r="W186" s="14">
        <f>+'A) Base RI'!P186</f>
        <v>243641.8</v>
      </c>
      <c r="X186" s="14">
        <f>+'A) Base RI'!R186</f>
        <v>196420.35</v>
      </c>
      <c r="Y186" s="4">
        <f t="shared" si="17"/>
        <v>440062.15</v>
      </c>
      <c r="Z186" s="14">
        <f>+'A) Base RI'!N186</f>
        <v>532120.35</v>
      </c>
      <c r="AA186" s="14">
        <f>'A) Base RI'!U186</f>
        <v>1153</v>
      </c>
    </row>
    <row r="187" spans="1:27" x14ac:dyDescent="0.25">
      <c r="A187" s="12">
        <f>'A) Base RI'!A187</f>
        <v>5708</v>
      </c>
      <c r="B187" s="40" t="str">
        <f>'A) Base RI'!B187</f>
        <v>Chavannes-des-Bois</v>
      </c>
      <c r="C187" s="14">
        <f>'A) Base RI'!C187+'A) Base RI'!D187</f>
        <v>3769864.9400000004</v>
      </c>
      <c r="D187" s="14">
        <f>'A) Base RI'!V187</f>
        <v>-16731.75</v>
      </c>
      <c r="E187" s="39">
        <f>'A) Base RI'!W187</f>
        <v>0</v>
      </c>
      <c r="F187" s="39">
        <f>'A) Base RI'!X187</f>
        <v>-555.69000000000005</v>
      </c>
      <c r="G187" s="4">
        <f t="shared" si="12"/>
        <v>3752577.5000000005</v>
      </c>
      <c r="H187" s="14">
        <f>+'A) Base RI'!E187</f>
        <v>0</v>
      </c>
      <c r="I187" s="14">
        <f>+'A) Base RI'!F187</f>
        <v>0</v>
      </c>
      <c r="J187" s="14">
        <f>+'A) Base RI'!G187+'A) Base RI'!H187</f>
        <v>30725.35</v>
      </c>
      <c r="K187" s="14">
        <f>+'A) Base RI'!I187</f>
        <v>33137.800000000003</v>
      </c>
      <c r="L187" s="14">
        <f>+'A) Base RI'!J187</f>
        <v>-51771.15</v>
      </c>
      <c r="M187" s="14">
        <f>+'A) Base RI'!K187</f>
        <v>15109.5</v>
      </c>
      <c r="N187" s="14">
        <f>+'A) Base RI'!Q187</f>
        <v>3388.34</v>
      </c>
      <c r="O187" s="14">
        <f t="shared" si="13"/>
        <v>247586.86666666667</v>
      </c>
      <c r="P187" s="14">
        <f>+'A) Base RI'!L187</f>
        <v>371380.3</v>
      </c>
      <c r="Q187" s="42">
        <f>'A) Base RI'!Y187</f>
        <v>1.5</v>
      </c>
      <c r="R187" s="4">
        <f t="shared" si="14"/>
        <v>4030754.206666667</v>
      </c>
      <c r="S187" s="41">
        <f>'A) Base RI'!T187</f>
        <v>61</v>
      </c>
      <c r="T187" s="4">
        <f t="shared" si="15"/>
        <v>3768057.8400000003</v>
      </c>
      <c r="U187" s="4">
        <f t="shared" si="16"/>
        <v>66077.93781420766</v>
      </c>
      <c r="V187" s="14">
        <f>+'A) Base RI'!O187</f>
        <v>0</v>
      </c>
      <c r="W187" s="14">
        <f>+'A) Base RI'!P187</f>
        <v>193672.65</v>
      </c>
      <c r="X187" s="14">
        <f>+'A) Base RI'!R187</f>
        <v>92457</v>
      </c>
      <c r="Y187" s="4">
        <f t="shared" si="17"/>
        <v>286129.65000000002</v>
      </c>
      <c r="Z187" s="14">
        <f>+'A) Base RI'!N187</f>
        <v>1162.3499999999999</v>
      </c>
      <c r="AA187" s="14">
        <f>'A) Base RI'!U187</f>
        <v>850</v>
      </c>
    </row>
    <row r="188" spans="1:27" x14ac:dyDescent="0.25">
      <c r="A188" s="12">
        <f>'A) Base RI'!A188</f>
        <v>5709</v>
      </c>
      <c r="B188" s="40" t="str">
        <f>'A) Base RI'!B188</f>
        <v>Chéserex</v>
      </c>
      <c r="C188" s="14">
        <f>'A) Base RI'!C188+'A) Base RI'!D188</f>
        <v>5692137.71</v>
      </c>
      <c r="D188" s="14">
        <f>'A) Base RI'!V188</f>
        <v>-48437.61</v>
      </c>
      <c r="E188" s="39">
        <f>'A) Base RI'!W188</f>
        <v>0</v>
      </c>
      <c r="F188" s="39">
        <f>'A) Base RI'!X188</f>
        <v>-1598.55</v>
      </c>
      <c r="G188" s="4">
        <f t="shared" si="12"/>
        <v>5642101.5499999998</v>
      </c>
      <c r="H188" s="14">
        <f>+'A) Base RI'!E188</f>
        <v>0</v>
      </c>
      <c r="I188" s="14">
        <f>+'A) Base RI'!F188</f>
        <v>0</v>
      </c>
      <c r="J188" s="14">
        <f>+'A) Base RI'!G188+'A) Base RI'!H188</f>
        <v>1022449.15</v>
      </c>
      <c r="K188" s="14">
        <f>+'A) Base RI'!I188</f>
        <v>199591.6</v>
      </c>
      <c r="L188" s="14">
        <f>+'A) Base RI'!J188</f>
        <v>151909.82</v>
      </c>
      <c r="M188" s="14">
        <f>+'A) Base RI'!K188</f>
        <v>2004.5</v>
      </c>
      <c r="N188" s="14">
        <f>+'A) Base RI'!Q188</f>
        <v>0</v>
      </c>
      <c r="O188" s="14">
        <f t="shared" si="13"/>
        <v>349357.7</v>
      </c>
      <c r="P188" s="14">
        <f>+'A) Base RI'!L188</f>
        <v>349357.7</v>
      </c>
      <c r="Q188" s="42">
        <f>'A) Base RI'!Y188</f>
        <v>1</v>
      </c>
      <c r="R188" s="4">
        <f t="shared" si="14"/>
        <v>7367414.3200000003</v>
      </c>
      <c r="S188" s="41">
        <f>'A) Base RI'!T188</f>
        <v>52</v>
      </c>
      <c r="T188" s="4">
        <f t="shared" si="15"/>
        <v>7016052.1200000001</v>
      </c>
      <c r="U188" s="4">
        <f t="shared" si="16"/>
        <v>141681.04461538463</v>
      </c>
      <c r="V188" s="14">
        <f>+'A) Base RI'!O188</f>
        <v>307438.8</v>
      </c>
      <c r="W188" s="14">
        <f>+'A) Base RI'!P188</f>
        <v>1071483.5</v>
      </c>
      <c r="X188" s="14">
        <f>+'A) Base RI'!R188</f>
        <v>219.65</v>
      </c>
      <c r="Y188" s="4">
        <f t="shared" si="17"/>
        <v>1379141.95</v>
      </c>
      <c r="Z188" s="14">
        <f>+'A) Base RI'!N188</f>
        <v>25524.7</v>
      </c>
      <c r="AA188" s="14">
        <f>'A) Base RI'!U188</f>
        <v>1222</v>
      </c>
    </row>
    <row r="189" spans="1:27" x14ac:dyDescent="0.25">
      <c r="A189" s="12">
        <f>'A) Base RI'!A189</f>
        <v>5710</v>
      </c>
      <c r="B189" s="40" t="str">
        <f>'A) Base RI'!B189</f>
        <v>Coinsins</v>
      </c>
      <c r="C189" s="14">
        <f>'A) Base RI'!C189+'A) Base RI'!D189</f>
        <v>1329140.67</v>
      </c>
      <c r="D189" s="14">
        <f>'A) Base RI'!V189</f>
        <v>-5599.43</v>
      </c>
      <c r="E189" s="39">
        <f>'A) Base RI'!W189</f>
        <v>0</v>
      </c>
      <c r="F189" s="39">
        <f>'A) Base RI'!X189</f>
        <v>-4741.79</v>
      </c>
      <c r="G189" s="4">
        <f t="shared" si="12"/>
        <v>1318799.45</v>
      </c>
      <c r="H189" s="14">
        <f>+'A) Base RI'!E189</f>
        <v>0</v>
      </c>
      <c r="I189" s="14">
        <f>+'A) Base RI'!F189</f>
        <v>0</v>
      </c>
      <c r="J189" s="14">
        <f>+'A) Base RI'!G189+'A) Base RI'!H189</f>
        <v>1846746.75</v>
      </c>
      <c r="K189" s="14">
        <f>+'A) Base RI'!I189</f>
        <v>133369.45000000001</v>
      </c>
      <c r="L189" s="14">
        <f>+'A) Base RI'!J189</f>
        <v>-244309.86</v>
      </c>
      <c r="M189" s="14">
        <f>+'A) Base RI'!K189</f>
        <v>5222.7</v>
      </c>
      <c r="N189" s="14">
        <f>+'A) Base RI'!Q189</f>
        <v>4608.95</v>
      </c>
      <c r="O189" s="14">
        <f t="shared" si="13"/>
        <v>113984.7</v>
      </c>
      <c r="P189" s="14">
        <f>+'A) Base RI'!L189</f>
        <v>113984.7</v>
      </c>
      <c r="Q189" s="42">
        <f>'A) Base RI'!Y189</f>
        <v>1</v>
      </c>
      <c r="R189" s="4">
        <f t="shared" si="14"/>
        <v>3178422.1400000011</v>
      </c>
      <c r="S189" s="41">
        <f>'A) Base RI'!T189</f>
        <v>41</v>
      </c>
      <c r="T189" s="4">
        <f t="shared" si="15"/>
        <v>3059214.7400000007</v>
      </c>
      <c r="U189" s="4">
        <f t="shared" si="16"/>
        <v>77522.491219512216</v>
      </c>
      <c r="V189" s="14">
        <f>+'A) Base RI'!O189</f>
        <v>0</v>
      </c>
      <c r="W189" s="14">
        <f>+'A) Base RI'!P189</f>
        <v>61590.7</v>
      </c>
      <c r="X189" s="14">
        <f>+'A) Base RI'!R189</f>
        <v>30537.5</v>
      </c>
      <c r="Y189" s="4">
        <f t="shared" si="17"/>
        <v>92128.2</v>
      </c>
      <c r="Z189" s="14">
        <f>+'A) Base RI'!N189</f>
        <v>28126.3</v>
      </c>
      <c r="AA189" s="14">
        <f>'A) Base RI'!U189</f>
        <v>490</v>
      </c>
    </row>
    <row r="190" spans="1:27" x14ac:dyDescent="0.25">
      <c r="A190" s="12">
        <f>'A) Base RI'!A190</f>
        <v>5711</v>
      </c>
      <c r="B190" s="40" t="str">
        <f>'A) Base RI'!B190</f>
        <v>Commugny</v>
      </c>
      <c r="C190" s="14">
        <f>'A) Base RI'!C190+'A) Base RI'!D190</f>
        <v>12944775.43</v>
      </c>
      <c r="D190" s="14">
        <f>'A) Base RI'!V190</f>
        <v>-26042.27</v>
      </c>
      <c r="E190" s="39">
        <f>'A) Base RI'!W190</f>
        <v>0</v>
      </c>
      <c r="F190" s="39">
        <f>'A) Base RI'!X190</f>
        <v>-22496.41</v>
      </c>
      <c r="G190" s="4">
        <f t="shared" si="12"/>
        <v>12896236.75</v>
      </c>
      <c r="H190" s="14">
        <f>+'A) Base RI'!E190</f>
        <v>0</v>
      </c>
      <c r="I190" s="14">
        <f>+'A) Base RI'!F190</f>
        <v>0</v>
      </c>
      <c r="J190" s="14">
        <f>+'A) Base RI'!G190+'A) Base RI'!H190</f>
        <v>57628.950000000004</v>
      </c>
      <c r="K190" s="14">
        <f>+'A) Base RI'!I190</f>
        <v>195836.45</v>
      </c>
      <c r="L190" s="14">
        <f>+'A) Base RI'!J190</f>
        <v>243744.22</v>
      </c>
      <c r="M190" s="14">
        <f>+'A) Base RI'!K190</f>
        <v>15835</v>
      </c>
      <c r="N190" s="14">
        <f>+'A) Base RI'!Q190</f>
        <v>16310.84</v>
      </c>
      <c r="O190" s="14">
        <f t="shared" si="13"/>
        <v>802850.53846153838</v>
      </c>
      <c r="P190" s="14">
        <f>+'A) Base RI'!L190</f>
        <v>1043705.7</v>
      </c>
      <c r="Q190" s="42">
        <f>'A) Base RI'!Y190</f>
        <v>1.3</v>
      </c>
      <c r="R190" s="4">
        <f t="shared" si="14"/>
        <v>14228442.748461537</v>
      </c>
      <c r="S190" s="41">
        <f>'A) Base RI'!T190</f>
        <v>57</v>
      </c>
      <c r="T190" s="4">
        <f t="shared" si="15"/>
        <v>13409757.209999999</v>
      </c>
      <c r="U190" s="4">
        <f t="shared" si="16"/>
        <v>249621.80260458836</v>
      </c>
      <c r="V190" s="14">
        <f>+'A) Base RI'!O190</f>
        <v>59637</v>
      </c>
      <c r="W190" s="14">
        <f>+'A) Base RI'!P190</f>
        <v>538024.4</v>
      </c>
      <c r="X190" s="14">
        <f>+'A) Base RI'!R190</f>
        <v>602661.5</v>
      </c>
      <c r="Y190" s="4">
        <f t="shared" si="17"/>
        <v>1200322.8999999999</v>
      </c>
      <c r="Z190" s="14">
        <f>+'A) Base RI'!N190</f>
        <v>30020.2</v>
      </c>
      <c r="AA190" s="14">
        <f>'A) Base RI'!U190</f>
        <v>2561</v>
      </c>
    </row>
    <row r="191" spans="1:27" x14ac:dyDescent="0.25">
      <c r="A191" s="12">
        <f>'A) Base RI'!A191</f>
        <v>5712</v>
      </c>
      <c r="B191" s="40" t="str">
        <f>'A) Base RI'!B191</f>
        <v>Coppet</v>
      </c>
      <c r="C191" s="14">
        <f>'A) Base RI'!C191+'A) Base RI'!D191</f>
        <v>14114517.300000001</v>
      </c>
      <c r="D191" s="14">
        <f>'A) Base RI'!V191</f>
        <v>-78327.7</v>
      </c>
      <c r="E191" s="39">
        <f>'A) Base RI'!W191</f>
        <v>0</v>
      </c>
      <c r="F191" s="39">
        <f>'A) Base RI'!X191</f>
        <v>-7234.7</v>
      </c>
      <c r="G191" s="4">
        <f t="shared" si="12"/>
        <v>14028954.900000002</v>
      </c>
      <c r="H191" s="14">
        <f>+'A) Base RI'!E191</f>
        <v>0</v>
      </c>
      <c r="I191" s="14">
        <f>+'A) Base RI'!F191</f>
        <v>0</v>
      </c>
      <c r="J191" s="14">
        <f>+'A) Base RI'!G191+'A) Base RI'!H191</f>
        <v>185953.45</v>
      </c>
      <c r="K191" s="14">
        <f>+'A) Base RI'!I191</f>
        <v>1339561.8400000001</v>
      </c>
      <c r="L191" s="14">
        <f>+'A) Base RI'!J191</f>
        <v>176292.23</v>
      </c>
      <c r="M191" s="14">
        <f>+'A) Base RI'!K191</f>
        <v>23166</v>
      </c>
      <c r="N191" s="14">
        <f>+'A) Base RI'!Q191</f>
        <v>5853.2</v>
      </c>
      <c r="O191" s="14">
        <f t="shared" si="13"/>
        <v>1034162.4666666667</v>
      </c>
      <c r="P191" s="14">
        <f>+'A) Base RI'!L191</f>
        <v>1551243.7</v>
      </c>
      <c r="Q191" s="42">
        <f>'A) Base RI'!Y191</f>
        <v>1.5</v>
      </c>
      <c r="R191" s="4">
        <f t="shared" si="14"/>
        <v>16793944.086666666</v>
      </c>
      <c r="S191" s="41">
        <f>'A) Base RI'!T191</f>
        <v>53</v>
      </c>
      <c r="T191" s="4">
        <f t="shared" si="15"/>
        <v>15736615.620000001</v>
      </c>
      <c r="U191" s="4">
        <f t="shared" si="16"/>
        <v>316866.86955974839</v>
      </c>
      <c r="V191" s="14">
        <f>+'A) Base RI'!O191</f>
        <v>633858</v>
      </c>
      <c r="W191" s="14">
        <f>+'A) Base RI'!P191</f>
        <v>945393.65</v>
      </c>
      <c r="X191" s="14">
        <f>+'A) Base RI'!R191</f>
        <v>872124.45</v>
      </c>
      <c r="Y191" s="4">
        <f t="shared" si="17"/>
        <v>2451376.0999999996</v>
      </c>
      <c r="Z191" s="14">
        <f>+'A) Base RI'!N191</f>
        <v>139072.15</v>
      </c>
      <c r="AA191" s="14">
        <f>'A) Base RI'!U191</f>
        <v>2942</v>
      </c>
    </row>
    <row r="192" spans="1:27" x14ac:dyDescent="0.25">
      <c r="A192" s="12">
        <f>'A) Base RI'!A192</f>
        <v>5713</v>
      </c>
      <c r="B192" s="40" t="str">
        <f>'A) Base RI'!B192</f>
        <v>Crans-près-Céligny</v>
      </c>
      <c r="C192" s="14">
        <f>'A) Base RI'!C192+'A) Base RI'!D192</f>
        <v>10956092.91</v>
      </c>
      <c r="D192" s="14">
        <f>'A) Base RI'!V192</f>
        <v>-41586.51</v>
      </c>
      <c r="E192" s="39">
        <f>'A) Base RI'!W192</f>
        <v>0</v>
      </c>
      <c r="F192" s="39">
        <f>'A) Base RI'!X192</f>
        <v>-4697.42</v>
      </c>
      <c r="G192" s="4">
        <f t="shared" si="12"/>
        <v>10909808.98</v>
      </c>
      <c r="H192" s="14">
        <f>+'A) Base RI'!E192</f>
        <v>0</v>
      </c>
      <c r="I192" s="14">
        <f>+'A) Base RI'!F192</f>
        <v>0</v>
      </c>
      <c r="J192" s="14">
        <f>+'A) Base RI'!G192+'A) Base RI'!H192</f>
        <v>77038.95</v>
      </c>
      <c r="K192" s="14">
        <f>+'A) Base RI'!I192</f>
        <v>437323.1</v>
      </c>
      <c r="L192" s="14">
        <f>+'A) Base RI'!J192</f>
        <v>-53695.87</v>
      </c>
      <c r="M192" s="14">
        <f>+'A) Base RI'!K192</f>
        <v>9692</v>
      </c>
      <c r="N192" s="14">
        <f>+'A) Base RI'!Q192</f>
        <v>13579.85</v>
      </c>
      <c r="O192" s="14">
        <f t="shared" si="13"/>
        <v>758396.55</v>
      </c>
      <c r="P192" s="14">
        <f>+'A) Base RI'!L192</f>
        <v>758396.55</v>
      </c>
      <c r="Q192" s="42">
        <f>'A) Base RI'!Y192</f>
        <v>1</v>
      </c>
      <c r="R192" s="4">
        <f t="shared" si="14"/>
        <v>12152143.560000001</v>
      </c>
      <c r="S192" s="41">
        <f>'A) Base RI'!T192</f>
        <v>53</v>
      </c>
      <c r="T192" s="4">
        <f t="shared" si="15"/>
        <v>11384055.01</v>
      </c>
      <c r="U192" s="4">
        <f t="shared" si="16"/>
        <v>229285.72754716981</v>
      </c>
      <c r="V192" s="14">
        <f>+'A) Base RI'!O192</f>
        <v>874993.8</v>
      </c>
      <c r="W192" s="14">
        <f>+'A) Base RI'!P192</f>
        <v>424892.25</v>
      </c>
      <c r="X192" s="14">
        <f>+'A) Base RI'!R192</f>
        <v>260627</v>
      </c>
      <c r="Y192" s="4">
        <f t="shared" si="17"/>
        <v>1560513.05</v>
      </c>
      <c r="Z192" s="14">
        <f>+'A) Base RI'!N192</f>
        <v>31755.65</v>
      </c>
      <c r="AA192" s="14">
        <f>'A) Base RI'!U192</f>
        <v>2059</v>
      </c>
    </row>
    <row r="193" spans="1:27" x14ac:dyDescent="0.25">
      <c r="A193" s="12">
        <f>'A) Base RI'!A193</f>
        <v>5714</v>
      </c>
      <c r="B193" s="40" t="str">
        <f>'A) Base RI'!B193</f>
        <v>Crassier</v>
      </c>
      <c r="C193" s="14">
        <f>'A) Base RI'!C193+'A) Base RI'!D193</f>
        <v>4771176.4399999995</v>
      </c>
      <c r="D193" s="14">
        <f>'A) Base RI'!V193</f>
        <v>-23134.2</v>
      </c>
      <c r="E193" s="39">
        <f>'A) Base RI'!W193</f>
        <v>0</v>
      </c>
      <c r="F193" s="39">
        <f>'A) Base RI'!X193</f>
        <v>-968.94</v>
      </c>
      <c r="G193" s="4">
        <f t="shared" si="12"/>
        <v>4747073.2999999989</v>
      </c>
      <c r="H193" s="14">
        <f>+'A) Base RI'!E193</f>
        <v>0</v>
      </c>
      <c r="I193" s="14">
        <f>+'A) Base RI'!F193</f>
        <v>0</v>
      </c>
      <c r="J193" s="14">
        <f>+'A) Base RI'!G193+'A) Base RI'!H193</f>
        <v>156491.4</v>
      </c>
      <c r="K193" s="14">
        <f>+'A) Base RI'!I193</f>
        <v>27083.03</v>
      </c>
      <c r="L193" s="14">
        <f>+'A) Base RI'!J193</f>
        <v>63684.26</v>
      </c>
      <c r="M193" s="14">
        <f>+'A) Base RI'!K193</f>
        <v>4902.5</v>
      </c>
      <c r="N193" s="14">
        <f>+'A) Base RI'!Q193</f>
        <v>6009.36</v>
      </c>
      <c r="O193" s="14">
        <f t="shared" si="13"/>
        <v>270131.65000000002</v>
      </c>
      <c r="P193" s="14">
        <f>+'A) Base RI'!L193</f>
        <v>270131.65000000002</v>
      </c>
      <c r="Q193" s="42">
        <f>'A) Base RI'!Y193</f>
        <v>1</v>
      </c>
      <c r="R193" s="4">
        <f t="shared" si="14"/>
        <v>5275375.5</v>
      </c>
      <c r="S193" s="41">
        <f>'A) Base RI'!T193</f>
        <v>64</v>
      </c>
      <c r="T193" s="4">
        <f t="shared" si="15"/>
        <v>5000341.3499999996</v>
      </c>
      <c r="U193" s="4">
        <f t="shared" si="16"/>
        <v>82427.7421875</v>
      </c>
      <c r="V193" s="14">
        <f>+'A) Base RI'!O193</f>
        <v>117013.2</v>
      </c>
      <c r="W193" s="14">
        <f>+'A) Base RI'!P193</f>
        <v>64350</v>
      </c>
      <c r="X193" s="14">
        <f>+'A) Base RI'!R193</f>
        <v>106155.45</v>
      </c>
      <c r="Y193" s="4">
        <f t="shared" si="17"/>
        <v>287518.65000000002</v>
      </c>
      <c r="Z193" s="14">
        <f>+'A) Base RI'!N193</f>
        <v>77119.850000000006</v>
      </c>
      <c r="AA193" s="14">
        <f>'A) Base RI'!U193</f>
        <v>1172</v>
      </c>
    </row>
    <row r="194" spans="1:27" x14ac:dyDescent="0.25">
      <c r="A194" s="12">
        <f>'A) Base RI'!A194</f>
        <v>5715</v>
      </c>
      <c r="B194" s="40" t="str">
        <f>'A) Base RI'!B194</f>
        <v>Duillier</v>
      </c>
      <c r="C194" s="14">
        <f>'A) Base RI'!C194+'A) Base RI'!D194</f>
        <v>3865447.73</v>
      </c>
      <c r="D194" s="14">
        <f>'A) Base RI'!V194</f>
        <v>-11583.02</v>
      </c>
      <c r="E194" s="39">
        <f>'A) Base RI'!W194</f>
        <v>0</v>
      </c>
      <c r="F194" s="39">
        <f>'A) Base RI'!X194</f>
        <v>-674.96</v>
      </c>
      <c r="G194" s="4">
        <f t="shared" si="12"/>
        <v>3853189.75</v>
      </c>
      <c r="H194" s="14">
        <f>+'A) Base RI'!E194</f>
        <v>0</v>
      </c>
      <c r="I194" s="14">
        <f>+'A) Base RI'!F194</f>
        <v>0</v>
      </c>
      <c r="J194" s="14">
        <f>+'A) Base RI'!G194+'A) Base RI'!H194</f>
        <v>77015.55</v>
      </c>
      <c r="K194" s="14">
        <f>+'A) Base RI'!I194</f>
        <v>63690.75</v>
      </c>
      <c r="L194" s="14">
        <f>+'A) Base RI'!J194</f>
        <v>-34143.61</v>
      </c>
      <c r="M194" s="14">
        <f>+'A) Base RI'!K194</f>
        <v>4233.5</v>
      </c>
      <c r="N194" s="14">
        <f>+'A) Base RI'!Q194</f>
        <v>23796.76</v>
      </c>
      <c r="O194" s="14">
        <f t="shared" si="13"/>
        <v>243632.6</v>
      </c>
      <c r="P194" s="14">
        <f>+'A) Base RI'!L194</f>
        <v>243632.6</v>
      </c>
      <c r="Q194" s="42">
        <f>'A) Base RI'!Y194</f>
        <v>1</v>
      </c>
      <c r="R194" s="4">
        <f t="shared" si="14"/>
        <v>4231415.3</v>
      </c>
      <c r="S194" s="41">
        <f>'A) Base RI'!T194</f>
        <v>66</v>
      </c>
      <c r="T194" s="4">
        <f t="shared" si="15"/>
        <v>3983549.1999999997</v>
      </c>
      <c r="U194" s="4">
        <f t="shared" si="16"/>
        <v>64112.353030303027</v>
      </c>
      <c r="V194" s="14">
        <f>+'A) Base RI'!O194</f>
        <v>5741.5</v>
      </c>
      <c r="W194" s="14">
        <f>+'A) Base RI'!P194</f>
        <v>194075.05</v>
      </c>
      <c r="X194" s="14">
        <f>+'A) Base RI'!R194</f>
        <v>172267.4</v>
      </c>
      <c r="Y194" s="4">
        <f t="shared" si="17"/>
        <v>372083.94999999995</v>
      </c>
      <c r="Z194" s="14">
        <f>+'A) Base RI'!N194</f>
        <v>37959.25</v>
      </c>
      <c r="AA194" s="14">
        <f>'A) Base RI'!U194</f>
        <v>1039</v>
      </c>
    </row>
    <row r="195" spans="1:27" x14ac:dyDescent="0.25">
      <c r="A195" s="12">
        <f>'A) Base RI'!A195</f>
        <v>5716</v>
      </c>
      <c r="B195" s="40" t="str">
        <f>'A) Base RI'!B195</f>
        <v>Eysins</v>
      </c>
      <c r="C195" s="14">
        <f>'A) Base RI'!C195+'A) Base RI'!D195</f>
        <v>3099938.1999999997</v>
      </c>
      <c r="D195" s="14">
        <f>'A) Base RI'!V195</f>
        <v>-97506.29</v>
      </c>
      <c r="E195" s="39">
        <f>'A) Base RI'!W195</f>
        <v>0</v>
      </c>
      <c r="F195" s="39">
        <f>'A) Base RI'!X195</f>
        <v>-270.68</v>
      </c>
      <c r="G195" s="4">
        <f t="shared" si="12"/>
        <v>3002161.2299999995</v>
      </c>
      <c r="H195" s="14">
        <f>+'A) Base RI'!E195</f>
        <v>0</v>
      </c>
      <c r="I195" s="14">
        <f>+'A) Base RI'!F195</f>
        <v>0</v>
      </c>
      <c r="J195" s="14">
        <f>+'A) Base RI'!G195+'A) Base RI'!H195</f>
        <v>1741834.3</v>
      </c>
      <c r="K195" s="14">
        <f>+'A) Base RI'!I195</f>
        <v>24162</v>
      </c>
      <c r="L195" s="14">
        <f>+'A) Base RI'!J195</f>
        <v>222138.84</v>
      </c>
      <c r="M195" s="14">
        <f>+'A) Base RI'!K195</f>
        <v>120810</v>
      </c>
      <c r="N195" s="14">
        <f>+'A) Base RI'!Q195</f>
        <v>3104.65</v>
      </c>
      <c r="O195" s="14">
        <f t="shared" si="13"/>
        <v>574590.80000000005</v>
      </c>
      <c r="P195" s="14">
        <f>+'A) Base RI'!L195</f>
        <v>574590.80000000005</v>
      </c>
      <c r="Q195" s="42">
        <f>'A) Base RI'!Y195</f>
        <v>1</v>
      </c>
      <c r="R195" s="4">
        <f t="shared" si="14"/>
        <v>5688801.8199999994</v>
      </c>
      <c r="S195" s="41">
        <f>'A) Base RI'!T195</f>
        <v>61</v>
      </c>
      <c r="T195" s="4">
        <f t="shared" si="15"/>
        <v>4993401.0199999996</v>
      </c>
      <c r="U195" s="4">
        <f t="shared" si="16"/>
        <v>93259.046229508182</v>
      </c>
      <c r="V195" s="14">
        <f>+'A) Base RI'!O195</f>
        <v>11053.6</v>
      </c>
      <c r="W195" s="14">
        <f>+'A) Base RI'!P195</f>
        <v>886060.15</v>
      </c>
      <c r="X195" s="14">
        <f>+'A) Base RI'!R195</f>
        <v>338896.9</v>
      </c>
      <c r="Y195" s="4">
        <f t="shared" si="17"/>
        <v>1236010.6499999999</v>
      </c>
      <c r="Z195" s="14">
        <f>+'A) Base RI'!N195</f>
        <v>454385.3</v>
      </c>
      <c r="AA195" s="14">
        <f>'A) Base RI'!U195</f>
        <v>1482</v>
      </c>
    </row>
    <row r="196" spans="1:27" x14ac:dyDescent="0.25">
      <c r="A196" s="12">
        <f>'A) Base RI'!A196</f>
        <v>5717</v>
      </c>
      <c r="B196" s="40" t="str">
        <f>'A) Base RI'!B196</f>
        <v>Founex</v>
      </c>
      <c r="C196" s="14">
        <f>'A) Base RI'!C196+'A) Base RI'!D196</f>
        <v>17948786.240000002</v>
      </c>
      <c r="D196" s="14">
        <f>'A) Base RI'!V196</f>
        <v>-41045.94</v>
      </c>
      <c r="E196" s="39">
        <f>'A) Base RI'!W196</f>
        <v>-30987</v>
      </c>
      <c r="F196" s="39">
        <f>'A) Base RI'!X196</f>
        <v>-15729.84</v>
      </c>
      <c r="G196" s="4">
        <f t="shared" si="12"/>
        <v>17861023.460000001</v>
      </c>
      <c r="H196" s="14">
        <f>+'A) Base RI'!E196</f>
        <v>0</v>
      </c>
      <c r="I196" s="14">
        <f>+'A) Base RI'!F196</f>
        <v>0</v>
      </c>
      <c r="J196" s="14">
        <f>+'A) Base RI'!G196+'A) Base RI'!H196</f>
        <v>227896.55</v>
      </c>
      <c r="K196" s="14">
        <f>+'A) Base RI'!I196</f>
        <v>975959.76</v>
      </c>
      <c r="L196" s="14">
        <f>+'A) Base RI'!J196</f>
        <v>182455.58</v>
      </c>
      <c r="M196" s="14">
        <f>+'A) Base RI'!K196</f>
        <v>43071</v>
      </c>
      <c r="N196" s="14">
        <f>+'A) Base RI'!Q196</f>
        <v>20057.400000000001</v>
      </c>
      <c r="O196" s="14">
        <f t="shared" si="13"/>
        <v>1191666.8</v>
      </c>
      <c r="P196" s="14">
        <f>+'A) Base RI'!L196</f>
        <v>1191666.8</v>
      </c>
      <c r="Q196" s="42">
        <f>'A) Base RI'!Y196</f>
        <v>1</v>
      </c>
      <c r="R196" s="4">
        <f t="shared" si="14"/>
        <v>20502130.550000001</v>
      </c>
      <c r="S196" s="41">
        <f>'A) Base RI'!T196</f>
        <v>57</v>
      </c>
      <c r="T196" s="4">
        <f t="shared" si="15"/>
        <v>19267392.75</v>
      </c>
      <c r="U196" s="4">
        <f t="shared" si="16"/>
        <v>359686.500877193</v>
      </c>
      <c r="V196" s="14">
        <f>+'A) Base RI'!O196</f>
        <v>18986.7</v>
      </c>
      <c r="W196" s="14">
        <f>+'A) Base RI'!P196</f>
        <v>898506.7</v>
      </c>
      <c r="X196" s="14">
        <f>+'A) Base RI'!R196</f>
        <v>598659.85</v>
      </c>
      <c r="Y196" s="4">
        <f t="shared" si="17"/>
        <v>1516153.25</v>
      </c>
      <c r="Z196" s="14">
        <f>+'A) Base RI'!N196</f>
        <v>168707.25</v>
      </c>
      <c r="AA196" s="14">
        <f>'A) Base RI'!U196</f>
        <v>3410</v>
      </c>
    </row>
    <row r="197" spans="1:27" x14ac:dyDescent="0.25">
      <c r="A197" s="12">
        <f>'A) Base RI'!A197</f>
        <v>5718</v>
      </c>
      <c r="B197" s="40" t="str">
        <f>'A) Base RI'!B197</f>
        <v>Genolier</v>
      </c>
      <c r="C197" s="14">
        <f>'A) Base RI'!C197+'A) Base RI'!D197</f>
        <v>9449692.6099999994</v>
      </c>
      <c r="D197" s="14">
        <f>'A) Base RI'!V197</f>
        <v>-34065.5</v>
      </c>
      <c r="E197" s="39">
        <f>'A) Base RI'!W197</f>
        <v>0</v>
      </c>
      <c r="F197" s="39">
        <f>'A) Base RI'!X197</f>
        <v>-4607.1899999999996</v>
      </c>
      <c r="G197" s="4">
        <f t="shared" si="12"/>
        <v>9411019.9199999999</v>
      </c>
      <c r="H197" s="14">
        <f>+'A) Base RI'!E197</f>
        <v>0</v>
      </c>
      <c r="I197" s="14">
        <f>+'A) Base RI'!F197</f>
        <v>0</v>
      </c>
      <c r="J197" s="14">
        <f>+'A) Base RI'!G197+'A) Base RI'!H197</f>
        <v>256757.95</v>
      </c>
      <c r="K197" s="14">
        <f>+'A) Base RI'!I197</f>
        <v>165839.31</v>
      </c>
      <c r="L197" s="14">
        <f>+'A) Base RI'!J197</f>
        <v>210976.68</v>
      </c>
      <c r="M197" s="14">
        <f>+'A) Base RI'!K197</f>
        <v>31043</v>
      </c>
      <c r="N197" s="14">
        <f>+'A) Base RI'!Q197</f>
        <v>34378.92</v>
      </c>
      <c r="O197" s="14">
        <f t="shared" si="13"/>
        <v>590322.80000000005</v>
      </c>
      <c r="P197" s="14">
        <f>+'A) Base RI'!L197</f>
        <v>590322.80000000005</v>
      </c>
      <c r="Q197" s="42">
        <f>'A) Base RI'!Y197</f>
        <v>1</v>
      </c>
      <c r="R197" s="4">
        <f t="shared" si="14"/>
        <v>10700338.58</v>
      </c>
      <c r="S197" s="41">
        <f>'A) Base RI'!T197</f>
        <v>55</v>
      </c>
      <c r="T197" s="4">
        <f t="shared" si="15"/>
        <v>10078972.779999999</v>
      </c>
      <c r="U197" s="4">
        <f t="shared" si="16"/>
        <v>194551.61054545455</v>
      </c>
      <c r="V197" s="14">
        <f>+'A) Base RI'!O197</f>
        <v>21500</v>
      </c>
      <c r="W197" s="14">
        <f>+'A) Base RI'!P197</f>
        <v>668482.35</v>
      </c>
      <c r="X197" s="14">
        <f>+'A) Base RI'!R197</f>
        <v>372543.45</v>
      </c>
      <c r="Y197" s="4">
        <f t="shared" si="17"/>
        <v>1062525.8</v>
      </c>
      <c r="Z197" s="14">
        <f>+'A) Base RI'!N197</f>
        <v>364037.8</v>
      </c>
      <c r="AA197" s="14">
        <f>'A) Base RI'!U197</f>
        <v>1895</v>
      </c>
    </row>
    <row r="198" spans="1:27" x14ac:dyDescent="0.25">
      <c r="A198" s="12">
        <f>'A) Base RI'!A198</f>
        <v>5719</v>
      </c>
      <c r="B198" s="40" t="str">
        <f>'A) Base RI'!B198</f>
        <v>Gingins</v>
      </c>
      <c r="C198" s="14">
        <f>'A) Base RI'!C198+'A) Base RI'!D198</f>
        <v>4363473.38</v>
      </c>
      <c r="D198" s="14">
        <f>'A) Base RI'!V198</f>
        <v>-19354.22</v>
      </c>
      <c r="E198" s="39">
        <f>'A) Base RI'!W198</f>
        <v>0</v>
      </c>
      <c r="F198" s="39">
        <f>'A) Base RI'!X198</f>
        <v>-1625.82</v>
      </c>
      <c r="G198" s="4">
        <f t="shared" si="12"/>
        <v>4342493.34</v>
      </c>
      <c r="H198" s="14">
        <f>+'A) Base RI'!E198</f>
        <v>0</v>
      </c>
      <c r="I198" s="14">
        <f>+'A) Base RI'!F198</f>
        <v>0</v>
      </c>
      <c r="J198" s="14">
        <f>+'A) Base RI'!G198+'A) Base RI'!H198</f>
        <v>56989.85</v>
      </c>
      <c r="K198" s="14">
        <f>+'A) Base RI'!I198</f>
        <v>248492.38</v>
      </c>
      <c r="L198" s="14">
        <f>+'A) Base RI'!J198</f>
        <v>108628.29</v>
      </c>
      <c r="M198" s="14">
        <f>+'A) Base RI'!K198</f>
        <v>8173.5</v>
      </c>
      <c r="N198" s="14">
        <f>+'A) Base RI'!Q198</f>
        <v>2872.2</v>
      </c>
      <c r="O198" s="14">
        <f t="shared" si="13"/>
        <v>363018</v>
      </c>
      <c r="P198" s="14">
        <f>+'A) Base RI'!L198</f>
        <v>217810.8</v>
      </c>
      <c r="Q198" s="42">
        <f>'A) Base RI'!Y198</f>
        <v>0.6</v>
      </c>
      <c r="R198" s="4">
        <f t="shared" si="14"/>
        <v>5130667.5599999996</v>
      </c>
      <c r="S198" s="41">
        <f>'A) Base RI'!T198</f>
        <v>57</v>
      </c>
      <c r="T198" s="4">
        <f t="shared" si="15"/>
        <v>4759476.0599999996</v>
      </c>
      <c r="U198" s="4">
        <f t="shared" si="16"/>
        <v>90011.711578947361</v>
      </c>
      <c r="V198" s="14">
        <f>+'A) Base RI'!O198</f>
        <v>107738</v>
      </c>
      <c r="W198" s="14">
        <f>+'A) Base RI'!P198</f>
        <v>309026.15000000002</v>
      </c>
      <c r="X198" s="14">
        <f>+'A) Base RI'!R198</f>
        <v>581533.05000000005</v>
      </c>
      <c r="Y198" s="4">
        <f t="shared" si="17"/>
        <v>998297.20000000007</v>
      </c>
      <c r="Z198" s="14">
        <f>+'A) Base RI'!N198</f>
        <v>68663.100000000006</v>
      </c>
      <c r="AA198" s="14">
        <f>'A) Base RI'!U198</f>
        <v>1195</v>
      </c>
    </row>
    <row r="199" spans="1:27" x14ac:dyDescent="0.25">
      <c r="A199" s="12">
        <f>'A) Base RI'!A199</f>
        <v>5720</v>
      </c>
      <c r="B199" s="40" t="str">
        <f>'A) Base RI'!B199</f>
        <v>Givrins</v>
      </c>
      <c r="C199" s="14">
        <f>'A) Base RI'!C199+'A) Base RI'!D199</f>
        <v>3680507.8600000003</v>
      </c>
      <c r="D199" s="14">
        <f>'A) Base RI'!V199</f>
        <v>-35111.26</v>
      </c>
      <c r="E199" s="39">
        <f>'A) Base RI'!W199</f>
        <v>0</v>
      </c>
      <c r="F199" s="39">
        <f>'A) Base RI'!X199</f>
        <v>-3403.11</v>
      </c>
      <c r="G199" s="4">
        <f t="shared" si="12"/>
        <v>3641993.4900000007</v>
      </c>
      <c r="H199" s="14">
        <f>+'A) Base RI'!E199</f>
        <v>0</v>
      </c>
      <c r="I199" s="14">
        <f>+'A) Base RI'!F199</f>
        <v>0</v>
      </c>
      <c r="J199" s="14">
        <f>+'A) Base RI'!G199+'A) Base RI'!H199</f>
        <v>122551.04999999999</v>
      </c>
      <c r="K199" s="14">
        <f>+'A) Base RI'!I199</f>
        <v>326065.3</v>
      </c>
      <c r="L199" s="14">
        <f>+'A) Base RI'!J199</f>
        <v>117959.74</v>
      </c>
      <c r="M199" s="14">
        <f>+'A) Base RI'!K199</f>
        <v>0</v>
      </c>
      <c r="N199" s="14">
        <f>+'A) Base RI'!Q199</f>
        <v>5224.17</v>
      </c>
      <c r="O199" s="14">
        <f t="shared" si="13"/>
        <v>277714.44444444444</v>
      </c>
      <c r="P199" s="14">
        <f>+'A) Base RI'!L199</f>
        <v>249943</v>
      </c>
      <c r="Q199" s="42">
        <f>'A) Base RI'!Y199</f>
        <v>0.9</v>
      </c>
      <c r="R199" s="4">
        <f t="shared" si="14"/>
        <v>4491508.194444444</v>
      </c>
      <c r="S199" s="41">
        <f>'A) Base RI'!T199</f>
        <v>61</v>
      </c>
      <c r="T199" s="4">
        <f t="shared" si="15"/>
        <v>4213793.75</v>
      </c>
      <c r="U199" s="4">
        <f t="shared" si="16"/>
        <v>73631.281876138426</v>
      </c>
      <c r="V199" s="14">
        <f>+'A) Base RI'!O199</f>
        <v>0</v>
      </c>
      <c r="W199" s="14">
        <f>+'A) Base RI'!P199</f>
        <v>250676.75</v>
      </c>
      <c r="X199" s="14">
        <f>+'A) Base RI'!R199</f>
        <v>17331.400000000001</v>
      </c>
      <c r="Y199" s="4">
        <f t="shared" si="17"/>
        <v>268008.15000000002</v>
      </c>
      <c r="Z199" s="14">
        <f>+'A) Base RI'!N199</f>
        <v>22318.35</v>
      </c>
      <c r="AA199" s="14">
        <f>'A) Base RI'!U199</f>
        <v>1000</v>
      </c>
    </row>
    <row r="200" spans="1:27" x14ac:dyDescent="0.25">
      <c r="A200" s="12">
        <f>'A) Base RI'!A200</f>
        <v>5721</v>
      </c>
      <c r="B200" s="40" t="str">
        <f>'A) Base RI'!B200</f>
        <v>Gland</v>
      </c>
      <c r="C200" s="14">
        <f>'A) Base RI'!C200+'A) Base RI'!D200</f>
        <v>26268988.25</v>
      </c>
      <c r="D200" s="14">
        <f>'A) Base RI'!V200</f>
        <v>-407988.22</v>
      </c>
      <c r="E200" s="39">
        <f>'A) Base RI'!W200</f>
        <v>0</v>
      </c>
      <c r="F200" s="39">
        <f>'A) Base RI'!X200</f>
        <v>-12174.17</v>
      </c>
      <c r="G200" s="4">
        <f t="shared" ref="G200:G263" si="18">SUM(C200:F200)</f>
        <v>25848825.859999999</v>
      </c>
      <c r="H200" s="14">
        <f>+'A) Base RI'!E200</f>
        <v>0</v>
      </c>
      <c r="I200" s="14">
        <f>+'A) Base RI'!F200</f>
        <v>0</v>
      </c>
      <c r="J200" s="14">
        <f>+'A) Base RI'!G200+'A) Base RI'!H200</f>
        <v>2912716.3000000003</v>
      </c>
      <c r="K200" s="14">
        <f>+'A) Base RI'!I200</f>
        <v>874499.92</v>
      </c>
      <c r="L200" s="14">
        <f>+'A) Base RI'!J200</f>
        <v>1231617.8500000001</v>
      </c>
      <c r="M200" s="14">
        <f>+'A) Base RI'!K200</f>
        <v>368354.5</v>
      </c>
      <c r="N200" s="14">
        <f>+'A) Base RI'!Q200</f>
        <v>107284.29</v>
      </c>
      <c r="O200" s="14">
        <f t="shared" ref="O200:O263" si="19">(P200/Q200)*1</f>
        <v>2478518.9</v>
      </c>
      <c r="P200" s="14">
        <f>+'A) Base RI'!L200</f>
        <v>2478518.9</v>
      </c>
      <c r="Q200" s="42">
        <f>'A) Base RI'!Y200</f>
        <v>1</v>
      </c>
      <c r="R200" s="4">
        <f t="shared" ref="R200:R263" si="20">SUM(G200:O200)</f>
        <v>33821817.620000005</v>
      </c>
      <c r="S200" s="41">
        <f>'A) Base RI'!T200</f>
        <v>62.5</v>
      </c>
      <c r="T200" s="4">
        <f t="shared" ref="T200:T263" si="21">(G200+H200+J200+K200+L200+N200)</f>
        <v>30974944.220000003</v>
      </c>
      <c r="U200" s="4">
        <f t="shared" ref="U200:U263" si="22">R200/S200</f>
        <v>541149.08192000003</v>
      </c>
      <c r="V200" s="14">
        <f>+'A) Base RI'!O200</f>
        <v>92780.6</v>
      </c>
      <c r="W200" s="14">
        <f>+'A) Base RI'!P200</f>
        <v>1383509.4</v>
      </c>
      <c r="X200" s="14">
        <f>+'A) Base RI'!R200</f>
        <v>981019.14999999991</v>
      </c>
      <c r="Y200" s="4">
        <f t="shared" ref="Y200:Y263" si="23">SUM(V200:X200)</f>
        <v>2457309.15</v>
      </c>
      <c r="Z200" s="14">
        <f>+'A) Base RI'!N200</f>
        <v>1972526.75</v>
      </c>
      <c r="AA200" s="14">
        <f>'A) Base RI'!U200</f>
        <v>12829</v>
      </c>
    </row>
    <row r="201" spans="1:27" x14ac:dyDescent="0.25">
      <c r="A201" s="12">
        <f>'A) Base RI'!A201</f>
        <v>5722</v>
      </c>
      <c r="B201" s="40" t="str">
        <f>'A) Base RI'!B201</f>
        <v>Grens</v>
      </c>
      <c r="C201" s="14">
        <f>'A) Base RI'!C201+'A) Base RI'!D201</f>
        <v>1140566.3799999999</v>
      </c>
      <c r="D201" s="14">
        <f>'A) Base RI'!V201</f>
        <v>-126.18</v>
      </c>
      <c r="E201" s="39">
        <f>'A) Base RI'!W201</f>
        <v>0</v>
      </c>
      <c r="F201" s="39">
        <f>'A) Base RI'!X201</f>
        <v>-308.87</v>
      </c>
      <c r="G201" s="4">
        <f t="shared" si="18"/>
        <v>1140131.3299999998</v>
      </c>
      <c r="H201" s="14">
        <f>+'A) Base RI'!E201</f>
        <v>0</v>
      </c>
      <c r="I201" s="14">
        <f>+'A) Base RI'!F201</f>
        <v>0</v>
      </c>
      <c r="J201" s="14">
        <f>+'A) Base RI'!G201+'A) Base RI'!H201</f>
        <v>21607.35</v>
      </c>
      <c r="K201" s="14">
        <f>+'A) Base RI'!I201</f>
        <v>0</v>
      </c>
      <c r="L201" s="14">
        <f>+'A) Base RI'!J201</f>
        <v>36297.14</v>
      </c>
      <c r="M201" s="14">
        <f>+'A) Base RI'!K201</f>
        <v>-6555</v>
      </c>
      <c r="N201" s="14">
        <f>+'A) Base RI'!Q201</f>
        <v>0</v>
      </c>
      <c r="O201" s="14">
        <f t="shared" si="19"/>
        <v>79478.399999999994</v>
      </c>
      <c r="P201" s="14">
        <f>+'A) Base RI'!L201</f>
        <v>79478.399999999994</v>
      </c>
      <c r="Q201" s="42">
        <f>'A) Base RI'!Y201</f>
        <v>1</v>
      </c>
      <c r="R201" s="4">
        <f t="shared" si="20"/>
        <v>1270959.2199999997</v>
      </c>
      <c r="S201" s="41">
        <f>'A) Base RI'!T201</f>
        <v>62</v>
      </c>
      <c r="T201" s="4">
        <f t="shared" si="21"/>
        <v>1198035.8199999998</v>
      </c>
      <c r="U201" s="4">
        <f t="shared" si="22"/>
        <v>20499.342258064513</v>
      </c>
      <c r="V201" s="14">
        <f>+'A) Base RI'!O201</f>
        <v>0</v>
      </c>
      <c r="W201" s="14">
        <f>+'A) Base RI'!P201</f>
        <v>308778.75</v>
      </c>
      <c r="X201" s="14">
        <f>+'A) Base RI'!R201</f>
        <v>63027.55</v>
      </c>
      <c r="Y201" s="4">
        <f t="shared" si="23"/>
        <v>371806.3</v>
      </c>
      <c r="Z201" s="14">
        <f>+'A) Base RI'!N201</f>
        <v>7421.2</v>
      </c>
      <c r="AA201" s="14">
        <f>'A) Base RI'!U201</f>
        <v>377</v>
      </c>
    </row>
    <row r="202" spans="1:27" x14ac:dyDescent="0.25">
      <c r="A202" s="12">
        <f>'A) Base RI'!A202</f>
        <v>5723</v>
      </c>
      <c r="B202" s="40" t="str">
        <f>'A) Base RI'!B202</f>
        <v>Mies</v>
      </c>
      <c r="C202" s="14">
        <f>'A) Base RI'!C202+'A) Base RI'!D202</f>
        <v>28608838.23</v>
      </c>
      <c r="D202" s="14">
        <f>'A) Base RI'!V202</f>
        <v>-13661.87</v>
      </c>
      <c r="E202" s="39">
        <f>'A) Base RI'!W202</f>
        <v>0</v>
      </c>
      <c r="F202" s="39">
        <f>'A) Base RI'!X202</f>
        <v>-14255.57</v>
      </c>
      <c r="G202" s="4">
        <f t="shared" si="18"/>
        <v>28580920.789999999</v>
      </c>
      <c r="H202" s="14">
        <f>+'A) Base RI'!E202</f>
        <v>0</v>
      </c>
      <c r="I202" s="14">
        <f>+'A) Base RI'!F202</f>
        <v>0</v>
      </c>
      <c r="J202" s="14">
        <f>+'A) Base RI'!G202+'A) Base RI'!H202</f>
        <v>176832.65</v>
      </c>
      <c r="K202" s="14">
        <f>+'A) Base RI'!I202</f>
        <v>823292.43</v>
      </c>
      <c r="L202" s="14">
        <f>+'A) Base RI'!J202</f>
        <v>81012.95</v>
      </c>
      <c r="M202" s="14">
        <f>+'A) Base RI'!K202</f>
        <v>32016</v>
      </c>
      <c r="N202" s="14">
        <f>+'A) Base RI'!Q202</f>
        <v>41101.83</v>
      </c>
      <c r="O202" s="14">
        <f t="shared" si="19"/>
        <v>721205.9</v>
      </c>
      <c r="P202" s="14">
        <f>+'A) Base RI'!L202</f>
        <v>721205.9</v>
      </c>
      <c r="Q202" s="42">
        <f>'A) Base RI'!Y202</f>
        <v>1</v>
      </c>
      <c r="R202" s="4">
        <f t="shared" si="20"/>
        <v>30456382.549999993</v>
      </c>
      <c r="S202" s="41">
        <f>'A) Base RI'!T202</f>
        <v>49</v>
      </c>
      <c r="T202" s="4">
        <f t="shared" si="21"/>
        <v>29703160.649999995</v>
      </c>
      <c r="U202" s="4">
        <f t="shared" si="22"/>
        <v>621558.82755102031</v>
      </c>
      <c r="V202" s="14">
        <f>+'A) Base RI'!O202</f>
        <v>102650.4</v>
      </c>
      <c r="W202" s="14">
        <f>+'A) Base RI'!P202</f>
        <v>799458.9</v>
      </c>
      <c r="X202" s="14">
        <f>+'A) Base RI'!R202</f>
        <v>922300.55</v>
      </c>
      <c r="Y202" s="4">
        <f t="shared" si="23"/>
        <v>1824409.85</v>
      </c>
      <c r="Z202" s="14">
        <f>+'A) Base RI'!N202</f>
        <v>148394.4</v>
      </c>
      <c r="AA202" s="14">
        <f>'A) Base RI'!U202</f>
        <v>1791</v>
      </c>
    </row>
    <row r="203" spans="1:27" x14ac:dyDescent="0.25">
      <c r="A203" s="12">
        <f>'A) Base RI'!A203</f>
        <v>5724</v>
      </c>
      <c r="B203" s="40" t="str">
        <f>'A) Base RI'!B203</f>
        <v>Nyon</v>
      </c>
      <c r="C203" s="14">
        <f>'A) Base RI'!C203+'A) Base RI'!D203</f>
        <v>57821515.859999999</v>
      </c>
      <c r="D203" s="14">
        <f>'A) Base RI'!V203</f>
        <v>-724451.93</v>
      </c>
      <c r="E203" s="39">
        <f>'A) Base RI'!W203</f>
        <v>0</v>
      </c>
      <c r="F203" s="39">
        <f>'A) Base RI'!X203</f>
        <v>-51850.48</v>
      </c>
      <c r="G203" s="4">
        <f t="shared" si="18"/>
        <v>57045213.450000003</v>
      </c>
      <c r="H203" s="14">
        <f>+'A) Base RI'!E203</f>
        <v>0</v>
      </c>
      <c r="I203" s="14">
        <f>+'A) Base RI'!F203</f>
        <v>0</v>
      </c>
      <c r="J203" s="14">
        <f>+'A) Base RI'!G203+'A) Base RI'!H203</f>
        <v>18163102.050000001</v>
      </c>
      <c r="K203" s="14">
        <f>+'A) Base RI'!I203</f>
        <v>1942992.82</v>
      </c>
      <c r="L203" s="14">
        <f>+'A) Base RI'!J203</f>
        <v>3827768.36</v>
      </c>
      <c r="M203" s="14">
        <f>+'A) Base RI'!K203</f>
        <v>706050.5</v>
      </c>
      <c r="N203" s="14">
        <f>+'A) Base RI'!Q203</f>
        <v>251041.81</v>
      </c>
      <c r="O203" s="14">
        <f t="shared" si="19"/>
        <v>4603029.230769231</v>
      </c>
      <c r="P203" s="14">
        <f>+'A) Base RI'!L203</f>
        <v>5983938</v>
      </c>
      <c r="Q203" s="42">
        <f>'A) Base RI'!Y203</f>
        <v>1.3</v>
      </c>
      <c r="R203" s="4">
        <f t="shared" si="20"/>
        <v>86539198.220769227</v>
      </c>
      <c r="S203" s="41">
        <f>'A) Base RI'!T203</f>
        <v>61</v>
      </c>
      <c r="T203" s="4">
        <f t="shared" si="21"/>
        <v>81230118.489999995</v>
      </c>
      <c r="U203" s="4">
        <f t="shared" si="22"/>
        <v>1418675.3806683479</v>
      </c>
      <c r="V203" s="14">
        <f>+'A) Base RI'!O203</f>
        <v>1668002</v>
      </c>
      <c r="W203" s="14">
        <f>+'A) Base RI'!P203</f>
        <v>3555979.25</v>
      </c>
      <c r="X203" s="14">
        <f>+'A) Base RI'!R203</f>
        <v>3395873</v>
      </c>
      <c r="Y203" s="4">
        <f t="shared" si="23"/>
        <v>8619854.25</v>
      </c>
      <c r="Z203" s="14">
        <f>+'A) Base RI'!N203</f>
        <v>4000000</v>
      </c>
      <c r="AA203" s="14">
        <f>'A) Base RI'!U203</f>
        <v>20047</v>
      </c>
    </row>
    <row r="204" spans="1:27" x14ac:dyDescent="0.25">
      <c r="A204" s="12">
        <f>'A) Base RI'!A204</f>
        <v>5725</v>
      </c>
      <c r="B204" s="40" t="str">
        <f>'A) Base RI'!B204</f>
        <v>Prangins</v>
      </c>
      <c r="C204" s="14">
        <f>'A) Base RI'!C204+'A) Base RI'!D204</f>
        <v>14556033.43</v>
      </c>
      <c r="D204" s="14">
        <f>'A) Base RI'!V204</f>
        <v>-50998.71</v>
      </c>
      <c r="E204" s="39">
        <f>'A) Base RI'!W204</f>
        <v>0</v>
      </c>
      <c r="F204" s="39">
        <f>'A) Base RI'!X204</f>
        <v>-34234.550000000003</v>
      </c>
      <c r="G204" s="4">
        <f t="shared" si="18"/>
        <v>14470800.169999998</v>
      </c>
      <c r="H204" s="14">
        <f>+'A) Base RI'!E204</f>
        <v>0</v>
      </c>
      <c r="I204" s="14">
        <f>+'A) Base RI'!F204</f>
        <v>0</v>
      </c>
      <c r="J204" s="14">
        <f>+'A) Base RI'!G204+'A) Base RI'!H204</f>
        <v>1196421.6499999999</v>
      </c>
      <c r="K204" s="14">
        <f>+'A) Base RI'!I204</f>
        <v>654103.87</v>
      </c>
      <c r="L204" s="14">
        <f>+'A) Base RI'!J204</f>
        <v>453719.89</v>
      </c>
      <c r="M204" s="14">
        <f>+'A) Base RI'!K204</f>
        <v>53981</v>
      </c>
      <c r="N204" s="14">
        <f>+'A) Base RI'!Q204</f>
        <v>4727.22</v>
      </c>
      <c r="O204" s="14">
        <f t="shared" si="19"/>
        <v>1077317.4285714286</v>
      </c>
      <c r="P204" s="14">
        <f>+'A) Base RI'!L204</f>
        <v>1508244.4</v>
      </c>
      <c r="Q204" s="42">
        <f>'A) Base RI'!Y204</f>
        <v>1.4</v>
      </c>
      <c r="R204" s="4">
        <f t="shared" si="20"/>
        <v>17911071.228571426</v>
      </c>
      <c r="S204" s="41">
        <f>'A) Base RI'!T204</f>
        <v>56</v>
      </c>
      <c r="T204" s="4">
        <f t="shared" si="21"/>
        <v>16779772.799999997</v>
      </c>
      <c r="U204" s="4">
        <f t="shared" si="22"/>
        <v>319840.55765306117</v>
      </c>
      <c r="V204" s="14">
        <f>+'A) Base RI'!O204</f>
        <v>91222.5</v>
      </c>
      <c r="W204" s="14">
        <f>+'A) Base RI'!P204</f>
        <v>384390.25</v>
      </c>
      <c r="X204" s="14">
        <f>+'A) Base RI'!R204</f>
        <v>451521.25</v>
      </c>
      <c r="Y204" s="4">
        <f t="shared" si="23"/>
        <v>927134</v>
      </c>
      <c r="Z204" s="14">
        <f>+'A) Base RI'!N204</f>
        <v>1232272.8999999999</v>
      </c>
      <c r="AA204" s="14">
        <f>'A) Base RI'!U204</f>
        <v>4011</v>
      </c>
    </row>
    <row r="205" spans="1:27" x14ac:dyDescent="0.25">
      <c r="A205" s="12">
        <f>'A) Base RI'!A205</f>
        <v>5726</v>
      </c>
      <c r="B205" s="40" t="str">
        <f>'A) Base RI'!B205</f>
        <v>La Rippe</v>
      </c>
      <c r="C205" s="14">
        <f>'A) Base RI'!C205+'A) Base RI'!D205</f>
        <v>3701455.14</v>
      </c>
      <c r="D205" s="14">
        <f>'A) Base RI'!V205</f>
        <v>-65367.01</v>
      </c>
      <c r="E205" s="39">
        <f>'A) Base RI'!W205</f>
        <v>0</v>
      </c>
      <c r="F205" s="39">
        <f>'A) Base RI'!X205</f>
        <v>-192.39</v>
      </c>
      <c r="G205" s="4">
        <f t="shared" si="18"/>
        <v>3635895.74</v>
      </c>
      <c r="H205" s="14">
        <f>+'A) Base RI'!E205</f>
        <v>0</v>
      </c>
      <c r="I205" s="14">
        <f>+'A) Base RI'!F205</f>
        <v>0</v>
      </c>
      <c r="J205" s="14">
        <f>+'A) Base RI'!G205+'A) Base RI'!H205</f>
        <v>73758.8</v>
      </c>
      <c r="K205" s="14">
        <f>+'A) Base RI'!I205</f>
        <v>11455.45</v>
      </c>
      <c r="L205" s="14">
        <f>+'A) Base RI'!J205</f>
        <v>92128.98</v>
      </c>
      <c r="M205" s="14">
        <f>+'A) Base RI'!K205</f>
        <v>3647</v>
      </c>
      <c r="N205" s="14">
        <f>+'A) Base RI'!Q205</f>
        <v>1016.2</v>
      </c>
      <c r="O205" s="14">
        <f t="shared" si="19"/>
        <v>239452.79999999999</v>
      </c>
      <c r="P205" s="14">
        <f>+'A) Base RI'!L205</f>
        <v>239452.79999999999</v>
      </c>
      <c r="Q205" s="42">
        <f>'A) Base RI'!Y205</f>
        <v>1</v>
      </c>
      <c r="R205" s="4">
        <f t="shared" si="20"/>
        <v>4057354.97</v>
      </c>
      <c r="S205" s="41">
        <f>'A) Base RI'!T205</f>
        <v>65</v>
      </c>
      <c r="T205" s="4">
        <f t="shared" si="21"/>
        <v>3814255.1700000004</v>
      </c>
      <c r="U205" s="4">
        <f t="shared" si="22"/>
        <v>62420.845692307696</v>
      </c>
      <c r="V205" s="14">
        <f>+'A) Base RI'!O205</f>
        <v>20723.5</v>
      </c>
      <c r="W205" s="14">
        <f>+'A) Base RI'!P205</f>
        <v>96553.2</v>
      </c>
      <c r="X205" s="14">
        <f>+'A) Base RI'!R205</f>
        <v>111017.7</v>
      </c>
      <c r="Y205" s="4">
        <f t="shared" si="23"/>
        <v>228294.39999999999</v>
      </c>
      <c r="Z205" s="14">
        <f>+'A) Base RI'!N205</f>
        <v>22619.15</v>
      </c>
      <c r="AA205" s="14">
        <f>'A) Base RI'!U205</f>
        <v>1120</v>
      </c>
    </row>
    <row r="206" spans="1:27" x14ac:dyDescent="0.25">
      <c r="A206" s="12">
        <f>'A) Base RI'!A206</f>
        <v>5727</v>
      </c>
      <c r="B206" s="40" t="str">
        <f>'A) Base RI'!B206</f>
        <v>Saint-Cergue</v>
      </c>
      <c r="C206" s="14">
        <f>'A) Base RI'!C206+'A) Base RI'!D206</f>
        <v>5347167.7600000007</v>
      </c>
      <c r="D206" s="14">
        <f>'A) Base RI'!V206</f>
        <v>-146049.70000000001</v>
      </c>
      <c r="E206" s="39">
        <f>'A) Base RI'!W206</f>
        <v>0</v>
      </c>
      <c r="F206" s="39">
        <f>'A) Base RI'!X206</f>
        <v>-441.26</v>
      </c>
      <c r="G206" s="4">
        <f t="shared" si="18"/>
        <v>5200676.8000000007</v>
      </c>
      <c r="H206" s="14">
        <f>+'A) Base RI'!E206</f>
        <v>0</v>
      </c>
      <c r="I206" s="14">
        <f>+'A) Base RI'!F206</f>
        <v>0</v>
      </c>
      <c r="J206" s="14">
        <f>+'A) Base RI'!G206+'A) Base RI'!H206</f>
        <v>117580.8</v>
      </c>
      <c r="K206" s="14">
        <f>+'A) Base RI'!I206</f>
        <v>125954.15</v>
      </c>
      <c r="L206" s="14">
        <f>+'A) Base RI'!J206</f>
        <v>246871.72</v>
      </c>
      <c r="M206" s="14">
        <f>+'A) Base RI'!K206</f>
        <v>7021.5</v>
      </c>
      <c r="N206" s="14">
        <f>+'A) Base RI'!Q206</f>
        <v>48404.57</v>
      </c>
      <c r="O206" s="14">
        <f t="shared" si="19"/>
        <v>465807.76666666666</v>
      </c>
      <c r="P206" s="14">
        <f>+'A) Base RI'!L206</f>
        <v>698711.65</v>
      </c>
      <c r="Q206" s="42">
        <f>'A) Base RI'!Y206</f>
        <v>1.5</v>
      </c>
      <c r="R206" s="4">
        <f t="shared" si="20"/>
        <v>6212317.3066666676</v>
      </c>
      <c r="S206" s="41">
        <f>'A) Base RI'!T206</f>
        <v>66</v>
      </c>
      <c r="T206" s="4">
        <f t="shared" si="21"/>
        <v>5739488.040000001</v>
      </c>
      <c r="U206" s="4">
        <f t="shared" si="22"/>
        <v>94126.01979797981</v>
      </c>
      <c r="V206" s="14">
        <f>+'A) Base RI'!O206</f>
        <v>73962.2</v>
      </c>
      <c r="W206" s="14">
        <f>+'A) Base RI'!P206</f>
        <v>366864.1</v>
      </c>
      <c r="X206" s="14">
        <f>+'A) Base RI'!R206</f>
        <v>203178.95</v>
      </c>
      <c r="Y206" s="4">
        <f t="shared" si="23"/>
        <v>644005.25</v>
      </c>
      <c r="Z206" s="14">
        <f>+'A) Base RI'!N206</f>
        <v>142442.29999999999</v>
      </c>
      <c r="AA206" s="14">
        <f>'A) Base RI'!U206</f>
        <v>2481</v>
      </c>
    </row>
    <row r="207" spans="1:27" x14ac:dyDescent="0.25">
      <c r="A207" s="12">
        <f>'A) Base RI'!A207</f>
        <v>5728</v>
      </c>
      <c r="B207" s="40" t="str">
        <f>'A) Base RI'!B207</f>
        <v>Signy-Avenex</v>
      </c>
      <c r="C207" s="14">
        <f>'A) Base RI'!C207+'A) Base RI'!D207</f>
        <v>1447053.6099999999</v>
      </c>
      <c r="D207" s="14">
        <f>'A) Base RI'!V207</f>
        <v>-15954.12</v>
      </c>
      <c r="E207" s="39">
        <f>'A) Base RI'!W207</f>
        <v>-4676.3500000000004</v>
      </c>
      <c r="F207" s="39">
        <f>'A) Base RI'!X207</f>
        <v>-98.4</v>
      </c>
      <c r="G207" s="4">
        <f t="shared" si="18"/>
        <v>1426324.7399999998</v>
      </c>
      <c r="H207" s="14">
        <f>+'A) Base RI'!E207</f>
        <v>0</v>
      </c>
      <c r="I207" s="14">
        <f>+'A) Base RI'!F207</f>
        <v>0</v>
      </c>
      <c r="J207" s="14">
        <f>+'A) Base RI'!G207+'A) Base RI'!H207</f>
        <v>186358.39999999999</v>
      </c>
      <c r="K207" s="14">
        <f>+'A) Base RI'!I207</f>
        <v>246.099999999999</v>
      </c>
      <c r="L207" s="14">
        <f>+'A) Base RI'!J207</f>
        <v>4448.92</v>
      </c>
      <c r="M207" s="14">
        <f>+'A) Base RI'!K207</f>
        <v>50269</v>
      </c>
      <c r="N207" s="14">
        <f>+'A) Base RI'!Q207</f>
        <v>9785.91</v>
      </c>
      <c r="O207" s="14">
        <f t="shared" si="19"/>
        <v>201233.3</v>
      </c>
      <c r="P207" s="14">
        <f>+'A) Base RI'!L207</f>
        <v>201233.3</v>
      </c>
      <c r="Q207" s="42">
        <f>'A) Base RI'!Y207</f>
        <v>1</v>
      </c>
      <c r="R207" s="4">
        <f t="shared" si="20"/>
        <v>1878666.3699999996</v>
      </c>
      <c r="S207" s="41">
        <f>'A) Base RI'!T207</f>
        <v>56</v>
      </c>
      <c r="T207" s="4">
        <f t="shared" si="21"/>
        <v>1627164.0699999996</v>
      </c>
      <c r="U207" s="4">
        <f t="shared" si="22"/>
        <v>33547.613749999997</v>
      </c>
      <c r="V207" s="14">
        <f>+'A) Base RI'!O207</f>
        <v>0</v>
      </c>
      <c r="W207" s="14">
        <f>+'A) Base RI'!P207</f>
        <v>230393.75</v>
      </c>
      <c r="X207" s="14">
        <f>+'A) Base RI'!R207</f>
        <v>85296.1</v>
      </c>
      <c r="Y207" s="4">
        <f t="shared" si="23"/>
        <v>315689.84999999998</v>
      </c>
      <c r="Z207" s="14">
        <f>+'A) Base RI'!N207</f>
        <v>231020.6</v>
      </c>
      <c r="AA207" s="14">
        <f>'A) Base RI'!U207</f>
        <v>516</v>
      </c>
    </row>
    <row r="208" spans="1:27" x14ac:dyDescent="0.25">
      <c r="A208" s="12">
        <f>'A) Base RI'!A208</f>
        <v>5729</v>
      </c>
      <c r="B208" s="40" t="str">
        <f>'A) Base RI'!B208</f>
        <v>Tannay</v>
      </c>
      <c r="C208" s="14">
        <f>'A) Base RI'!C208+'A) Base RI'!D208</f>
        <v>7757816.4799999995</v>
      </c>
      <c r="D208" s="14">
        <f>'A) Base RI'!V208</f>
        <v>-5601.86</v>
      </c>
      <c r="E208" s="39">
        <f>'A) Base RI'!W208</f>
        <v>0</v>
      </c>
      <c r="F208" s="39">
        <f>'A) Base RI'!X208</f>
        <v>-16032.15</v>
      </c>
      <c r="G208" s="4">
        <f t="shared" si="18"/>
        <v>7736182.4699999988</v>
      </c>
      <c r="H208" s="14">
        <f>+'A) Base RI'!E208</f>
        <v>0</v>
      </c>
      <c r="I208" s="14">
        <f>+'A) Base RI'!F208</f>
        <v>0</v>
      </c>
      <c r="J208" s="14">
        <f>+'A) Base RI'!G208+'A) Base RI'!H208</f>
        <v>364261.45</v>
      </c>
      <c r="K208" s="14">
        <f>+'A) Base RI'!I208</f>
        <v>69981.8</v>
      </c>
      <c r="L208" s="14">
        <f>+'A) Base RI'!J208</f>
        <v>-58110.6</v>
      </c>
      <c r="M208" s="14">
        <f>+'A) Base RI'!K208</f>
        <v>4459</v>
      </c>
      <c r="N208" s="14">
        <f>+'A) Base RI'!Q208</f>
        <v>4188.88</v>
      </c>
      <c r="O208" s="14">
        <f t="shared" si="19"/>
        <v>518813.26666666666</v>
      </c>
      <c r="P208" s="14">
        <f>+'A) Base RI'!L208</f>
        <v>778219.9</v>
      </c>
      <c r="Q208" s="42">
        <f>'A) Base RI'!Y208</f>
        <v>1.5</v>
      </c>
      <c r="R208" s="4">
        <f t="shared" si="20"/>
        <v>8639776.2666666657</v>
      </c>
      <c r="S208" s="41">
        <f>'A) Base RI'!T208</f>
        <v>61</v>
      </c>
      <c r="T208" s="4">
        <f t="shared" si="21"/>
        <v>8116503.9999999991</v>
      </c>
      <c r="U208" s="4">
        <f t="shared" si="22"/>
        <v>141635.67650273221</v>
      </c>
      <c r="V208" s="14">
        <f>+'A) Base RI'!O208</f>
        <v>19364.3</v>
      </c>
      <c r="W208" s="14">
        <f>+'A) Base RI'!P208</f>
        <v>237996</v>
      </c>
      <c r="X208" s="14">
        <f>+'A) Base RI'!R208</f>
        <v>158764.79999999999</v>
      </c>
      <c r="Y208" s="4">
        <f t="shared" si="23"/>
        <v>416125.1</v>
      </c>
      <c r="Z208" s="14">
        <f>+'A) Base RI'!N208</f>
        <v>16008.55</v>
      </c>
      <c r="AA208" s="14">
        <f>'A) Base RI'!U208</f>
        <v>1430</v>
      </c>
    </row>
    <row r="209" spans="1:27" x14ac:dyDescent="0.25">
      <c r="A209" s="12">
        <f>'A) Base RI'!A209</f>
        <v>5730</v>
      </c>
      <c r="B209" s="40" t="str">
        <f>'A) Base RI'!B209</f>
        <v>Trélex</v>
      </c>
      <c r="C209" s="14">
        <f>'A) Base RI'!C209+'A) Base RI'!D209</f>
        <v>6572563.4100000001</v>
      </c>
      <c r="D209" s="14">
        <f>'A) Base RI'!V209</f>
        <v>-6144.12</v>
      </c>
      <c r="E209" s="39">
        <f>'A) Base RI'!W209</f>
        <v>0</v>
      </c>
      <c r="F209" s="39">
        <f>'A) Base RI'!X209</f>
        <v>-4374.75</v>
      </c>
      <c r="G209" s="4">
        <f t="shared" si="18"/>
        <v>6562044.54</v>
      </c>
      <c r="H209" s="14">
        <f>+'A) Base RI'!E209</f>
        <v>0</v>
      </c>
      <c r="I209" s="14">
        <f>+'A) Base RI'!F209</f>
        <v>0</v>
      </c>
      <c r="J209" s="14">
        <f>+'A) Base RI'!G209+'A) Base RI'!H209</f>
        <v>57299.799999999996</v>
      </c>
      <c r="K209" s="14">
        <f>+'A) Base RI'!I209</f>
        <v>29655.599999999999</v>
      </c>
      <c r="L209" s="14">
        <f>+'A) Base RI'!J209</f>
        <v>24458.48</v>
      </c>
      <c r="M209" s="14">
        <f>+'A) Base RI'!K209</f>
        <v>3981</v>
      </c>
      <c r="N209" s="14">
        <f>+'A) Base RI'!Q209</f>
        <v>3392.65</v>
      </c>
      <c r="O209" s="14">
        <f t="shared" si="19"/>
        <v>453708.88888888888</v>
      </c>
      <c r="P209" s="14">
        <f>+'A) Base RI'!L209</f>
        <v>408338</v>
      </c>
      <c r="Q209" s="42">
        <f>'A) Base RI'!Y209</f>
        <v>0.9</v>
      </c>
      <c r="R209" s="4">
        <f t="shared" si="20"/>
        <v>7134540.9588888893</v>
      </c>
      <c r="S209" s="41">
        <f>'A) Base RI'!T209</f>
        <v>57</v>
      </c>
      <c r="T209" s="4">
        <f t="shared" si="21"/>
        <v>6676851.0700000003</v>
      </c>
      <c r="U209" s="4">
        <f t="shared" si="22"/>
        <v>125167.38524366473</v>
      </c>
      <c r="V209" s="14">
        <f>+'A) Base RI'!O209</f>
        <v>26536.400000000001</v>
      </c>
      <c r="W209" s="14">
        <f>+'A) Base RI'!P209</f>
        <v>193358.5</v>
      </c>
      <c r="X209" s="14">
        <f>+'A) Base RI'!R209</f>
        <v>115088.05</v>
      </c>
      <c r="Y209" s="4">
        <f t="shared" si="23"/>
        <v>334982.95</v>
      </c>
      <c r="Z209" s="14">
        <f>+'A) Base RI'!N209</f>
        <v>8092.75</v>
      </c>
      <c r="AA209" s="14">
        <f>'A) Base RI'!U209</f>
        <v>1414</v>
      </c>
    </row>
    <row r="210" spans="1:27" x14ac:dyDescent="0.25">
      <c r="A210" s="12">
        <f>'A) Base RI'!A210</f>
        <v>5731</v>
      </c>
      <c r="B210" s="40" t="str">
        <f>'A) Base RI'!B210</f>
        <v>Le Vaud</v>
      </c>
      <c r="C210" s="14">
        <f>'A) Base RI'!C210+'A) Base RI'!D210</f>
        <v>3330630.75</v>
      </c>
      <c r="D210" s="14">
        <f>'A) Base RI'!V210</f>
        <v>-30975.64</v>
      </c>
      <c r="E210" s="39">
        <f>'A) Base RI'!W210</f>
        <v>0</v>
      </c>
      <c r="F210" s="39">
        <f>'A) Base RI'!X210</f>
        <v>-101.62</v>
      </c>
      <c r="G210" s="4">
        <f t="shared" si="18"/>
        <v>3299553.4899999998</v>
      </c>
      <c r="H210" s="14">
        <f>+'A) Base RI'!E210</f>
        <v>0</v>
      </c>
      <c r="I210" s="14">
        <f>+'A) Base RI'!F210</f>
        <v>0</v>
      </c>
      <c r="J210" s="14">
        <f>+'A) Base RI'!G210+'A) Base RI'!H210</f>
        <v>24930.65</v>
      </c>
      <c r="K210" s="14">
        <f>+'A) Base RI'!I210</f>
        <v>-72618.7</v>
      </c>
      <c r="L210" s="14">
        <f>+'A) Base RI'!J210</f>
        <v>25184.13</v>
      </c>
      <c r="M210" s="14">
        <f>+'A) Base RI'!K210</f>
        <v>4294.5</v>
      </c>
      <c r="N210" s="14">
        <f>+'A) Base RI'!Q210</f>
        <v>27489.59</v>
      </c>
      <c r="O210" s="14">
        <f t="shared" si="19"/>
        <v>236189.4</v>
      </c>
      <c r="P210" s="14">
        <f>+'A) Base RI'!L210</f>
        <v>354284.1</v>
      </c>
      <c r="Q210" s="42">
        <f>'A) Base RI'!Y210</f>
        <v>1.5</v>
      </c>
      <c r="R210" s="4">
        <f t="shared" si="20"/>
        <v>3545023.0599999991</v>
      </c>
      <c r="S210" s="41">
        <f>'A) Base RI'!T210</f>
        <v>75</v>
      </c>
      <c r="T210" s="4">
        <f t="shared" si="21"/>
        <v>3304539.1599999992</v>
      </c>
      <c r="U210" s="4">
        <f t="shared" si="22"/>
        <v>47266.974133333322</v>
      </c>
      <c r="V210" s="14">
        <f>+'A) Base RI'!O210</f>
        <v>0</v>
      </c>
      <c r="W210" s="14">
        <f>+'A) Base RI'!P210</f>
        <v>166043.1</v>
      </c>
      <c r="X210" s="14">
        <f>+'A) Base RI'!R210</f>
        <v>99206.7</v>
      </c>
      <c r="Y210" s="4">
        <f t="shared" si="23"/>
        <v>265249.8</v>
      </c>
      <c r="Z210" s="14">
        <f>+'A) Base RI'!N210</f>
        <v>24199.599999999999</v>
      </c>
      <c r="AA210" s="14">
        <f>'A) Base RI'!U210</f>
        <v>1260</v>
      </c>
    </row>
    <row r="211" spans="1:27" x14ac:dyDescent="0.25">
      <c r="A211" s="12">
        <f>'A) Base RI'!A211</f>
        <v>5732</v>
      </c>
      <c r="B211" s="40" t="str">
        <f>'A) Base RI'!B211</f>
        <v>Vich</v>
      </c>
      <c r="C211" s="14">
        <f>'A) Base RI'!C211+'A) Base RI'!D211</f>
        <v>3735847.92</v>
      </c>
      <c r="D211" s="14">
        <f>'A) Base RI'!V211</f>
        <v>-31183.13</v>
      </c>
      <c r="E211" s="39">
        <f>'A) Base RI'!W211</f>
        <v>0</v>
      </c>
      <c r="F211" s="39">
        <f>'A) Base RI'!X211</f>
        <v>-962.84</v>
      </c>
      <c r="G211" s="4">
        <f t="shared" si="18"/>
        <v>3703701.95</v>
      </c>
      <c r="H211" s="14">
        <f>+'A) Base RI'!E211</f>
        <v>0</v>
      </c>
      <c r="I211" s="14">
        <f>+'A) Base RI'!F211</f>
        <v>0</v>
      </c>
      <c r="J211" s="14">
        <f>+'A) Base RI'!G211+'A) Base RI'!H211</f>
        <v>1174768.8500000001</v>
      </c>
      <c r="K211" s="14">
        <f>+'A) Base RI'!I211</f>
        <v>43199.25</v>
      </c>
      <c r="L211" s="14">
        <f>+'A) Base RI'!J211</f>
        <v>71077.39</v>
      </c>
      <c r="M211" s="14">
        <f>+'A) Base RI'!K211</f>
        <v>-61349.5</v>
      </c>
      <c r="N211" s="14">
        <f>+'A) Base RI'!Q211</f>
        <v>2145</v>
      </c>
      <c r="O211" s="14">
        <f t="shared" si="19"/>
        <v>257836.7</v>
      </c>
      <c r="P211" s="14">
        <f>+'A) Base RI'!L211</f>
        <v>257836.7</v>
      </c>
      <c r="Q211" s="42">
        <f>'A) Base RI'!Y211</f>
        <v>1</v>
      </c>
      <c r="R211" s="4">
        <f t="shared" si="20"/>
        <v>5191379.6400000006</v>
      </c>
      <c r="S211" s="41">
        <f>'A) Base RI'!T211</f>
        <v>68</v>
      </c>
      <c r="T211" s="4">
        <f t="shared" si="21"/>
        <v>4994892.4400000004</v>
      </c>
      <c r="U211" s="4">
        <f t="shared" si="22"/>
        <v>76343.818235294122</v>
      </c>
      <c r="V211" s="14">
        <f>+'A) Base RI'!O211</f>
        <v>0</v>
      </c>
      <c r="W211" s="14">
        <f>+'A) Base RI'!P211</f>
        <v>268211.55</v>
      </c>
      <c r="X211" s="14">
        <f>+'A) Base RI'!R211</f>
        <v>25058.25</v>
      </c>
      <c r="Y211" s="4">
        <f t="shared" si="23"/>
        <v>293269.8</v>
      </c>
      <c r="Z211" s="14">
        <f>+'A) Base RI'!N211</f>
        <v>95066.75</v>
      </c>
      <c r="AA211" s="14">
        <f>'A) Base RI'!U211</f>
        <v>958</v>
      </c>
    </row>
    <row r="212" spans="1:27" x14ac:dyDescent="0.25">
      <c r="A212" s="12">
        <f>'A) Base RI'!A212</f>
        <v>5741</v>
      </c>
      <c r="B212" s="40" t="str">
        <f>'A) Base RI'!B212</f>
        <v>L'Abergement</v>
      </c>
      <c r="C212" s="14">
        <f>'A) Base RI'!C212+'A) Base RI'!D212</f>
        <v>492651.91000000003</v>
      </c>
      <c r="D212" s="14">
        <f>'A) Base RI'!V212</f>
        <v>-15135.89</v>
      </c>
      <c r="E212" s="39">
        <f>'A) Base RI'!W212</f>
        <v>0</v>
      </c>
      <c r="F212" s="39">
        <f>'A) Base RI'!X212</f>
        <v>-6.14</v>
      </c>
      <c r="G212" s="4">
        <f t="shared" si="18"/>
        <v>477509.88</v>
      </c>
      <c r="H212" s="14">
        <f>+'A) Base RI'!E212</f>
        <v>0</v>
      </c>
      <c r="I212" s="14">
        <f>+'A) Base RI'!F212</f>
        <v>1380</v>
      </c>
      <c r="J212" s="14">
        <f>+'A) Base RI'!G212+'A) Base RI'!H212</f>
        <v>8701.65</v>
      </c>
      <c r="K212" s="14">
        <f>+'A) Base RI'!I212</f>
        <v>0</v>
      </c>
      <c r="L212" s="14">
        <f>+'A) Base RI'!J212</f>
        <v>2142.16</v>
      </c>
      <c r="M212" s="14">
        <f>+'A) Base RI'!K212</f>
        <v>0</v>
      </c>
      <c r="N212" s="14">
        <f>+'A) Base RI'!Q212</f>
        <v>0</v>
      </c>
      <c r="O212" s="14">
        <f t="shared" si="19"/>
        <v>34691.541666666664</v>
      </c>
      <c r="P212" s="14">
        <f>+'A) Base RI'!L212</f>
        <v>41629.85</v>
      </c>
      <c r="Q212" s="42">
        <f>'A) Base RI'!Y212</f>
        <v>1.2</v>
      </c>
      <c r="R212" s="4">
        <f t="shared" si="20"/>
        <v>524425.23166666669</v>
      </c>
      <c r="S212" s="41">
        <f>'A) Base RI'!T212</f>
        <v>81</v>
      </c>
      <c r="T212" s="4">
        <f t="shared" si="21"/>
        <v>488353.69</v>
      </c>
      <c r="U212" s="4">
        <f t="shared" si="22"/>
        <v>6474.3855761316872</v>
      </c>
      <c r="V212" s="14">
        <f>+'A) Base RI'!O212</f>
        <v>9.6999999999999993</v>
      </c>
      <c r="W212" s="14">
        <f>+'A) Base RI'!P212</f>
        <v>20108</v>
      </c>
      <c r="X212" s="14">
        <f>+'A) Base RI'!R212</f>
        <v>12618.6</v>
      </c>
      <c r="Y212" s="4">
        <f t="shared" si="23"/>
        <v>32736.300000000003</v>
      </c>
      <c r="Z212" s="14">
        <f>+'A) Base RI'!N212</f>
        <v>10260.85</v>
      </c>
      <c r="AA212" s="14">
        <f>'A) Base RI'!U212</f>
        <v>240</v>
      </c>
    </row>
    <row r="213" spans="1:27" x14ac:dyDescent="0.25">
      <c r="A213" s="12">
        <f>'A) Base RI'!A213</f>
        <v>5742</v>
      </c>
      <c r="B213" s="40" t="str">
        <f>'A) Base RI'!B213</f>
        <v>Agiez</v>
      </c>
      <c r="C213" s="14">
        <f>'A) Base RI'!C213+'A) Base RI'!D213</f>
        <v>596890.1</v>
      </c>
      <c r="D213" s="14">
        <f>'A) Base RI'!V213</f>
        <v>-3484.55</v>
      </c>
      <c r="E213" s="39">
        <f>'A) Base RI'!W213</f>
        <v>0</v>
      </c>
      <c r="F213" s="39">
        <f>'A) Base RI'!X213</f>
        <v>-6.86</v>
      </c>
      <c r="G213" s="4">
        <f t="shared" si="18"/>
        <v>593398.68999999994</v>
      </c>
      <c r="H213" s="14">
        <f>+'A) Base RI'!E213</f>
        <v>0</v>
      </c>
      <c r="I213" s="14">
        <f>+'A) Base RI'!F213</f>
        <v>0</v>
      </c>
      <c r="J213" s="14">
        <f>+'A) Base RI'!G213+'A) Base RI'!H213</f>
        <v>10464</v>
      </c>
      <c r="K213" s="14">
        <f>+'A) Base RI'!I213</f>
        <v>0</v>
      </c>
      <c r="L213" s="14">
        <f>+'A) Base RI'!J213</f>
        <v>-12609.61</v>
      </c>
      <c r="M213" s="14">
        <f>+'A) Base RI'!K213</f>
        <v>798</v>
      </c>
      <c r="N213" s="14">
        <f>+'A) Base RI'!Q213</f>
        <v>0</v>
      </c>
      <c r="O213" s="14">
        <f t="shared" si="19"/>
        <v>46806.6</v>
      </c>
      <c r="P213" s="14">
        <f>+'A) Base RI'!L213</f>
        <v>23403.3</v>
      </c>
      <c r="Q213" s="42">
        <f>'A) Base RI'!Y213</f>
        <v>0.5</v>
      </c>
      <c r="R213" s="4">
        <f t="shared" si="20"/>
        <v>638857.67999999993</v>
      </c>
      <c r="S213" s="41">
        <f>'A) Base RI'!T213</f>
        <v>76</v>
      </c>
      <c r="T213" s="4">
        <f t="shared" si="21"/>
        <v>591253.07999999996</v>
      </c>
      <c r="U213" s="4">
        <f t="shared" si="22"/>
        <v>8406.0221052631568</v>
      </c>
      <c r="V213" s="14">
        <f>+'A) Base RI'!O213</f>
        <v>9503.4</v>
      </c>
      <c r="W213" s="14">
        <f>+'A) Base RI'!P213</f>
        <v>40601.550000000003</v>
      </c>
      <c r="X213" s="14">
        <f>+'A) Base RI'!R213</f>
        <v>46148.800000000003</v>
      </c>
      <c r="Y213" s="4">
        <f t="shared" si="23"/>
        <v>96253.75</v>
      </c>
      <c r="Z213" s="14">
        <f>+'A) Base RI'!N213</f>
        <v>0</v>
      </c>
      <c r="AA213" s="14">
        <f>'A) Base RI'!U213</f>
        <v>293</v>
      </c>
    </row>
    <row r="214" spans="1:27" x14ac:dyDescent="0.25">
      <c r="A214" s="12">
        <f>'A) Base RI'!A214</f>
        <v>5743</v>
      </c>
      <c r="B214" s="40" t="str">
        <f>'A) Base RI'!B214</f>
        <v>Arnex-sur-Orbe</v>
      </c>
      <c r="C214" s="14">
        <f>'A) Base RI'!C214+'A) Base RI'!D214</f>
        <v>1067630.28</v>
      </c>
      <c r="D214" s="14">
        <f>'A) Base RI'!V214</f>
        <v>-6633.2</v>
      </c>
      <c r="E214" s="39">
        <f>'A) Base RI'!W214</f>
        <v>0</v>
      </c>
      <c r="F214" s="39">
        <f>'A) Base RI'!X214</f>
        <v>-136.16</v>
      </c>
      <c r="G214" s="4">
        <f t="shared" si="18"/>
        <v>1060860.9200000002</v>
      </c>
      <c r="H214" s="14">
        <f>+'A) Base RI'!E214</f>
        <v>0</v>
      </c>
      <c r="I214" s="14">
        <f>+'A) Base RI'!F214</f>
        <v>3390</v>
      </c>
      <c r="J214" s="14">
        <f>+'A) Base RI'!G214+'A) Base RI'!H214</f>
        <v>14369.550000000001</v>
      </c>
      <c r="K214" s="14">
        <f>+'A) Base RI'!I214</f>
        <v>0</v>
      </c>
      <c r="L214" s="14">
        <f>+'A) Base RI'!J214</f>
        <v>24998.799999999999</v>
      </c>
      <c r="M214" s="14">
        <f>+'A) Base RI'!K214</f>
        <v>0</v>
      </c>
      <c r="N214" s="14">
        <f>+'A) Base RI'!Q214</f>
        <v>2167.3000000000002</v>
      </c>
      <c r="O214" s="14">
        <f t="shared" si="19"/>
        <v>73697.124999999985</v>
      </c>
      <c r="P214" s="14">
        <f>+'A) Base RI'!L214</f>
        <v>58957.7</v>
      </c>
      <c r="Q214" s="42">
        <f>'A) Base RI'!Y214</f>
        <v>0.8</v>
      </c>
      <c r="R214" s="4">
        <f t="shared" si="20"/>
        <v>1179483.6950000003</v>
      </c>
      <c r="S214" s="41">
        <f>'A) Base RI'!T214</f>
        <v>73</v>
      </c>
      <c r="T214" s="4">
        <f t="shared" si="21"/>
        <v>1102396.5700000003</v>
      </c>
      <c r="U214" s="4">
        <f t="shared" si="22"/>
        <v>16157.310890410963</v>
      </c>
      <c r="V214" s="14">
        <f>+'A) Base RI'!O214</f>
        <v>13738.9</v>
      </c>
      <c r="W214" s="14">
        <f>+'A) Base RI'!P214</f>
        <v>6716.6</v>
      </c>
      <c r="X214" s="14">
        <f>+'A) Base RI'!R214</f>
        <v>8504.6</v>
      </c>
      <c r="Y214" s="4">
        <f t="shared" si="23"/>
        <v>28960.1</v>
      </c>
      <c r="Z214" s="14">
        <f>+'A) Base RI'!N214</f>
        <v>27032.1</v>
      </c>
      <c r="AA214" s="14">
        <f>'A) Base RI'!U214</f>
        <v>632</v>
      </c>
    </row>
    <row r="215" spans="1:27" x14ac:dyDescent="0.25">
      <c r="A215" s="12">
        <f>'A) Base RI'!A215</f>
        <v>5744</v>
      </c>
      <c r="B215" s="40" t="str">
        <f>'A) Base RI'!B215</f>
        <v>Ballaigues</v>
      </c>
      <c r="C215" s="14">
        <f>'A) Base RI'!C215+'A) Base RI'!D215</f>
        <v>1469019.29</v>
      </c>
      <c r="D215" s="14">
        <f>'A) Base RI'!V215</f>
        <v>-38314.26</v>
      </c>
      <c r="E215" s="39">
        <f>'A) Base RI'!W215</f>
        <v>0</v>
      </c>
      <c r="F215" s="39">
        <f>'A) Base RI'!X215</f>
        <v>-1014.44</v>
      </c>
      <c r="G215" s="4">
        <f t="shared" si="18"/>
        <v>1429690.59</v>
      </c>
      <c r="H215" s="14">
        <f>+'A) Base RI'!E215</f>
        <v>0</v>
      </c>
      <c r="I215" s="14">
        <f>+'A) Base RI'!F215</f>
        <v>6090</v>
      </c>
      <c r="J215" s="14">
        <f>+'A) Base RI'!G215+'A) Base RI'!H215</f>
        <v>2822003.65</v>
      </c>
      <c r="K215" s="14">
        <f>+'A) Base RI'!I215</f>
        <v>0</v>
      </c>
      <c r="L215" s="14">
        <f>+'A) Base RI'!J215</f>
        <v>66215.399999999994</v>
      </c>
      <c r="M215" s="14">
        <f>+'A) Base RI'!K215</f>
        <v>0</v>
      </c>
      <c r="N215" s="14">
        <f>+'A) Base RI'!Q215</f>
        <v>4375.12</v>
      </c>
      <c r="O215" s="14">
        <f t="shared" si="19"/>
        <v>151494.04999999999</v>
      </c>
      <c r="P215" s="14">
        <f>+'A) Base RI'!L215</f>
        <v>151494.04999999999</v>
      </c>
      <c r="Q215" s="42">
        <f>'A) Base RI'!Y215</f>
        <v>1</v>
      </c>
      <c r="R215" s="4">
        <f t="shared" si="20"/>
        <v>4479868.8100000005</v>
      </c>
      <c r="S215" s="41">
        <f>'A) Base RI'!T215</f>
        <v>66</v>
      </c>
      <c r="T215" s="4">
        <f t="shared" si="21"/>
        <v>4322284.7600000007</v>
      </c>
      <c r="U215" s="4">
        <f t="shared" si="22"/>
        <v>67876.800151515155</v>
      </c>
      <c r="V215" s="14">
        <f>+'A) Base RI'!O215</f>
        <v>31511.200000000001</v>
      </c>
      <c r="W215" s="14">
        <f>+'A) Base RI'!P215</f>
        <v>68458.149999999994</v>
      </c>
      <c r="X215" s="14">
        <f>+'A) Base RI'!R215</f>
        <v>14109.55</v>
      </c>
      <c r="Y215" s="4">
        <f t="shared" si="23"/>
        <v>114078.9</v>
      </c>
      <c r="Z215" s="14">
        <f>+'A) Base RI'!N215</f>
        <v>1408983.5</v>
      </c>
      <c r="AA215" s="14">
        <f>'A) Base RI'!U215</f>
        <v>1101</v>
      </c>
    </row>
    <row r="216" spans="1:27" x14ac:dyDescent="0.25">
      <c r="A216" s="12">
        <f>'A) Base RI'!A216</f>
        <v>5745</v>
      </c>
      <c r="B216" s="40" t="str">
        <f>'A) Base RI'!B216</f>
        <v>Baulmes</v>
      </c>
      <c r="C216" s="14">
        <f>'A) Base RI'!C216+'A) Base RI'!D216</f>
        <v>1835117.76</v>
      </c>
      <c r="D216" s="14">
        <f>'A) Base RI'!V216</f>
        <v>-36740.32</v>
      </c>
      <c r="E216" s="39">
        <f>'A) Base RI'!W216</f>
        <v>0</v>
      </c>
      <c r="F216" s="39">
        <f>'A) Base RI'!X216</f>
        <v>-142.66</v>
      </c>
      <c r="G216" s="4">
        <f t="shared" si="18"/>
        <v>1798234.78</v>
      </c>
      <c r="H216" s="14">
        <f>+'A) Base RI'!E216</f>
        <v>0</v>
      </c>
      <c r="I216" s="14">
        <f>+'A) Base RI'!F216</f>
        <v>0</v>
      </c>
      <c r="J216" s="14">
        <f>+'A) Base RI'!G216+'A) Base RI'!H216</f>
        <v>138438.04999999999</v>
      </c>
      <c r="K216" s="14">
        <f>+'A) Base RI'!I216</f>
        <v>0</v>
      </c>
      <c r="L216" s="14">
        <f>+'A) Base RI'!J216</f>
        <v>22501.74</v>
      </c>
      <c r="M216" s="14">
        <f>+'A) Base RI'!K216</f>
        <v>0</v>
      </c>
      <c r="N216" s="14">
        <f>+'A) Base RI'!Q216</f>
        <v>2239.1799999999998</v>
      </c>
      <c r="O216" s="14">
        <f t="shared" si="19"/>
        <v>121829.3</v>
      </c>
      <c r="P216" s="14">
        <f>+'A) Base RI'!L216</f>
        <v>121829.3</v>
      </c>
      <c r="Q216" s="42">
        <f>'A) Base RI'!Y216</f>
        <v>1</v>
      </c>
      <c r="R216" s="4">
        <f t="shared" si="20"/>
        <v>2083243.05</v>
      </c>
      <c r="S216" s="41">
        <f>'A) Base RI'!T216</f>
        <v>78</v>
      </c>
      <c r="T216" s="4">
        <f t="shared" si="21"/>
        <v>1961413.75</v>
      </c>
      <c r="U216" s="4">
        <f t="shared" si="22"/>
        <v>26708.244230769233</v>
      </c>
      <c r="V216" s="14">
        <f>+'A) Base RI'!O216</f>
        <v>0</v>
      </c>
      <c r="W216" s="14">
        <f>+'A) Base RI'!P216</f>
        <v>22160.6</v>
      </c>
      <c r="X216" s="14">
        <f>+'A) Base RI'!R216</f>
        <v>35042.15</v>
      </c>
      <c r="Y216" s="4">
        <f t="shared" si="23"/>
        <v>57202.75</v>
      </c>
      <c r="Z216" s="14">
        <f>+'A) Base RI'!N216</f>
        <v>182094.5</v>
      </c>
      <c r="AA216" s="14">
        <f>'A) Base RI'!U216</f>
        <v>1055</v>
      </c>
    </row>
    <row r="217" spans="1:27" x14ac:dyDescent="0.25">
      <c r="A217" s="12">
        <f>'A) Base RI'!A217</f>
        <v>5746</v>
      </c>
      <c r="B217" s="40" t="str">
        <f>'A) Base RI'!B217</f>
        <v>Bavois</v>
      </c>
      <c r="C217" s="14">
        <f>'A) Base RI'!C217+'A) Base RI'!D217</f>
        <v>1684849.86</v>
      </c>
      <c r="D217" s="14">
        <f>'A) Base RI'!V217</f>
        <v>-19866.03</v>
      </c>
      <c r="E217" s="39">
        <f>'A) Base RI'!W217</f>
        <v>0</v>
      </c>
      <c r="F217" s="39">
        <f>'A) Base RI'!X217</f>
        <v>-68.55</v>
      </c>
      <c r="G217" s="4">
        <f t="shared" si="18"/>
        <v>1664915.28</v>
      </c>
      <c r="H217" s="14">
        <f>+'A) Base RI'!E217</f>
        <v>0</v>
      </c>
      <c r="I217" s="14">
        <f>+'A) Base RI'!F217</f>
        <v>0</v>
      </c>
      <c r="J217" s="14">
        <f>+'A) Base RI'!G217+'A) Base RI'!H217</f>
        <v>66282.3</v>
      </c>
      <c r="K217" s="14">
        <f>+'A) Base RI'!I217</f>
        <v>0</v>
      </c>
      <c r="L217" s="14">
        <f>+'A) Base RI'!J217</f>
        <v>50615.91</v>
      </c>
      <c r="M217" s="14">
        <f>+'A) Base RI'!K217</f>
        <v>0</v>
      </c>
      <c r="N217" s="14">
        <f>+'A) Base RI'!Q217</f>
        <v>0</v>
      </c>
      <c r="O217" s="14">
        <f t="shared" si="19"/>
        <v>158215.16666666669</v>
      </c>
      <c r="P217" s="14">
        <f>+'A) Base RI'!L217</f>
        <v>189858.2</v>
      </c>
      <c r="Q217" s="42">
        <f>'A) Base RI'!Y217</f>
        <v>1.2</v>
      </c>
      <c r="R217" s="4">
        <f t="shared" si="20"/>
        <v>1940028.6566666667</v>
      </c>
      <c r="S217" s="41">
        <f>'A) Base RI'!T217</f>
        <v>73</v>
      </c>
      <c r="T217" s="4">
        <f t="shared" si="21"/>
        <v>1781813.49</v>
      </c>
      <c r="U217" s="4">
        <f t="shared" si="22"/>
        <v>26575.73502283105</v>
      </c>
      <c r="V217" s="14">
        <f>+'A) Base RI'!O217</f>
        <v>927.1</v>
      </c>
      <c r="W217" s="14">
        <f>+'A) Base RI'!P217</f>
        <v>71792.399999999994</v>
      </c>
      <c r="X217" s="14">
        <f>+'A) Base RI'!R217</f>
        <v>29029.7</v>
      </c>
      <c r="Y217" s="4">
        <f t="shared" si="23"/>
        <v>101749.2</v>
      </c>
      <c r="Z217" s="14">
        <f>+'A) Base RI'!N217</f>
        <v>20529.7</v>
      </c>
      <c r="AA217" s="14">
        <f>'A) Base RI'!U217</f>
        <v>939</v>
      </c>
    </row>
    <row r="218" spans="1:27" x14ac:dyDescent="0.25">
      <c r="A218" s="12">
        <f>'A) Base RI'!A218</f>
        <v>5747</v>
      </c>
      <c r="B218" s="40" t="str">
        <f>'A) Base RI'!B218</f>
        <v>Bofflens</v>
      </c>
      <c r="C218" s="14">
        <f>'A) Base RI'!C218+'A) Base RI'!D218</f>
        <v>316357.11</v>
      </c>
      <c r="D218" s="14">
        <f>'A) Base RI'!V218</f>
        <v>-635.38</v>
      </c>
      <c r="E218" s="39">
        <f>'A) Base RI'!W218</f>
        <v>0</v>
      </c>
      <c r="F218" s="39">
        <f>'A) Base RI'!X218</f>
        <v>-0.04</v>
      </c>
      <c r="G218" s="4">
        <f t="shared" si="18"/>
        <v>315721.69</v>
      </c>
      <c r="H218" s="14">
        <f>+'A) Base RI'!E218</f>
        <v>0</v>
      </c>
      <c r="I218" s="14">
        <f>+'A) Base RI'!F218</f>
        <v>0</v>
      </c>
      <c r="J218" s="14">
        <f>+'A) Base RI'!G218+'A) Base RI'!H218</f>
        <v>22814.600000000002</v>
      </c>
      <c r="K218" s="14">
        <f>+'A) Base RI'!I218</f>
        <v>0</v>
      </c>
      <c r="L218" s="14">
        <f>+'A) Base RI'!J218</f>
        <v>1635.94</v>
      </c>
      <c r="M218" s="14">
        <f>+'A) Base RI'!K218</f>
        <v>0</v>
      </c>
      <c r="N218" s="14">
        <f>+'A) Base RI'!Q218</f>
        <v>0</v>
      </c>
      <c r="O218" s="14">
        <f t="shared" si="19"/>
        <v>26067.7</v>
      </c>
      <c r="P218" s="14">
        <f>+'A) Base RI'!L218</f>
        <v>26067.7</v>
      </c>
      <c r="Q218" s="42">
        <f>'A) Base RI'!Y218</f>
        <v>1</v>
      </c>
      <c r="R218" s="4">
        <f t="shared" si="20"/>
        <v>366239.93</v>
      </c>
      <c r="S218" s="41">
        <f>'A) Base RI'!T218</f>
        <v>69</v>
      </c>
      <c r="T218" s="4">
        <f t="shared" si="21"/>
        <v>340172.23</v>
      </c>
      <c r="U218" s="4">
        <f t="shared" si="22"/>
        <v>5307.8250724637683</v>
      </c>
      <c r="V218" s="14">
        <f>+'A) Base RI'!O218</f>
        <v>0</v>
      </c>
      <c r="W218" s="14">
        <f>+'A) Base RI'!P218</f>
        <v>8489.75</v>
      </c>
      <c r="X218" s="14">
        <f>+'A) Base RI'!R218</f>
        <v>6374.9</v>
      </c>
      <c r="Y218" s="4">
        <f t="shared" si="23"/>
        <v>14864.65</v>
      </c>
      <c r="Z218" s="14">
        <f>+'A) Base RI'!N218</f>
        <v>0</v>
      </c>
      <c r="AA218" s="14">
        <f>'A) Base RI'!U218</f>
        <v>188</v>
      </c>
    </row>
    <row r="219" spans="1:27" x14ac:dyDescent="0.25">
      <c r="A219" s="12">
        <f>'A) Base RI'!A219</f>
        <v>5748</v>
      </c>
      <c r="B219" s="40" t="str">
        <f>'A) Base RI'!B219</f>
        <v>Bretonnières</v>
      </c>
      <c r="C219" s="14">
        <f>'A) Base RI'!C219+'A) Base RI'!D219</f>
        <v>481372.86</v>
      </c>
      <c r="D219" s="14">
        <f>'A) Base RI'!V219</f>
        <v>-3782.01</v>
      </c>
      <c r="E219" s="39">
        <f>'A) Base RI'!W219</f>
        <v>0</v>
      </c>
      <c r="F219" s="39">
        <f>'A) Base RI'!X219</f>
        <v>0</v>
      </c>
      <c r="G219" s="4">
        <f t="shared" si="18"/>
        <v>477590.85</v>
      </c>
      <c r="H219" s="14">
        <f>+'A) Base RI'!E219</f>
        <v>0</v>
      </c>
      <c r="I219" s="14">
        <f>+'A) Base RI'!F219</f>
        <v>2140</v>
      </c>
      <c r="J219" s="14">
        <f>+'A) Base RI'!G219+'A) Base RI'!H219</f>
        <v>4435.1000000000004</v>
      </c>
      <c r="K219" s="14">
        <f>+'A) Base RI'!I219</f>
        <v>0</v>
      </c>
      <c r="L219" s="14">
        <f>+'A) Base RI'!J219</f>
        <v>6005.43</v>
      </c>
      <c r="M219" s="14">
        <f>+'A) Base RI'!K219</f>
        <v>0</v>
      </c>
      <c r="N219" s="14">
        <f>+'A) Base RI'!Q219</f>
        <v>0</v>
      </c>
      <c r="O219" s="14">
        <f t="shared" si="19"/>
        <v>32620</v>
      </c>
      <c r="P219" s="14">
        <f>+'A) Base RI'!L219</f>
        <v>19572</v>
      </c>
      <c r="Q219" s="42">
        <f>'A) Base RI'!Y219</f>
        <v>0.6</v>
      </c>
      <c r="R219" s="4">
        <f t="shared" si="20"/>
        <v>522791.37999999995</v>
      </c>
      <c r="S219" s="41">
        <f>'A) Base RI'!T219</f>
        <v>72</v>
      </c>
      <c r="T219" s="4">
        <f t="shared" si="21"/>
        <v>488031.37999999995</v>
      </c>
      <c r="U219" s="4">
        <f t="shared" si="22"/>
        <v>7260.9913888888877</v>
      </c>
      <c r="V219" s="14">
        <f>+'A) Base RI'!O219</f>
        <v>0</v>
      </c>
      <c r="W219" s="14">
        <f>+'A) Base RI'!P219</f>
        <v>33933.5</v>
      </c>
      <c r="X219" s="14">
        <f>+'A) Base RI'!R219</f>
        <v>15340.9</v>
      </c>
      <c r="Y219" s="4">
        <f t="shared" si="23"/>
        <v>49274.400000000001</v>
      </c>
      <c r="Z219" s="14">
        <f>+'A) Base RI'!N219</f>
        <v>7947.3</v>
      </c>
      <c r="AA219" s="14">
        <f>'A) Base RI'!U219</f>
        <v>258</v>
      </c>
    </row>
    <row r="220" spans="1:27" x14ac:dyDescent="0.25">
      <c r="A220" s="12">
        <f>'A) Base RI'!A220</f>
        <v>5749</v>
      </c>
      <c r="B220" s="40" t="str">
        <f>'A) Base RI'!B220</f>
        <v>Chavornay</v>
      </c>
      <c r="C220" s="14">
        <f>'A) Base RI'!C220+'A) Base RI'!D220</f>
        <v>8209418.2300000004</v>
      </c>
      <c r="D220" s="14">
        <f>'A) Base RI'!V220</f>
        <v>-206911</v>
      </c>
      <c r="E220" s="39">
        <f>'A) Base RI'!W220</f>
        <v>0</v>
      </c>
      <c r="F220" s="39">
        <f>'A) Base RI'!X220</f>
        <v>-562.86</v>
      </c>
      <c r="G220" s="4">
        <f t="shared" si="18"/>
        <v>8001944.3700000001</v>
      </c>
      <c r="H220" s="14">
        <f>+'A) Base RI'!E220</f>
        <v>74959.5</v>
      </c>
      <c r="I220" s="14">
        <f>+'A) Base RI'!F220</f>
        <v>0</v>
      </c>
      <c r="J220" s="14">
        <f>+'A) Base RI'!G220+'A) Base RI'!H220</f>
        <v>412213.2</v>
      </c>
      <c r="K220" s="14">
        <f>+'A) Base RI'!I220</f>
        <v>53462.9</v>
      </c>
      <c r="L220" s="14">
        <f>+'A) Base RI'!J220</f>
        <v>253975.25</v>
      </c>
      <c r="M220" s="14">
        <f>+'A) Base RI'!K220</f>
        <v>51608</v>
      </c>
      <c r="N220" s="14">
        <f>+'A) Base RI'!Q220</f>
        <v>43985.98</v>
      </c>
      <c r="O220" s="14">
        <f t="shared" si="19"/>
        <v>703939.15</v>
      </c>
      <c r="P220" s="14">
        <f>+'A) Base RI'!L220</f>
        <v>703939.15</v>
      </c>
      <c r="Q220" s="42">
        <f>'A) Base RI'!Y220</f>
        <v>1</v>
      </c>
      <c r="R220" s="4">
        <f t="shared" si="20"/>
        <v>9596088.3500000015</v>
      </c>
      <c r="S220" s="41">
        <f>'A) Base RI'!T220</f>
        <v>72.36</v>
      </c>
      <c r="T220" s="4">
        <f t="shared" si="21"/>
        <v>8840541.2000000011</v>
      </c>
      <c r="U220" s="4">
        <f t="shared" si="22"/>
        <v>132615.92523493644</v>
      </c>
      <c r="V220" s="14">
        <f>+'A) Base RI'!O220</f>
        <v>37559.300000000003</v>
      </c>
      <c r="W220" s="14">
        <f>+'A) Base RI'!P220</f>
        <v>441129.39999999997</v>
      </c>
      <c r="X220" s="14">
        <f>+'A) Base RI'!R220</f>
        <v>293759.40000000002</v>
      </c>
      <c r="Y220" s="4">
        <f t="shared" si="23"/>
        <v>772448.1</v>
      </c>
      <c r="Z220" s="14">
        <f>+'A) Base RI'!N220</f>
        <v>639903.55000000005</v>
      </c>
      <c r="AA220" s="14">
        <f>'A) Base RI'!U220</f>
        <v>4817</v>
      </c>
    </row>
    <row r="221" spans="1:27" x14ac:dyDescent="0.25">
      <c r="A221" s="12">
        <f>'A) Base RI'!A221</f>
        <v>5750</v>
      </c>
      <c r="B221" s="40" t="str">
        <f>'A) Base RI'!B221</f>
        <v>Les Clées</v>
      </c>
      <c r="C221" s="14">
        <f>'A) Base RI'!C221+'A) Base RI'!D221</f>
        <v>365298.31</v>
      </c>
      <c r="D221" s="14">
        <f>'A) Base RI'!V221</f>
        <v>-8266.9500000000007</v>
      </c>
      <c r="E221" s="39">
        <f>'A) Base RI'!W221</f>
        <v>0</v>
      </c>
      <c r="F221" s="39">
        <f>'A) Base RI'!X221</f>
        <v>-120.03</v>
      </c>
      <c r="G221" s="4">
        <f t="shared" si="18"/>
        <v>356911.32999999996</v>
      </c>
      <c r="H221" s="14">
        <f>+'A) Base RI'!E221</f>
        <v>0</v>
      </c>
      <c r="I221" s="14">
        <f>+'A) Base RI'!F221</f>
        <v>1050</v>
      </c>
      <c r="J221" s="14">
        <f>+'A) Base RI'!G221+'A) Base RI'!H221</f>
        <v>2837.15</v>
      </c>
      <c r="K221" s="14">
        <f>+'A) Base RI'!I221</f>
        <v>0</v>
      </c>
      <c r="L221" s="14">
        <f>+'A) Base RI'!J221</f>
        <v>1599.76</v>
      </c>
      <c r="M221" s="14">
        <f>+'A) Base RI'!K221</f>
        <v>230.5</v>
      </c>
      <c r="N221" s="14">
        <f>+'A) Base RI'!Q221</f>
        <v>0</v>
      </c>
      <c r="O221" s="14">
        <f t="shared" si="19"/>
        <v>20577.083333333336</v>
      </c>
      <c r="P221" s="14">
        <f>+'A) Base RI'!L221</f>
        <v>12346.25</v>
      </c>
      <c r="Q221" s="42">
        <f>'A) Base RI'!Y221</f>
        <v>0.6</v>
      </c>
      <c r="R221" s="4">
        <f t="shared" si="20"/>
        <v>383205.8233333333</v>
      </c>
      <c r="S221" s="41">
        <f>'A) Base RI'!T221</f>
        <v>80</v>
      </c>
      <c r="T221" s="4">
        <f t="shared" si="21"/>
        <v>361348.24</v>
      </c>
      <c r="U221" s="4">
        <f t="shared" si="22"/>
        <v>4790.0727916666665</v>
      </c>
      <c r="V221" s="14">
        <f>+'A) Base RI'!O221</f>
        <v>0</v>
      </c>
      <c r="W221" s="14">
        <f>+'A) Base RI'!P221</f>
        <v>13860</v>
      </c>
      <c r="X221" s="14">
        <f>+'A) Base RI'!R221</f>
        <v>4044.3</v>
      </c>
      <c r="Y221" s="4">
        <f t="shared" si="23"/>
        <v>17904.3</v>
      </c>
      <c r="Z221" s="14">
        <f>+'A) Base RI'!N221</f>
        <v>7714.9</v>
      </c>
      <c r="AA221" s="14">
        <f>'A) Base RI'!U221</f>
        <v>176</v>
      </c>
    </row>
    <row r="222" spans="1:27" x14ac:dyDescent="0.25">
      <c r="A222" s="12">
        <f>'A) Base RI'!A222</f>
        <v>5752</v>
      </c>
      <c r="B222" s="40" t="str">
        <f>'A) Base RI'!B222</f>
        <v>Croy</v>
      </c>
      <c r="C222" s="14">
        <f>'A) Base RI'!C222+'A) Base RI'!D222</f>
        <v>626034</v>
      </c>
      <c r="D222" s="14">
        <f>'A) Base RI'!V222</f>
        <v>-2258.91</v>
      </c>
      <c r="E222" s="39">
        <f>'A) Base RI'!W222</f>
        <v>0</v>
      </c>
      <c r="F222" s="39">
        <f>'A) Base RI'!X222</f>
        <v>0</v>
      </c>
      <c r="G222" s="4">
        <f t="shared" si="18"/>
        <v>623775.09</v>
      </c>
      <c r="H222" s="14">
        <f>+'A) Base RI'!E222</f>
        <v>0</v>
      </c>
      <c r="I222" s="14">
        <f>+'A) Base RI'!F222</f>
        <v>0</v>
      </c>
      <c r="J222" s="14">
        <f>+'A) Base RI'!G222+'A) Base RI'!H222</f>
        <v>10074.75</v>
      </c>
      <c r="K222" s="14">
        <f>+'A) Base RI'!I222</f>
        <v>0</v>
      </c>
      <c r="L222" s="14">
        <f>+'A) Base RI'!J222</f>
        <v>3009.7</v>
      </c>
      <c r="M222" s="14">
        <f>+'A) Base RI'!K222</f>
        <v>725.7</v>
      </c>
      <c r="N222" s="14">
        <f>+'A) Base RI'!Q222</f>
        <v>647.57000000000005</v>
      </c>
      <c r="O222" s="14">
        <f t="shared" si="19"/>
        <v>43566.642857142862</v>
      </c>
      <c r="P222" s="14">
        <f>+'A) Base RI'!L222</f>
        <v>30496.65</v>
      </c>
      <c r="Q222" s="42">
        <f>'A) Base RI'!Y222</f>
        <v>0.7</v>
      </c>
      <c r="R222" s="4">
        <f t="shared" si="20"/>
        <v>681799.45285714266</v>
      </c>
      <c r="S222" s="41">
        <f>'A) Base RI'!T222</f>
        <v>74</v>
      </c>
      <c r="T222" s="4">
        <f t="shared" si="21"/>
        <v>637507.10999999987</v>
      </c>
      <c r="U222" s="4">
        <f t="shared" si="22"/>
        <v>9213.5061196911174</v>
      </c>
      <c r="V222" s="14">
        <f>+'A) Base RI'!O222</f>
        <v>2008.1</v>
      </c>
      <c r="W222" s="14">
        <f>+'A) Base RI'!P222</f>
        <v>15605.05</v>
      </c>
      <c r="X222" s="14">
        <f>+'A) Base RI'!R222</f>
        <v>20054.05</v>
      </c>
      <c r="Y222" s="4">
        <f t="shared" si="23"/>
        <v>37667.199999999997</v>
      </c>
      <c r="Z222" s="14">
        <f>+'A) Base RI'!N222</f>
        <v>14784.85</v>
      </c>
      <c r="AA222" s="14">
        <f>'A) Base RI'!U222</f>
        <v>344</v>
      </c>
    </row>
    <row r="223" spans="1:27" x14ac:dyDescent="0.25">
      <c r="A223" s="12">
        <f>'A) Base RI'!A223</f>
        <v>5754</v>
      </c>
      <c r="B223" s="40" t="str">
        <f>'A) Base RI'!B223</f>
        <v>Juriens</v>
      </c>
      <c r="C223" s="14">
        <f>'A) Base RI'!C223+'A) Base RI'!D223</f>
        <v>520701.98000000004</v>
      </c>
      <c r="D223" s="14">
        <f>'A) Base RI'!V223</f>
        <v>-15657.89</v>
      </c>
      <c r="E223" s="39">
        <f>'A) Base RI'!W223</f>
        <v>0</v>
      </c>
      <c r="F223" s="39">
        <f>'A) Base RI'!X223</f>
        <v>-29.4</v>
      </c>
      <c r="G223" s="4">
        <f t="shared" si="18"/>
        <v>505014.69</v>
      </c>
      <c r="H223" s="14">
        <f>+'A) Base RI'!E223</f>
        <v>0</v>
      </c>
      <c r="I223" s="14">
        <f>+'A) Base RI'!F223</f>
        <v>0</v>
      </c>
      <c r="J223" s="14">
        <f>+'A) Base RI'!G223+'A) Base RI'!H223</f>
        <v>-1083.75</v>
      </c>
      <c r="K223" s="14">
        <f>+'A) Base RI'!I223</f>
        <v>0</v>
      </c>
      <c r="L223" s="14">
        <f>+'A) Base RI'!J223</f>
        <v>27513.62</v>
      </c>
      <c r="M223" s="14">
        <f>+'A) Base RI'!K223</f>
        <v>931</v>
      </c>
      <c r="N223" s="14">
        <f>+'A) Base RI'!Q223</f>
        <v>0</v>
      </c>
      <c r="O223" s="14">
        <f t="shared" si="19"/>
        <v>36627.1</v>
      </c>
      <c r="P223" s="14">
        <f>+'A) Base RI'!L223</f>
        <v>36627.1</v>
      </c>
      <c r="Q223" s="42">
        <f>'A) Base RI'!Y223</f>
        <v>1</v>
      </c>
      <c r="R223" s="4">
        <f t="shared" si="20"/>
        <v>569002.66</v>
      </c>
      <c r="S223" s="41">
        <f>'A) Base RI'!T223</f>
        <v>79</v>
      </c>
      <c r="T223" s="4">
        <f t="shared" si="21"/>
        <v>531444.56000000006</v>
      </c>
      <c r="U223" s="4">
        <f t="shared" si="22"/>
        <v>7202.565316455697</v>
      </c>
      <c r="V223" s="14">
        <f>+'A) Base RI'!O223</f>
        <v>0</v>
      </c>
      <c r="W223" s="14">
        <f>+'A) Base RI'!P223</f>
        <v>11394.75</v>
      </c>
      <c r="X223" s="14">
        <f>+'A) Base RI'!R223</f>
        <v>18157</v>
      </c>
      <c r="Y223" s="4">
        <f t="shared" si="23"/>
        <v>29551.75</v>
      </c>
      <c r="Z223" s="14">
        <f>+'A) Base RI'!N223</f>
        <v>3752.9</v>
      </c>
      <c r="AA223" s="14">
        <f>'A) Base RI'!U223</f>
        <v>302</v>
      </c>
    </row>
    <row r="224" spans="1:27" x14ac:dyDescent="0.25">
      <c r="A224" s="12">
        <f>'A) Base RI'!A224</f>
        <v>5755</v>
      </c>
      <c r="B224" s="40" t="str">
        <f>'A) Base RI'!B224</f>
        <v>Lignerolle</v>
      </c>
      <c r="C224" s="14">
        <f>'A) Base RI'!C224+'A) Base RI'!D224</f>
        <v>680503.55</v>
      </c>
      <c r="D224" s="14">
        <f>'A) Base RI'!V224</f>
        <v>-10531.9</v>
      </c>
      <c r="E224" s="39">
        <f>'A) Base RI'!W224</f>
        <v>0</v>
      </c>
      <c r="F224" s="39">
        <f>'A) Base RI'!X224</f>
        <v>-0.15</v>
      </c>
      <c r="G224" s="4">
        <f t="shared" si="18"/>
        <v>669971.5</v>
      </c>
      <c r="H224" s="14">
        <f>+'A) Base RI'!E224</f>
        <v>0</v>
      </c>
      <c r="I224" s="14">
        <f>+'A) Base RI'!F224</f>
        <v>0</v>
      </c>
      <c r="J224" s="14">
        <f>+'A) Base RI'!G224+'A) Base RI'!H224</f>
        <v>20750.25</v>
      </c>
      <c r="K224" s="14">
        <f>+'A) Base RI'!I224</f>
        <v>-29898.3</v>
      </c>
      <c r="L224" s="14">
        <f>+'A) Base RI'!J224</f>
        <v>5492.47</v>
      </c>
      <c r="M224" s="14">
        <f>+'A) Base RI'!K224</f>
        <v>1039</v>
      </c>
      <c r="N224" s="14">
        <f>+'A) Base RI'!Q224</f>
        <v>11789.77</v>
      </c>
      <c r="O224" s="14">
        <f t="shared" si="19"/>
        <v>50151.142857142862</v>
      </c>
      <c r="P224" s="14">
        <f>+'A) Base RI'!L224</f>
        <v>35105.800000000003</v>
      </c>
      <c r="Q224" s="42">
        <f>'A) Base RI'!Y224</f>
        <v>0.7</v>
      </c>
      <c r="R224" s="4">
        <f t="shared" si="20"/>
        <v>729295.83285714278</v>
      </c>
      <c r="S224" s="41">
        <f>'A) Base RI'!T224</f>
        <v>80</v>
      </c>
      <c r="T224" s="4">
        <f t="shared" si="21"/>
        <v>678105.69</v>
      </c>
      <c r="U224" s="4">
        <f t="shared" si="22"/>
        <v>9116.1979107142852</v>
      </c>
      <c r="V224" s="14">
        <f>+'A) Base RI'!O224</f>
        <v>0</v>
      </c>
      <c r="W224" s="14">
        <f>+'A) Base RI'!P224</f>
        <v>45552.35</v>
      </c>
      <c r="X224" s="14">
        <f>+'A) Base RI'!R224</f>
        <v>19944.849999999999</v>
      </c>
      <c r="Y224" s="4">
        <f t="shared" si="23"/>
        <v>65497.2</v>
      </c>
      <c r="Z224" s="14">
        <f>+'A) Base RI'!N224</f>
        <v>22958.75</v>
      </c>
      <c r="AA224" s="14">
        <f>'A) Base RI'!U224</f>
        <v>405</v>
      </c>
    </row>
    <row r="225" spans="1:27" x14ac:dyDescent="0.25">
      <c r="A225" s="12">
        <f>'A) Base RI'!A225</f>
        <v>5756</v>
      </c>
      <c r="B225" s="40" t="str">
        <f>'A) Base RI'!B225</f>
        <v>Montcherand</v>
      </c>
      <c r="C225" s="14">
        <f>'A) Base RI'!C225+'A) Base RI'!D225</f>
        <v>903401.37</v>
      </c>
      <c r="D225" s="14">
        <f>'A) Base RI'!V225</f>
        <v>-9705.57</v>
      </c>
      <c r="E225" s="39">
        <f>'A) Base RI'!W225</f>
        <v>0</v>
      </c>
      <c r="F225" s="39">
        <f>'A) Base RI'!X225</f>
        <v>-395.43</v>
      </c>
      <c r="G225" s="4">
        <f t="shared" si="18"/>
        <v>893300.37</v>
      </c>
      <c r="H225" s="14">
        <f>+'A) Base RI'!E225</f>
        <v>0</v>
      </c>
      <c r="I225" s="14">
        <f>+'A) Base RI'!F225</f>
        <v>0</v>
      </c>
      <c r="J225" s="14">
        <f>+'A) Base RI'!G225+'A) Base RI'!H225</f>
        <v>70066</v>
      </c>
      <c r="K225" s="14">
        <f>+'A) Base RI'!I225</f>
        <v>0</v>
      </c>
      <c r="L225" s="14">
        <f>+'A) Base RI'!J225</f>
        <v>9940.91</v>
      </c>
      <c r="M225" s="14">
        <f>+'A) Base RI'!K225</f>
        <v>370.5</v>
      </c>
      <c r="N225" s="14">
        <f>+'A) Base RI'!Q225</f>
        <v>0</v>
      </c>
      <c r="O225" s="14">
        <f t="shared" si="19"/>
        <v>80685.899999999994</v>
      </c>
      <c r="P225" s="14">
        <f>+'A) Base RI'!L225</f>
        <v>80685.899999999994</v>
      </c>
      <c r="Q225" s="42">
        <f>'A) Base RI'!Y225</f>
        <v>1</v>
      </c>
      <c r="R225" s="4">
        <f t="shared" si="20"/>
        <v>1054363.68</v>
      </c>
      <c r="S225" s="41">
        <f>'A) Base RI'!T225</f>
        <v>72</v>
      </c>
      <c r="T225" s="4">
        <f t="shared" si="21"/>
        <v>973307.28</v>
      </c>
      <c r="U225" s="4">
        <f t="shared" si="22"/>
        <v>14643.939999999999</v>
      </c>
      <c r="V225" s="14">
        <f>+'A) Base RI'!O225</f>
        <v>80296.2</v>
      </c>
      <c r="W225" s="14">
        <f>+'A) Base RI'!P225</f>
        <v>14379.2</v>
      </c>
      <c r="X225" s="14">
        <f>+'A) Base RI'!R225</f>
        <v>19684.349999999999</v>
      </c>
      <c r="Y225" s="4">
        <f t="shared" si="23"/>
        <v>114359.75</v>
      </c>
      <c r="Z225" s="14">
        <f>+'A) Base RI'!N225</f>
        <v>20534.8</v>
      </c>
      <c r="AA225" s="14">
        <f>'A) Base RI'!U225</f>
        <v>469</v>
      </c>
    </row>
    <row r="226" spans="1:27" x14ac:dyDescent="0.25">
      <c r="A226" s="12">
        <f>'A) Base RI'!A226</f>
        <v>5757</v>
      </c>
      <c r="B226" s="40" t="str">
        <f>'A) Base RI'!B226</f>
        <v>Orbe</v>
      </c>
      <c r="C226" s="14">
        <f>'A) Base RI'!C226+'A) Base RI'!D226</f>
        <v>12104804.550000001</v>
      </c>
      <c r="D226" s="14">
        <f>'A) Base RI'!V226</f>
        <v>-224072.02</v>
      </c>
      <c r="E226" s="39">
        <f>'A) Base RI'!W226</f>
        <v>0</v>
      </c>
      <c r="F226" s="39">
        <f>'A) Base RI'!X226</f>
        <v>-511.19</v>
      </c>
      <c r="G226" s="4">
        <f t="shared" si="18"/>
        <v>11880221.340000002</v>
      </c>
      <c r="H226" s="14">
        <f>+'A) Base RI'!E226</f>
        <v>0</v>
      </c>
      <c r="I226" s="14">
        <f>+'A) Base RI'!F226</f>
        <v>0</v>
      </c>
      <c r="J226" s="14">
        <f>+'A) Base RI'!G226+'A) Base RI'!H226</f>
        <v>2530851.5</v>
      </c>
      <c r="K226" s="14">
        <f>+'A) Base RI'!I226</f>
        <v>0</v>
      </c>
      <c r="L226" s="14">
        <f>+'A) Base RI'!J226</f>
        <v>455342.07</v>
      </c>
      <c r="M226" s="14">
        <f>+'A) Base RI'!K226</f>
        <v>84751</v>
      </c>
      <c r="N226" s="14">
        <f>+'A) Base RI'!Q226</f>
        <v>190285.58</v>
      </c>
      <c r="O226" s="14">
        <f t="shared" si="19"/>
        <v>1098522.8999999999</v>
      </c>
      <c r="P226" s="14">
        <f>+'A) Base RI'!L226</f>
        <v>1098522.8999999999</v>
      </c>
      <c r="Q226" s="42">
        <f>'A) Base RI'!Y226</f>
        <v>1</v>
      </c>
      <c r="R226" s="4">
        <f t="shared" si="20"/>
        <v>16239974.390000002</v>
      </c>
      <c r="S226" s="41">
        <f>'A) Base RI'!T226</f>
        <v>74</v>
      </c>
      <c r="T226" s="4">
        <f t="shared" si="21"/>
        <v>15056700.490000002</v>
      </c>
      <c r="U226" s="4">
        <f t="shared" si="22"/>
        <v>219459.11337837842</v>
      </c>
      <c r="V226" s="14">
        <f>+'A) Base RI'!O226</f>
        <v>47480.6</v>
      </c>
      <c r="W226" s="14">
        <f>+'A) Base RI'!P226</f>
        <v>300855.65000000002</v>
      </c>
      <c r="X226" s="14">
        <f>+'A) Base RI'!R226</f>
        <v>120895.2</v>
      </c>
      <c r="Y226" s="4">
        <f t="shared" si="23"/>
        <v>469231.45</v>
      </c>
      <c r="Z226" s="14">
        <f>+'A) Base RI'!N226</f>
        <v>2683850.4</v>
      </c>
      <c r="AA226" s="14">
        <f>'A) Base RI'!U226</f>
        <v>6805</v>
      </c>
    </row>
    <row r="227" spans="1:27" x14ac:dyDescent="0.25">
      <c r="A227" s="12">
        <f>'A) Base RI'!A227</f>
        <v>5758</v>
      </c>
      <c r="B227" s="40" t="str">
        <f>'A) Base RI'!B227</f>
        <v>La Praz</v>
      </c>
      <c r="C227" s="14">
        <f>'A) Base RI'!C227+'A) Base RI'!D227</f>
        <v>293385.86</v>
      </c>
      <c r="D227" s="14">
        <f>'A) Base RI'!V227</f>
        <v>-76.84</v>
      </c>
      <c r="E227" s="39">
        <f>'A) Base RI'!W227</f>
        <v>0</v>
      </c>
      <c r="F227" s="39">
        <f>'A) Base RI'!X227</f>
        <v>0</v>
      </c>
      <c r="G227" s="4">
        <f t="shared" si="18"/>
        <v>293309.01999999996</v>
      </c>
      <c r="H227" s="14">
        <f>+'A) Base RI'!E227</f>
        <v>0</v>
      </c>
      <c r="I227" s="14">
        <f>+'A) Base RI'!F227</f>
        <v>920</v>
      </c>
      <c r="J227" s="14">
        <f>+'A) Base RI'!G227+'A) Base RI'!H227</f>
        <v>374.5500000000003</v>
      </c>
      <c r="K227" s="14">
        <f>+'A) Base RI'!I227</f>
        <v>0</v>
      </c>
      <c r="L227" s="14">
        <f>+'A) Base RI'!J227</f>
        <v>-2825.54</v>
      </c>
      <c r="M227" s="14">
        <f>+'A) Base RI'!K227</f>
        <v>0</v>
      </c>
      <c r="N227" s="14">
        <f>+'A) Base RI'!Q227</f>
        <v>0</v>
      </c>
      <c r="O227" s="14">
        <f t="shared" si="19"/>
        <v>23014.555555555555</v>
      </c>
      <c r="P227" s="14">
        <f>+'A) Base RI'!L227</f>
        <v>20713.099999999999</v>
      </c>
      <c r="Q227" s="42">
        <f>'A) Base RI'!Y227</f>
        <v>0.9</v>
      </c>
      <c r="R227" s="4">
        <f t="shared" si="20"/>
        <v>314792.58555555553</v>
      </c>
      <c r="S227" s="41">
        <f>'A) Base RI'!T227</f>
        <v>83</v>
      </c>
      <c r="T227" s="4">
        <f t="shared" si="21"/>
        <v>290858.02999999997</v>
      </c>
      <c r="U227" s="4">
        <f t="shared" si="22"/>
        <v>3792.6817536813919</v>
      </c>
      <c r="V227" s="14">
        <f>+'A) Base RI'!O227</f>
        <v>0</v>
      </c>
      <c r="W227" s="14">
        <f>+'A) Base RI'!P227</f>
        <v>3861</v>
      </c>
      <c r="X227" s="14">
        <f>+'A) Base RI'!R227</f>
        <v>7807.45</v>
      </c>
      <c r="Y227" s="4">
        <f t="shared" si="23"/>
        <v>11668.45</v>
      </c>
      <c r="Z227" s="14">
        <f>+'A) Base RI'!N227</f>
        <v>0</v>
      </c>
      <c r="AA227" s="14">
        <f>'A) Base RI'!U227</f>
        <v>159</v>
      </c>
    </row>
    <row r="228" spans="1:27" x14ac:dyDescent="0.25">
      <c r="A228" s="12">
        <f>'A) Base RI'!A228</f>
        <v>5759</v>
      </c>
      <c r="B228" s="40" t="str">
        <f>'A) Base RI'!B228</f>
        <v>Premier</v>
      </c>
      <c r="C228" s="14">
        <f>'A) Base RI'!C228+'A) Base RI'!D228</f>
        <v>365631.57</v>
      </c>
      <c r="D228" s="14">
        <f>'A) Base RI'!V228</f>
        <v>-7678.44</v>
      </c>
      <c r="E228" s="39">
        <f>'A) Base RI'!W228</f>
        <v>0</v>
      </c>
      <c r="F228" s="39">
        <f>'A) Base RI'!X228</f>
        <v>-4.91</v>
      </c>
      <c r="G228" s="4">
        <f t="shared" si="18"/>
        <v>357948.22000000003</v>
      </c>
      <c r="H228" s="14">
        <f>+'A) Base RI'!E228</f>
        <v>0</v>
      </c>
      <c r="I228" s="14">
        <f>+'A) Base RI'!F228</f>
        <v>0</v>
      </c>
      <c r="J228" s="14">
        <f>+'A) Base RI'!G228+'A) Base RI'!H228</f>
        <v>-5169.7</v>
      </c>
      <c r="K228" s="14">
        <f>+'A) Base RI'!I228</f>
        <v>0</v>
      </c>
      <c r="L228" s="14">
        <f>+'A) Base RI'!J228</f>
        <v>947.47</v>
      </c>
      <c r="M228" s="14">
        <f>+'A) Base RI'!K228</f>
        <v>242</v>
      </c>
      <c r="N228" s="14">
        <f>+'A) Base RI'!Q228</f>
        <v>0</v>
      </c>
      <c r="O228" s="14">
        <f t="shared" si="19"/>
        <v>25883.5</v>
      </c>
      <c r="P228" s="14">
        <f>+'A) Base RI'!L228</f>
        <v>25883.5</v>
      </c>
      <c r="Q228" s="42">
        <f>'A) Base RI'!Y228</f>
        <v>1</v>
      </c>
      <c r="R228" s="4">
        <f t="shared" si="20"/>
        <v>379851.49</v>
      </c>
      <c r="S228" s="41">
        <f>'A) Base RI'!T228</f>
        <v>81</v>
      </c>
      <c r="T228" s="4">
        <f t="shared" si="21"/>
        <v>353725.99</v>
      </c>
      <c r="U228" s="4">
        <f t="shared" si="22"/>
        <v>4689.5245679012341</v>
      </c>
      <c r="V228" s="14">
        <f>+'A) Base RI'!O228</f>
        <v>0</v>
      </c>
      <c r="W228" s="14">
        <f>+'A) Base RI'!P228</f>
        <v>5390</v>
      </c>
      <c r="X228" s="14">
        <f>+'A) Base RI'!R228</f>
        <v>0</v>
      </c>
      <c r="Y228" s="4">
        <f t="shared" si="23"/>
        <v>5390</v>
      </c>
      <c r="Z228" s="14">
        <f>+'A) Base RI'!N228</f>
        <v>1507.6</v>
      </c>
      <c r="AA228" s="14">
        <f>'A) Base RI'!U228</f>
        <v>196</v>
      </c>
    </row>
    <row r="229" spans="1:27" x14ac:dyDescent="0.25">
      <c r="A229" s="12">
        <f>'A) Base RI'!A229</f>
        <v>5760</v>
      </c>
      <c r="B229" s="40" t="str">
        <f>'A) Base RI'!B229</f>
        <v>Rances</v>
      </c>
      <c r="C229" s="14">
        <f>'A) Base RI'!C229+'A) Base RI'!D229</f>
        <v>927856.55</v>
      </c>
      <c r="D229" s="14">
        <f>'A) Base RI'!V229</f>
        <v>-13467.97</v>
      </c>
      <c r="E229" s="39">
        <f>'A) Base RI'!W229</f>
        <v>0</v>
      </c>
      <c r="F229" s="39">
        <f>'A) Base RI'!X229</f>
        <v>-656.5</v>
      </c>
      <c r="G229" s="4">
        <f t="shared" si="18"/>
        <v>913732.08000000007</v>
      </c>
      <c r="H229" s="14">
        <f>+'A) Base RI'!E229</f>
        <v>0</v>
      </c>
      <c r="I229" s="14">
        <f>+'A) Base RI'!F229</f>
        <v>2280</v>
      </c>
      <c r="J229" s="14">
        <f>+'A) Base RI'!G229+'A) Base RI'!H229</f>
        <v>14608</v>
      </c>
      <c r="K229" s="14">
        <f>+'A) Base RI'!I229</f>
        <v>0</v>
      </c>
      <c r="L229" s="14">
        <f>+'A) Base RI'!J229</f>
        <v>6831.59</v>
      </c>
      <c r="M229" s="14">
        <f>+'A) Base RI'!K229</f>
        <v>0</v>
      </c>
      <c r="N229" s="14">
        <f>+'A) Base RI'!Q229</f>
        <v>32676.61</v>
      </c>
      <c r="O229" s="14">
        <f t="shared" si="19"/>
        <v>61625.266666666663</v>
      </c>
      <c r="P229" s="14">
        <f>+'A) Base RI'!L229</f>
        <v>92437.9</v>
      </c>
      <c r="Q229" s="42">
        <f>'A) Base RI'!Y229</f>
        <v>1.5</v>
      </c>
      <c r="R229" s="4">
        <f t="shared" si="20"/>
        <v>1031753.5466666666</v>
      </c>
      <c r="S229" s="41">
        <f>'A) Base RI'!T229</f>
        <v>78</v>
      </c>
      <c r="T229" s="4">
        <f t="shared" si="21"/>
        <v>967848.28</v>
      </c>
      <c r="U229" s="4">
        <f t="shared" si="22"/>
        <v>13227.609572649571</v>
      </c>
      <c r="V229" s="14">
        <f>+'A) Base RI'!O229</f>
        <v>119259.4</v>
      </c>
      <c r="W229" s="14">
        <f>+'A) Base RI'!P229</f>
        <v>44102.5</v>
      </c>
      <c r="X229" s="14">
        <f>+'A) Base RI'!R229</f>
        <v>43102.7</v>
      </c>
      <c r="Y229" s="4">
        <f t="shared" si="23"/>
        <v>206464.59999999998</v>
      </c>
      <c r="Z229" s="14">
        <f>+'A) Base RI'!N229</f>
        <v>13661.85</v>
      </c>
      <c r="AA229" s="14">
        <f>'A) Base RI'!U229</f>
        <v>473</v>
      </c>
    </row>
    <row r="230" spans="1:27" x14ac:dyDescent="0.25">
      <c r="A230" s="12">
        <f>'A) Base RI'!A230</f>
        <v>5761</v>
      </c>
      <c r="B230" s="40" t="str">
        <f>'A) Base RI'!B230</f>
        <v>Romainmôtier-Envy</v>
      </c>
      <c r="C230" s="14">
        <f>'A) Base RI'!C230+'A) Base RI'!D230</f>
        <v>839753.3899999999</v>
      </c>
      <c r="D230" s="14">
        <f>'A) Base RI'!V230</f>
        <v>-34722.06</v>
      </c>
      <c r="E230" s="39">
        <f>'A) Base RI'!W230</f>
        <v>0</v>
      </c>
      <c r="F230" s="39">
        <f>'A) Base RI'!X230</f>
        <v>0</v>
      </c>
      <c r="G230" s="4">
        <f t="shared" si="18"/>
        <v>805031.32999999984</v>
      </c>
      <c r="H230" s="14">
        <f>+'A) Base RI'!E230</f>
        <v>0</v>
      </c>
      <c r="I230" s="14">
        <f>+'A) Base RI'!F230</f>
        <v>0</v>
      </c>
      <c r="J230" s="14">
        <f>+'A) Base RI'!G230+'A) Base RI'!H230</f>
        <v>16402.95</v>
      </c>
      <c r="K230" s="14">
        <f>+'A) Base RI'!I230</f>
        <v>0</v>
      </c>
      <c r="L230" s="14">
        <f>+'A) Base RI'!J230</f>
        <v>14912.64</v>
      </c>
      <c r="M230" s="14">
        <f>+'A) Base RI'!K230</f>
        <v>3851</v>
      </c>
      <c r="N230" s="14">
        <f>+'A) Base RI'!Q230</f>
        <v>10576.04</v>
      </c>
      <c r="O230" s="14">
        <f t="shared" si="19"/>
        <v>73835.625</v>
      </c>
      <c r="P230" s="14">
        <f>+'A) Base RI'!L230</f>
        <v>59068.5</v>
      </c>
      <c r="Q230" s="42">
        <f>'A) Base RI'!Y230</f>
        <v>0.8</v>
      </c>
      <c r="R230" s="4">
        <f t="shared" si="20"/>
        <v>924609.58499999985</v>
      </c>
      <c r="S230" s="41">
        <f>'A) Base RI'!T230</f>
        <v>76</v>
      </c>
      <c r="T230" s="4">
        <f t="shared" si="21"/>
        <v>846922.95999999985</v>
      </c>
      <c r="U230" s="4">
        <f t="shared" si="22"/>
        <v>12165.915592105261</v>
      </c>
      <c r="V230" s="14">
        <f>+'A) Base RI'!O230</f>
        <v>1301.9000000000001</v>
      </c>
      <c r="W230" s="14">
        <f>+'A) Base RI'!P230</f>
        <v>52633.55</v>
      </c>
      <c r="X230" s="14">
        <f>+'A) Base RI'!R230</f>
        <v>69521.149999999994</v>
      </c>
      <c r="Y230" s="4">
        <f t="shared" si="23"/>
        <v>123456.6</v>
      </c>
      <c r="Z230" s="14">
        <f>+'A) Base RI'!N230</f>
        <v>41030.199999999997</v>
      </c>
      <c r="AA230" s="14">
        <f>'A) Base RI'!U230</f>
        <v>546</v>
      </c>
    </row>
    <row r="231" spans="1:27" x14ac:dyDescent="0.25">
      <c r="A231" s="12">
        <f>'A) Base RI'!A231</f>
        <v>5762</v>
      </c>
      <c r="B231" s="40" t="str">
        <f>'A) Base RI'!B231</f>
        <v>Sergey</v>
      </c>
      <c r="C231" s="14">
        <f>'A) Base RI'!C231+'A) Base RI'!D231</f>
        <v>248048.22</v>
      </c>
      <c r="D231" s="14">
        <f>'A) Base RI'!V231</f>
        <v>-76.19</v>
      </c>
      <c r="E231" s="39">
        <f>'A) Base RI'!W231</f>
        <v>0</v>
      </c>
      <c r="F231" s="39">
        <f>'A) Base RI'!X231</f>
        <v>0</v>
      </c>
      <c r="G231" s="4">
        <f t="shared" si="18"/>
        <v>247972.03</v>
      </c>
      <c r="H231" s="14">
        <f>+'A) Base RI'!E231</f>
        <v>0</v>
      </c>
      <c r="I231" s="14">
        <f>+'A) Base RI'!F231</f>
        <v>0</v>
      </c>
      <c r="J231" s="14">
        <f>+'A) Base RI'!G231+'A) Base RI'!H231</f>
        <v>7975.05</v>
      </c>
      <c r="K231" s="14">
        <f>+'A) Base RI'!I231</f>
        <v>0</v>
      </c>
      <c r="L231" s="14">
        <f>+'A) Base RI'!J231</f>
        <v>4710.6099999999997</v>
      </c>
      <c r="M231" s="14">
        <f>+'A) Base RI'!K231</f>
        <v>0</v>
      </c>
      <c r="N231" s="14">
        <f>+'A) Base RI'!Q231</f>
        <v>0</v>
      </c>
      <c r="O231" s="14">
        <f t="shared" si="19"/>
        <v>19093.099999999999</v>
      </c>
      <c r="P231" s="14">
        <f>+'A) Base RI'!L231</f>
        <v>19093.099999999999</v>
      </c>
      <c r="Q231" s="42">
        <f>'A) Base RI'!Y231</f>
        <v>1</v>
      </c>
      <c r="R231" s="4">
        <f t="shared" si="20"/>
        <v>279750.78999999998</v>
      </c>
      <c r="S231" s="41">
        <f>'A) Base RI'!T231</f>
        <v>78</v>
      </c>
      <c r="T231" s="4">
        <f t="shared" si="21"/>
        <v>260657.68999999997</v>
      </c>
      <c r="U231" s="4">
        <f t="shared" si="22"/>
        <v>3586.5485897435897</v>
      </c>
      <c r="V231" s="14">
        <f>+'A) Base RI'!O231</f>
        <v>3564</v>
      </c>
      <c r="W231" s="14">
        <f>+'A) Base RI'!P231</f>
        <v>0</v>
      </c>
      <c r="X231" s="14">
        <f>+'A) Base RI'!R231</f>
        <v>0</v>
      </c>
      <c r="Y231" s="4">
        <f t="shared" si="23"/>
        <v>3564</v>
      </c>
      <c r="Z231" s="14">
        <f>+'A) Base RI'!N231</f>
        <v>7814.8</v>
      </c>
      <c r="AA231" s="14">
        <f>'A) Base RI'!U231</f>
        <v>140</v>
      </c>
    </row>
    <row r="232" spans="1:27" x14ac:dyDescent="0.25">
      <c r="A232" s="12">
        <f>'A) Base RI'!A232</f>
        <v>5763</v>
      </c>
      <c r="B232" s="40" t="str">
        <f>'A) Base RI'!B232</f>
        <v>Valeyres-sous-Rances</v>
      </c>
      <c r="C232" s="14">
        <f>'A) Base RI'!C232+'A) Base RI'!D232</f>
        <v>910613.32</v>
      </c>
      <c r="D232" s="14">
        <f>'A) Base RI'!V232</f>
        <v>-8511.08</v>
      </c>
      <c r="E232" s="39">
        <f>'A) Base RI'!W232</f>
        <v>0</v>
      </c>
      <c r="F232" s="39">
        <f>'A) Base RI'!X232</f>
        <v>-41.12</v>
      </c>
      <c r="G232" s="4">
        <f t="shared" si="18"/>
        <v>902061.12</v>
      </c>
      <c r="H232" s="14">
        <f>+'A) Base RI'!E232</f>
        <v>0</v>
      </c>
      <c r="I232" s="14">
        <f>+'A) Base RI'!F232</f>
        <v>3300</v>
      </c>
      <c r="J232" s="14">
        <f>+'A) Base RI'!G232+'A) Base RI'!H232</f>
        <v>38723.75</v>
      </c>
      <c r="K232" s="14">
        <f>+'A) Base RI'!I232</f>
        <v>0</v>
      </c>
      <c r="L232" s="14">
        <f>+'A) Base RI'!J232</f>
        <v>16747.099999999999</v>
      </c>
      <c r="M232" s="14">
        <f>+'A) Base RI'!K232</f>
        <v>3517.5</v>
      </c>
      <c r="N232" s="14">
        <f>+'A) Base RI'!Q232</f>
        <v>4227.13</v>
      </c>
      <c r="O232" s="14">
        <f t="shared" si="19"/>
        <v>77003.7</v>
      </c>
      <c r="P232" s="14">
        <f>+'A) Base RI'!L232</f>
        <v>77003.7</v>
      </c>
      <c r="Q232" s="42">
        <f>'A) Base RI'!Y232</f>
        <v>1</v>
      </c>
      <c r="R232" s="4">
        <f t="shared" si="20"/>
        <v>1045580.2999999999</v>
      </c>
      <c r="S232" s="41">
        <f>'A) Base RI'!T232</f>
        <v>65</v>
      </c>
      <c r="T232" s="4">
        <f t="shared" si="21"/>
        <v>961759.1</v>
      </c>
      <c r="U232" s="4">
        <f t="shared" si="22"/>
        <v>16085.850769230768</v>
      </c>
      <c r="V232" s="14">
        <f>+'A) Base RI'!O232</f>
        <v>0</v>
      </c>
      <c r="W232" s="14">
        <f>+'A) Base RI'!P232</f>
        <v>31427</v>
      </c>
      <c r="X232" s="14">
        <f>+'A) Base RI'!R232</f>
        <v>43820.800000000003</v>
      </c>
      <c r="Y232" s="4">
        <f t="shared" si="23"/>
        <v>75247.8</v>
      </c>
      <c r="Z232" s="14">
        <f>+'A) Base RI'!N232</f>
        <v>40770.949999999997</v>
      </c>
      <c r="AA232" s="14">
        <f>'A) Base RI'!U232</f>
        <v>623</v>
      </c>
    </row>
    <row r="233" spans="1:27" x14ac:dyDescent="0.25">
      <c r="A233" s="12">
        <f>'A) Base RI'!A233</f>
        <v>5764</v>
      </c>
      <c r="B233" s="40" t="str">
        <f>'A) Base RI'!B233</f>
        <v>Vallorbe</v>
      </c>
      <c r="C233" s="14">
        <f>'A) Base RI'!C233+'A) Base RI'!D233</f>
        <v>5079780.7</v>
      </c>
      <c r="D233" s="14">
        <f>'A) Base RI'!V233</f>
        <v>-207572.22</v>
      </c>
      <c r="E233" s="39">
        <f>'A) Base RI'!W233</f>
        <v>0</v>
      </c>
      <c r="F233" s="39">
        <f>'A) Base RI'!X233</f>
        <v>-562.57000000000005</v>
      </c>
      <c r="G233" s="4">
        <f t="shared" si="18"/>
        <v>4871645.91</v>
      </c>
      <c r="H233" s="14">
        <f>+'A) Base RI'!E233</f>
        <v>0</v>
      </c>
      <c r="I233" s="14">
        <f>+'A) Base RI'!F233</f>
        <v>0</v>
      </c>
      <c r="J233" s="14">
        <f>+'A) Base RI'!G233+'A) Base RI'!H233</f>
        <v>620233.35</v>
      </c>
      <c r="K233" s="14">
        <f>+'A) Base RI'!I233</f>
        <v>0</v>
      </c>
      <c r="L233" s="14">
        <f>+'A) Base RI'!J233</f>
        <v>286961.02</v>
      </c>
      <c r="M233" s="14">
        <f>+'A) Base RI'!K233</f>
        <v>3384</v>
      </c>
      <c r="N233" s="14">
        <f>+'A) Base RI'!Q233</f>
        <v>81130.69</v>
      </c>
      <c r="O233" s="14">
        <f t="shared" si="19"/>
        <v>390652.05</v>
      </c>
      <c r="P233" s="14">
        <f>+'A) Base RI'!L233</f>
        <v>390652.05</v>
      </c>
      <c r="Q233" s="42">
        <f>'A) Base RI'!Y233</f>
        <v>1</v>
      </c>
      <c r="R233" s="4">
        <f t="shared" si="20"/>
        <v>6254007.0199999996</v>
      </c>
      <c r="S233" s="41">
        <f>'A) Base RI'!T233</f>
        <v>74</v>
      </c>
      <c r="T233" s="4">
        <f t="shared" si="21"/>
        <v>5859970.9699999997</v>
      </c>
      <c r="U233" s="4">
        <f t="shared" si="22"/>
        <v>84513.608378378369</v>
      </c>
      <c r="V233" s="14">
        <f>+'A) Base RI'!O233</f>
        <v>57956.4</v>
      </c>
      <c r="W233" s="14">
        <f>+'A) Base RI'!P233</f>
        <v>227876.5</v>
      </c>
      <c r="X233" s="14">
        <f>+'A) Base RI'!R233</f>
        <v>104286.65</v>
      </c>
      <c r="Y233" s="4">
        <f t="shared" si="23"/>
        <v>390119.55000000005</v>
      </c>
      <c r="Z233" s="14">
        <f>+'A) Base RI'!N233</f>
        <v>2204983.65</v>
      </c>
      <c r="AA233" s="14">
        <f>'A) Base RI'!U233</f>
        <v>3747</v>
      </c>
    </row>
    <row r="234" spans="1:27" x14ac:dyDescent="0.25">
      <c r="A234" s="12">
        <f>'A) Base RI'!A234</f>
        <v>5765</v>
      </c>
      <c r="B234" s="40" t="str">
        <f>'A) Base RI'!B234</f>
        <v>Vaulion</v>
      </c>
      <c r="C234" s="14">
        <f>'A) Base RI'!C234+'A) Base RI'!D234</f>
        <v>742978.84</v>
      </c>
      <c r="D234" s="14">
        <f>'A) Base RI'!V234</f>
        <v>-18656.490000000002</v>
      </c>
      <c r="E234" s="39">
        <f>'A) Base RI'!W234</f>
        <v>0</v>
      </c>
      <c r="F234" s="39">
        <f>'A) Base RI'!X234</f>
        <v>-12.05</v>
      </c>
      <c r="G234" s="4">
        <f t="shared" si="18"/>
        <v>724310.29999999993</v>
      </c>
      <c r="H234" s="14">
        <f>+'A) Base RI'!E234</f>
        <v>0</v>
      </c>
      <c r="I234" s="14">
        <f>+'A) Base RI'!F234</f>
        <v>0</v>
      </c>
      <c r="J234" s="14">
        <f>+'A) Base RI'!G234+'A) Base RI'!H234</f>
        <v>13472.050000000001</v>
      </c>
      <c r="K234" s="14">
        <f>+'A) Base RI'!I234</f>
        <v>0</v>
      </c>
      <c r="L234" s="14">
        <f>+'A) Base RI'!J234</f>
        <v>19020.47</v>
      </c>
      <c r="M234" s="14">
        <f>+'A) Base RI'!K234</f>
        <v>0</v>
      </c>
      <c r="N234" s="14">
        <f>+'A) Base RI'!Q234</f>
        <v>11813.98</v>
      </c>
      <c r="O234" s="14">
        <f t="shared" si="19"/>
        <v>57504.4</v>
      </c>
      <c r="P234" s="14">
        <f>+'A) Base RI'!L234</f>
        <v>28752.2</v>
      </c>
      <c r="Q234" s="42">
        <f>'A) Base RI'!Y234</f>
        <v>0.5</v>
      </c>
      <c r="R234" s="4">
        <f t="shared" si="20"/>
        <v>826121.2</v>
      </c>
      <c r="S234" s="41">
        <f>'A) Base RI'!T234</f>
        <v>81</v>
      </c>
      <c r="T234" s="4">
        <f t="shared" si="21"/>
        <v>768616.79999999993</v>
      </c>
      <c r="U234" s="4">
        <f t="shared" si="22"/>
        <v>10199.027160493826</v>
      </c>
      <c r="V234" s="14">
        <f>+'A) Base RI'!O234</f>
        <v>0</v>
      </c>
      <c r="W234" s="14">
        <f>+'A) Base RI'!P234</f>
        <v>7370</v>
      </c>
      <c r="X234" s="14">
        <f>+'A) Base RI'!R234</f>
        <v>4882.5</v>
      </c>
      <c r="Y234" s="4">
        <f t="shared" si="23"/>
        <v>12252.5</v>
      </c>
      <c r="Z234" s="14">
        <f>+'A) Base RI'!N234</f>
        <v>44930.85</v>
      </c>
      <c r="AA234" s="14">
        <f>'A) Base RI'!U234</f>
        <v>494</v>
      </c>
    </row>
    <row r="235" spans="1:27" x14ac:dyDescent="0.25">
      <c r="A235" s="12">
        <f>'A) Base RI'!A235</f>
        <v>5766</v>
      </c>
      <c r="B235" s="40" t="str">
        <f>'A) Base RI'!B235</f>
        <v>Vuiteboeuf</v>
      </c>
      <c r="C235" s="14">
        <f>'A) Base RI'!C235+'A) Base RI'!D235</f>
        <v>874136.49</v>
      </c>
      <c r="D235" s="14">
        <f>'A) Base RI'!V235</f>
        <v>-9069.74</v>
      </c>
      <c r="E235" s="39">
        <f>'A) Base RI'!W235</f>
        <v>0</v>
      </c>
      <c r="F235" s="39">
        <f>'A) Base RI'!X235</f>
        <v>-62.31</v>
      </c>
      <c r="G235" s="4">
        <f t="shared" si="18"/>
        <v>865004.44</v>
      </c>
      <c r="H235" s="14">
        <f>+'A) Base RI'!E235</f>
        <v>0</v>
      </c>
      <c r="I235" s="14">
        <f>+'A) Base RI'!F235</f>
        <v>0</v>
      </c>
      <c r="J235" s="14">
        <f>+'A) Base RI'!G235+'A) Base RI'!H235</f>
        <v>28716.7</v>
      </c>
      <c r="K235" s="14">
        <f>+'A) Base RI'!I235</f>
        <v>0</v>
      </c>
      <c r="L235" s="14">
        <f>+'A) Base RI'!J235</f>
        <v>33944.629999999997</v>
      </c>
      <c r="M235" s="14">
        <f>+'A) Base RI'!K235</f>
        <v>3614.5</v>
      </c>
      <c r="N235" s="14">
        <f>+'A) Base RI'!Q235</f>
        <v>1657.98</v>
      </c>
      <c r="O235" s="14">
        <f t="shared" si="19"/>
        <v>69906.71428571429</v>
      </c>
      <c r="P235" s="14">
        <f>+'A) Base RI'!L235</f>
        <v>48934.7</v>
      </c>
      <c r="Q235" s="42">
        <f>'A) Base RI'!Y235</f>
        <v>0.7</v>
      </c>
      <c r="R235" s="4">
        <f t="shared" si="20"/>
        <v>1002844.9642857142</v>
      </c>
      <c r="S235" s="41">
        <f>'A) Base RI'!T235</f>
        <v>77</v>
      </c>
      <c r="T235" s="4">
        <f t="shared" si="21"/>
        <v>929323.74999999988</v>
      </c>
      <c r="U235" s="4">
        <f t="shared" si="22"/>
        <v>13023.960575139146</v>
      </c>
      <c r="V235" s="14">
        <f>+'A) Base RI'!O235</f>
        <v>0</v>
      </c>
      <c r="W235" s="14">
        <f>+'A) Base RI'!P235</f>
        <v>22954.799999999999</v>
      </c>
      <c r="X235" s="14">
        <f>+'A) Base RI'!R235</f>
        <v>20706.45</v>
      </c>
      <c r="Y235" s="4">
        <f t="shared" si="23"/>
        <v>43661.25</v>
      </c>
      <c r="Z235" s="14">
        <f>+'A) Base RI'!N235</f>
        <v>21712.6</v>
      </c>
      <c r="AA235" s="14">
        <f>'A) Base RI'!U235</f>
        <v>556</v>
      </c>
    </row>
    <row r="236" spans="1:27" x14ac:dyDescent="0.25">
      <c r="A236" s="12">
        <f>'A) Base RI'!A236</f>
        <v>5785</v>
      </c>
      <c r="B236" s="40" t="str">
        <f>'A) Base RI'!B236</f>
        <v>Corcelles-le-Jorat</v>
      </c>
      <c r="C236" s="14">
        <f>'A) Base RI'!C236+'A) Base RI'!D236</f>
        <v>876756.92999999993</v>
      </c>
      <c r="D236" s="14">
        <f>'A) Base RI'!V236</f>
        <v>-7687.99</v>
      </c>
      <c r="E236" s="39">
        <f>'A) Base RI'!W236</f>
        <v>0</v>
      </c>
      <c r="F236" s="39">
        <f>'A) Base RI'!X236</f>
        <v>-204.66</v>
      </c>
      <c r="G236" s="4">
        <f t="shared" si="18"/>
        <v>868864.27999999991</v>
      </c>
      <c r="H236" s="14">
        <f>+'A) Base RI'!E236</f>
        <v>0</v>
      </c>
      <c r="I236" s="14">
        <f>+'A) Base RI'!F236</f>
        <v>0</v>
      </c>
      <c r="J236" s="14">
        <f>+'A) Base RI'!G236+'A) Base RI'!H236</f>
        <v>-4580.49999999998</v>
      </c>
      <c r="K236" s="14">
        <f>+'A) Base RI'!I236</f>
        <v>0</v>
      </c>
      <c r="L236" s="14">
        <f>+'A) Base RI'!J236</f>
        <v>13055.7</v>
      </c>
      <c r="M236" s="14">
        <f>+'A) Base RI'!K236</f>
        <v>1403.5</v>
      </c>
      <c r="N236" s="14">
        <f>+'A) Base RI'!Q236</f>
        <v>413.5</v>
      </c>
      <c r="O236" s="14">
        <f t="shared" si="19"/>
        <v>66036.100000000006</v>
      </c>
      <c r="P236" s="14">
        <f>+'A) Base RI'!L236</f>
        <v>66036.100000000006</v>
      </c>
      <c r="Q236" s="42">
        <f>'A) Base RI'!Y236</f>
        <v>1</v>
      </c>
      <c r="R236" s="4">
        <f t="shared" si="20"/>
        <v>945192.57999999984</v>
      </c>
      <c r="S236" s="41">
        <f>'A) Base RI'!T236</f>
        <v>77</v>
      </c>
      <c r="T236" s="4">
        <f t="shared" si="21"/>
        <v>877752.97999999986</v>
      </c>
      <c r="U236" s="4">
        <f t="shared" si="22"/>
        <v>12275.22831168831</v>
      </c>
      <c r="V236" s="14">
        <f>+'A) Base RI'!O236</f>
        <v>5612.5</v>
      </c>
      <c r="W236" s="14">
        <f>+'A) Base RI'!P236</f>
        <v>18446.55</v>
      </c>
      <c r="X236" s="14">
        <f>+'A) Base RI'!R236</f>
        <v>15446.45</v>
      </c>
      <c r="Y236" s="4">
        <f t="shared" si="23"/>
        <v>39505.5</v>
      </c>
      <c r="Z236" s="14">
        <f>+'A) Base RI'!N236</f>
        <v>0</v>
      </c>
      <c r="AA236" s="14">
        <f>'A) Base RI'!U236</f>
        <v>425</v>
      </c>
    </row>
    <row r="237" spans="1:27" x14ac:dyDescent="0.25">
      <c r="A237" s="12">
        <f>'A) Base RI'!A237</f>
        <v>5788</v>
      </c>
      <c r="B237" s="40" t="str">
        <f>'A) Base RI'!B237</f>
        <v>Essertes</v>
      </c>
      <c r="C237" s="14">
        <f>'A) Base RI'!C237+'A) Base RI'!D237</f>
        <v>624957.57999999996</v>
      </c>
      <c r="D237" s="14">
        <f>'A) Base RI'!V237</f>
        <v>-5266.42</v>
      </c>
      <c r="E237" s="39">
        <f>'A) Base RI'!W237</f>
        <v>0</v>
      </c>
      <c r="F237" s="39">
        <f>'A) Base RI'!X237</f>
        <v>0</v>
      </c>
      <c r="G237" s="4">
        <f t="shared" si="18"/>
        <v>619691.15999999992</v>
      </c>
      <c r="H237" s="14">
        <f>+'A) Base RI'!E237</f>
        <v>0</v>
      </c>
      <c r="I237" s="14">
        <f>+'A) Base RI'!F237</f>
        <v>0</v>
      </c>
      <c r="J237" s="14">
        <f>+'A) Base RI'!G237+'A) Base RI'!H237</f>
        <v>5569.25</v>
      </c>
      <c r="K237" s="14">
        <f>+'A) Base RI'!I237</f>
        <v>0</v>
      </c>
      <c r="L237" s="14">
        <f>+'A) Base RI'!J237</f>
        <v>15559.01</v>
      </c>
      <c r="M237" s="14">
        <f>+'A) Base RI'!K237</f>
        <v>585</v>
      </c>
      <c r="N237" s="14">
        <f>+'A) Base RI'!Q237</f>
        <v>0</v>
      </c>
      <c r="O237" s="14">
        <f t="shared" si="19"/>
        <v>54347.08</v>
      </c>
      <c r="P237" s="14">
        <f>+'A) Base RI'!L237</f>
        <v>67933.850000000006</v>
      </c>
      <c r="Q237" s="42">
        <f>'A) Base RI'!Y237</f>
        <v>1.25</v>
      </c>
      <c r="R237" s="4">
        <f t="shared" si="20"/>
        <v>695751.49999999988</v>
      </c>
      <c r="S237" s="41">
        <f>'A) Base RI'!T237</f>
        <v>72</v>
      </c>
      <c r="T237" s="4">
        <f t="shared" si="21"/>
        <v>640819.41999999993</v>
      </c>
      <c r="U237" s="4">
        <f t="shared" si="22"/>
        <v>9663.2152777777756</v>
      </c>
      <c r="V237" s="14">
        <f>+'A) Base RI'!O237</f>
        <v>0</v>
      </c>
      <c r="W237" s="14">
        <f>+'A) Base RI'!P237</f>
        <v>17991.650000000001</v>
      </c>
      <c r="X237" s="14">
        <f>+'A) Base RI'!R237</f>
        <v>9437.65</v>
      </c>
      <c r="Y237" s="4">
        <f t="shared" si="23"/>
        <v>27429.300000000003</v>
      </c>
      <c r="Z237" s="14">
        <f>+'A) Base RI'!N237</f>
        <v>0</v>
      </c>
      <c r="AA237" s="14">
        <f>'A) Base RI'!U237</f>
        <v>335</v>
      </c>
    </row>
    <row r="238" spans="1:27" x14ac:dyDescent="0.25">
      <c r="A238" s="12">
        <f>'A) Base RI'!A238</f>
        <v>5790</v>
      </c>
      <c r="B238" s="40" t="str">
        <f>'A) Base RI'!B238</f>
        <v>Maracon</v>
      </c>
      <c r="C238" s="14">
        <f>'A) Base RI'!C238+'A) Base RI'!D238</f>
        <v>834723.19</v>
      </c>
      <c r="D238" s="14">
        <f>'A) Base RI'!V238</f>
        <v>-366.17</v>
      </c>
      <c r="E238" s="39">
        <f>'A) Base RI'!W238</f>
        <v>0</v>
      </c>
      <c r="F238" s="39">
        <f>'A) Base RI'!X238</f>
        <v>-312.48</v>
      </c>
      <c r="G238" s="4">
        <f t="shared" si="18"/>
        <v>834044.53999999992</v>
      </c>
      <c r="H238" s="14">
        <f>+'A) Base RI'!E238</f>
        <v>0</v>
      </c>
      <c r="I238" s="14">
        <f>+'A) Base RI'!F238</f>
        <v>0</v>
      </c>
      <c r="J238" s="14">
        <f>+'A) Base RI'!G238+'A) Base RI'!H238</f>
        <v>3760.9</v>
      </c>
      <c r="K238" s="14">
        <f>+'A) Base RI'!I238</f>
        <v>0</v>
      </c>
      <c r="L238" s="14">
        <f>+'A) Base RI'!J238</f>
        <v>4682.62</v>
      </c>
      <c r="M238" s="14">
        <f>+'A) Base RI'!K238</f>
        <v>2169.5</v>
      </c>
      <c r="N238" s="14">
        <f>+'A) Base RI'!Q238</f>
        <v>1853.44</v>
      </c>
      <c r="O238" s="14">
        <f t="shared" si="19"/>
        <v>71397.8</v>
      </c>
      <c r="P238" s="14">
        <f>+'A) Base RI'!L238</f>
        <v>71397.8</v>
      </c>
      <c r="Q238" s="42">
        <f>'A) Base RI'!Y238</f>
        <v>1</v>
      </c>
      <c r="R238" s="4">
        <f t="shared" si="20"/>
        <v>917908.79999999993</v>
      </c>
      <c r="S238" s="41">
        <f>'A) Base RI'!T238</f>
        <v>76</v>
      </c>
      <c r="T238" s="4">
        <f t="shared" si="21"/>
        <v>844341.49999999988</v>
      </c>
      <c r="U238" s="4">
        <f t="shared" si="22"/>
        <v>12077.747368421051</v>
      </c>
      <c r="V238" s="14">
        <f>+'A) Base RI'!O238</f>
        <v>0</v>
      </c>
      <c r="W238" s="14">
        <f>+'A) Base RI'!P238</f>
        <v>35235.25</v>
      </c>
      <c r="X238" s="14">
        <f>+'A) Base RI'!R238</f>
        <v>25058.75</v>
      </c>
      <c r="Y238" s="4">
        <f t="shared" si="23"/>
        <v>60294</v>
      </c>
      <c r="Z238" s="14">
        <f>+'A) Base RI'!N238</f>
        <v>0</v>
      </c>
      <c r="AA238" s="14">
        <f>'A) Base RI'!U238</f>
        <v>449</v>
      </c>
    </row>
    <row r="239" spans="1:27" x14ac:dyDescent="0.25">
      <c r="A239" s="12">
        <f>'A) Base RI'!A239</f>
        <v>5792</v>
      </c>
      <c r="B239" s="40" t="str">
        <f>'A) Base RI'!B239</f>
        <v>Montpreveyres</v>
      </c>
      <c r="C239" s="14">
        <f>'A) Base RI'!C239+'A) Base RI'!D239</f>
        <v>1075167.72</v>
      </c>
      <c r="D239" s="14">
        <f>'A) Base RI'!V239</f>
        <v>-17364.48</v>
      </c>
      <c r="E239" s="39">
        <f>'A) Base RI'!W239</f>
        <v>-4938.6000000000004</v>
      </c>
      <c r="F239" s="39">
        <f>'A) Base RI'!X239</f>
        <v>-21.51</v>
      </c>
      <c r="G239" s="4">
        <f t="shared" si="18"/>
        <v>1052843.1299999999</v>
      </c>
      <c r="H239" s="14">
        <f>+'A) Base RI'!E239</f>
        <v>0</v>
      </c>
      <c r="I239" s="14">
        <f>+'A) Base RI'!F239</f>
        <v>0</v>
      </c>
      <c r="J239" s="14">
        <f>+'A) Base RI'!G239+'A) Base RI'!H239</f>
        <v>28524.75</v>
      </c>
      <c r="K239" s="14">
        <f>+'A) Base RI'!I239</f>
        <v>0</v>
      </c>
      <c r="L239" s="14">
        <f>+'A) Base RI'!J239</f>
        <v>20530.310000000001</v>
      </c>
      <c r="M239" s="14">
        <f>+'A) Base RI'!K239</f>
        <v>2260.5</v>
      </c>
      <c r="N239" s="14">
        <f>+'A) Base RI'!Q239</f>
        <v>0</v>
      </c>
      <c r="O239" s="14">
        <f t="shared" si="19"/>
        <v>102498.3</v>
      </c>
      <c r="P239" s="14">
        <f>+'A) Base RI'!L239</f>
        <v>102498.3</v>
      </c>
      <c r="Q239" s="42">
        <f>'A) Base RI'!Y239</f>
        <v>1</v>
      </c>
      <c r="R239" s="4">
        <f t="shared" ref="R239:R241" si="24">SUM(G239:O239)</f>
        <v>1206656.99</v>
      </c>
      <c r="S239" s="41">
        <f>'A) Base RI'!T239</f>
        <v>77</v>
      </c>
      <c r="T239" s="4">
        <f t="shared" ref="T239:T241" si="25">(G239+H239+J239+K239+L239+N239)</f>
        <v>1101898.19</v>
      </c>
      <c r="U239" s="4">
        <f t="shared" ref="U239:U241" si="26">R239/S239</f>
        <v>15670.869999999999</v>
      </c>
      <c r="V239" s="14">
        <f>+'A) Base RI'!O239</f>
        <v>0</v>
      </c>
      <c r="W239" s="14">
        <f>+'A) Base RI'!P239</f>
        <v>57819.3</v>
      </c>
      <c r="X239" s="14">
        <f>+'A) Base RI'!R239</f>
        <v>76814.3</v>
      </c>
      <c r="Y239" s="4">
        <f t="shared" ref="Y239:Y241" si="27">SUM(V239:X239)</f>
        <v>134633.60000000001</v>
      </c>
      <c r="Z239" s="14">
        <f>+'A) Base RI'!N239</f>
        <v>244.75</v>
      </c>
      <c r="AA239" s="14">
        <f>'A) Base RI'!U239</f>
        <v>621</v>
      </c>
    </row>
    <row r="240" spans="1:27" x14ac:dyDescent="0.25">
      <c r="A240" s="12">
        <f>'A) Base RI'!A240</f>
        <v>5798</v>
      </c>
      <c r="B240" s="40" t="str">
        <f>'A) Base RI'!B240</f>
        <v>Ropraz</v>
      </c>
      <c r="C240" s="14">
        <f>'A) Base RI'!C240+'A) Base RI'!D240</f>
        <v>749173.54</v>
      </c>
      <c r="D240" s="14">
        <f>'A) Base RI'!V240</f>
        <v>-20944.759999999998</v>
      </c>
      <c r="E240" s="39">
        <f>'A) Base RI'!W240</f>
        <v>0</v>
      </c>
      <c r="F240" s="39">
        <f>'A) Base RI'!X240</f>
        <v>-118.55</v>
      </c>
      <c r="G240" s="4">
        <f t="shared" si="18"/>
        <v>728110.23</v>
      </c>
      <c r="H240" s="14">
        <f>+'A) Base RI'!E240</f>
        <v>0</v>
      </c>
      <c r="I240" s="14">
        <f>+'A) Base RI'!F240</f>
        <v>0</v>
      </c>
      <c r="J240" s="14">
        <f>+'A) Base RI'!G240+'A) Base RI'!H240</f>
        <v>59082.450000000004</v>
      </c>
      <c r="K240" s="14">
        <f>+'A) Base RI'!I240</f>
        <v>0</v>
      </c>
      <c r="L240" s="14">
        <f>+'A) Base RI'!J240</f>
        <v>25220.89</v>
      </c>
      <c r="M240" s="14">
        <f>+'A) Base RI'!K240</f>
        <v>3908</v>
      </c>
      <c r="N240" s="14">
        <f>+'A) Base RI'!Q240</f>
        <v>0</v>
      </c>
      <c r="O240" s="14">
        <f t="shared" si="19"/>
        <v>34007.65</v>
      </c>
      <c r="P240" s="14">
        <f>+'A) Base RI'!L240</f>
        <v>34007.65</v>
      </c>
      <c r="Q240" s="42">
        <f>'A) Base RI'!Y240</f>
        <v>1</v>
      </c>
      <c r="R240" s="4">
        <f t="shared" si="24"/>
        <v>850329.22</v>
      </c>
      <c r="S240" s="41">
        <f>'A) Base RI'!T240</f>
        <v>77.5</v>
      </c>
      <c r="T240" s="4">
        <f t="shared" si="25"/>
        <v>812413.57</v>
      </c>
      <c r="U240" s="4">
        <f t="shared" si="26"/>
        <v>10971.989935483871</v>
      </c>
      <c r="V240" s="14">
        <f>+'A) Base RI'!O240</f>
        <v>24775.200000000001</v>
      </c>
      <c r="W240" s="14">
        <f>+'A) Base RI'!P240</f>
        <v>17465.55</v>
      </c>
      <c r="X240" s="14">
        <f>+'A) Base RI'!R240</f>
        <v>0</v>
      </c>
      <c r="Y240" s="4">
        <f t="shared" si="27"/>
        <v>42240.75</v>
      </c>
      <c r="Z240" s="14">
        <f>+'A) Base RI'!N240</f>
        <v>0</v>
      </c>
      <c r="AA240" s="14">
        <f>'A) Base RI'!U240</f>
        <v>438</v>
      </c>
    </row>
    <row r="241" spans="1:27" x14ac:dyDescent="0.25">
      <c r="A241" s="12">
        <f>'A) Base RI'!A241</f>
        <v>5799</v>
      </c>
      <c r="B241" s="40" t="str">
        <f>'A) Base RI'!B241</f>
        <v>Servion</v>
      </c>
      <c r="C241" s="14">
        <f>'A) Base RI'!C241+'A) Base RI'!D241</f>
        <v>3778259.25</v>
      </c>
      <c r="D241" s="14">
        <f>'A) Base RI'!V241</f>
        <v>-54186.42</v>
      </c>
      <c r="E241" s="39">
        <f>'A) Base RI'!W241</f>
        <v>0</v>
      </c>
      <c r="F241" s="39">
        <f>'A) Base RI'!X241</f>
        <v>-68.930000000000007</v>
      </c>
      <c r="G241" s="4">
        <f t="shared" si="18"/>
        <v>3724003.9</v>
      </c>
      <c r="H241" s="14">
        <f>+'A) Base RI'!E241</f>
        <v>0</v>
      </c>
      <c r="I241" s="14">
        <f>+'A) Base RI'!F241</f>
        <v>0</v>
      </c>
      <c r="J241" s="14">
        <f>+'A) Base RI'!G241+'A) Base RI'!H241</f>
        <v>68839.600000000006</v>
      </c>
      <c r="K241" s="14">
        <f>+'A) Base RI'!I241</f>
        <v>-33796.300000000003</v>
      </c>
      <c r="L241" s="14">
        <f>+'A) Base RI'!J241</f>
        <v>49231.16</v>
      </c>
      <c r="M241" s="14">
        <f>+'A) Base RI'!K241</f>
        <v>13591</v>
      </c>
      <c r="N241" s="14">
        <f>+'A) Base RI'!Q241</f>
        <v>20713.79</v>
      </c>
      <c r="O241" s="14">
        <f t="shared" si="19"/>
        <v>338724.25</v>
      </c>
      <c r="P241" s="14">
        <f>+'A) Base RI'!L241</f>
        <v>338724.25</v>
      </c>
      <c r="Q241" s="42">
        <f>'A) Base RI'!Y241</f>
        <v>1</v>
      </c>
      <c r="R241" s="4">
        <f t="shared" si="24"/>
        <v>4181307.4000000004</v>
      </c>
      <c r="S241" s="41">
        <f>'A) Base RI'!T241</f>
        <v>69</v>
      </c>
      <c r="T241" s="4">
        <f t="shared" si="25"/>
        <v>3828992.1500000004</v>
      </c>
      <c r="U241" s="4">
        <f t="shared" si="26"/>
        <v>60598.657971014502</v>
      </c>
      <c r="V241" s="14">
        <f>+'A) Base RI'!O241</f>
        <v>24294.400000000001</v>
      </c>
      <c r="W241" s="14">
        <f>+'A) Base RI'!P241</f>
        <v>139549.85</v>
      </c>
      <c r="X241" s="14">
        <f>+'A) Base RI'!R241</f>
        <v>76608.25</v>
      </c>
      <c r="Y241" s="4">
        <f t="shared" si="27"/>
        <v>240452.5</v>
      </c>
      <c r="Z241" s="14">
        <f>+'A) Base RI'!N241</f>
        <v>18179.400000000001</v>
      </c>
      <c r="AA241" s="14">
        <f>'A) Base RI'!U241</f>
        <v>1918</v>
      </c>
    </row>
    <row r="242" spans="1:27" x14ac:dyDescent="0.25">
      <c r="A242" s="12">
        <f>'A) Base RI'!A242</f>
        <v>5803</v>
      </c>
      <c r="B242" s="40" t="str">
        <f>'A) Base RI'!B242</f>
        <v>Vulliens</v>
      </c>
      <c r="C242" s="14">
        <f>'A) Base RI'!C242+'A) Base RI'!D242</f>
        <v>999639.15</v>
      </c>
      <c r="D242" s="14">
        <f>'A) Base RI'!V242</f>
        <v>-11815.42</v>
      </c>
      <c r="E242" s="39">
        <f>'A) Base RI'!W242</f>
        <v>0</v>
      </c>
      <c r="F242" s="39">
        <f>'A) Base RI'!X242</f>
        <v>-113.14</v>
      </c>
      <c r="G242" s="4">
        <f t="shared" si="18"/>
        <v>987710.59</v>
      </c>
      <c r="H242" s="14">
        <f>+'A) Base RI'!E242</f>
        <v>0</v>
      </c>
      <c r="I242" s="14">
        <f>+'A) Base RI'!F242</f>
        <v>0</v>
      </c>
      <c r="J242" s="14">
        <f>+'A) Base RI'!G242+'A) Base RI'!H242</f>
        <v>26590.75</v>
      </c>
      <c r="K242" s="14">
        <f>+'A) Base RI'!I242</f>
        <v>0</v>
      </c>
      <c r="L242" s="14">
        <f>+'A) Base RI'!J242</f>
        <v>16064.15</v>
      </c>
      <c r="M242" s="14">
        <f>+'A) Base RI'!K242</f>
        <v>0</v>
      </c>
      <c r="N242" s="14">
        <f>+'A) Base RI'!Q242</f>
        <v>3184.24</v>
      </c>
      <c r="O242" s="14">
        <f t="shared" si="19"/>
        <v>75226.95</v>
      </c>
      <c r="P242" s="14">
        <f>+'A) Base RI'!L242</f>
        <v>75226.95</v>
      </c>
      <c r="Q242" s="42">
        <f>'A) Base RI'!Y242</f>
        <v>1</v>
      </c>
      <c r="R242" s="4">
        <f t="shared" si="20"/>
        <v>1108776.68</v>
      </c>
      <c r="S242" s="41">
        <f>'A) Base RI'!T242</f>
        <v>78</v>
      </c>
      <c r="T242" s="4">
        <f t="shared" si="21"/>
        <v>1033549.73</v>
      </c>
      <c r="U242" s="4">
        <f t="shared" si="22"/>
        <v>14215.08564102564</v>
      </c>
      <c r="V242" s="14">
        <f>+'A) Base RI'!O242</f>
        <v>63737.599999999999</v>
      </c>
      <c r="W242" s="14">
        <f>+'A) Base RI'!P242</f>
        <v>66069.95</v>
      </c>
      <c r="X242" s="14">
        <f>+'A) Base RI'!R242</f>
        <v>27578.5</v>
      </c>
      <c r="Y242" s="4">
        <f t="shared" si="23"/>
        <v>157386.04999999999</v>
      </c>
      <c r="Z242" s="14">
        <f>+'A) Base RI'!N242</f>
        <v>0</v>
      </c>
      <c r="AA242" s="14">
        <f>'A) Base RI'!U242</f>
        <v>466</v>
      </c>
    </row>
    <row r="243" spans="1:27" x14ac:dyDescent="0.25">
      <c r="A243" s="12">
        <f>'A) Base RI'!A243</f>
        <v>5804</v>
      </c>
      <c r="B243" s="40" t="str">
        <f>'A) Base RI'!B243</f>
        <v>Jorat-Menthue</v>
      </c>
      <c r="C243" s="14">
        <f>'A) Base RI'!C243+'A) Base RI'!D243</f>
        <v>3134143.7</v>
      </c>
      <c r="D243" s="14">
        <f>'A) Base RI'!V243</f>
        <v>-17228.8</v>
      </c>
      <c r="E243" s="39">
        <f>'A) Base RI'!W243</f>
        <v>0</v>
      </c>
      <c r="F243" s="39">
        <f>'A) Base RI'!X243</f>
        <v>-67.180000000000007</v>
      </c>
      <c r="G243" s="4">
        <f t="shared" si="18"/>
        <v>3116847.72</v>
      </c>
      <c r="H243" s="14">
        <f>+'A) Base RI'!E243</f>
        <v>0</v>
      </c>
      <c r="I243" s="14">
        <f>+'A) Base RI'!F243</f>
        <v>0</v>
      </c>
      <c r="J243" s="14">
        <f>+'A) Base RI'!G243+'A) Base RI'!H243</f>
        <v>68505</v>
      </c>
      <c r="K243" s="14">
        <f>+'A) Base RI'!I243</f>
        <v>0</v>
      </c>
      <c r="L243" s="14">
        <f>+'A) Base RI'!J243</f>
        <v>62346.63</v>
      </c>
      <c r="M243" s="14">
        <f>+'A) Base RI'!K243</f>
        <v>3083</v>
      </c>
      <c r="N243" s="14">
        <f>+'A) Base RI'!Q243</f>
        <v>4467.1000000000004</v>
      </c>
      <c r="O243" s="14">
        <f t="shared" si="19"/>
        <v>240675.35</v>
      </c>
      <c r="P243" s="14">
        <f>+'A) Base RI'!L243</f>
        <v>240675.35</v>
      </c>
      <c r="Q243" s="42">
        <f>'A) Base RI'!Y243</f>
        <v>1</v>
      </c>
      <c r="R243" s="4">
        <f t="shared" si="20"/>
        <v>3495924.8000000003</v>
      </c>
      <c r="S243" s="41">
        <f>'A) Base RI'!T243</f>
        <v>72</v>
      </c>
      <c r="T243" s="4">
        <f t="shared" si="21"/>
        <v>3252166.45</v>
      </c>
      <c r="U243" s="4">
        <f t="shared" si="22"/>
        <v>48554.511111111118</v>
      </c>
      <c r="V243" s="14">
        <f>+'A) Base RI'!O243</f>
        <v>61</v>
      </c>
      <c r="W243" s="14">
        <f>+'A) Base RI'!P243</f>
        <v>75507.5</v>
      </c>
      <c r="X243" s="14">
        <f>+'A) Base RI'!R243</f>
        <v>50504.15</v>
      </c>
      <c r="Y243" s="4">
        <f t="shared" si="23"/>
        <v>126072.65</v>
      </c>
      <c r="Z243" s="14">
        <f>+'A) Base RI'!N243</f>
        <v>12944.9</v>
      </c>
      <c r="AA243" s="14">
        <f>'A) Base RI'!U243</f>
        <v>1545</v>
      </c>
    </row>
    <row r="244" spans="1:27" x14ac:dyDescent="0.25">
      <c r="A244" s="12">
        <f>'A) Base RI'!A244</f>
        <v>5805</v>
      </c>
      <c r="B244" s="40" t="str">
        <f>'A) Base RI'!B244</f>
        <v>Oron</v>
      </c>
      <c r="C244" s="14">
        <f>'A) Base RI'!C244+'A) Base RI'!D244</f>
        <v>8313644.5199999996</v>
      </c>
      <c r="D244" s="14">
        <f>'A) Base RI'!V244</f>
        <v>-235199.94</v>
      </c>
      <c r="E244" s="39">
        <f>'A) Base RI'!W244</f>
        <v>0</v>
      </c>
      <c r="F244" s="39">
        <f>'A) Base RI'!X244</f>
        <v>-1840.63</v>
      </c>
      <c r="G244" s="4">
        <f t="shared" si="18"/>
        <v>8076603.9499999993</v>
      </c>
      <c r="H244" s="14">
        <f>+'A) Base RI'!E244</f>
        <v>0</v>
      </c>
      <c r="I244" s="14">
        <f>+'A) Base RI'!F244</f>
        <v>0</v>
      </c>
      <c r="J244" s="14">
        <f>+'A) Base RI'!G244+'A) Base RI'!H244</f>
        <v>837708.25</v>
      </c>
      <c r="K244" s="14">
        <f>+'A) Base RI'!I244</f>
        <v>-35137.35</v>
      </c>
      <c r="L244" s="14">
        <f>+'A) Base RI'!J244</f>
        <v>312393.52</v>
      </c>
      <c r="M244" s="14">
        <f>+'A) Base RI'!K244</f>
        <v>54178</v>
      </c>
      <c r="N244" s="14">
        <f>+'A) Base RI'!Q244</f>
        <v>93648.61</v>
      </c>
      <c r="O244" s="14">
        <f t="shared" si="19"/>
        <v>810799.13636363635</v>
      </c>
      <c r="P244" s="14">
        <f>+'A) Base RI'!L244</f>
        <v>891879.05</v>
      </c>
      <c r="Q244" s="42">
        <f>'A) Base RI'!Y244</f>
        <v>1.1000000000000001</v>
      </c>
      <c r="R244" s="4">
        <f t="shared" si="20"/>
        <v>10150194.116363635</v>
      </c>
      <c r="S244" s="41">
        <f>'A) Base RI'!T244</f>
        <v>69</v>
      </c>
      <c r="T244" s="4">
        <f t="shared" si="21"/>
        <v>9285216.9799999986</v>
      </c>
      <c r="U244" s="4">
        <f t="shared" si="22"/>
        <v>147104.2625559947</v>
      </c>
      <c r="V244" s="14">
        <f>+'A) Base RI'!O244</f>
        <v>282952.90000000002</v>
      </c>
      <c r="W244" s="14">
        <f>+'A) Base RI'!P244</f>
        <v>286626.45</v>
      </c>
      <c r="X244" s="14">
        <f>+'A) Base RI'!R244</f>
        <v>229060</v>
      </c>
      <c r="Y244" s="4">
        <f t="shared" si="23"/>
        <v>798639.35000000009</v>
      </c>
      <c r="Z244" s="14">
        <f>+'A) Base RI'!N244</f>
        <v>78868.399999999994</v>
      </c>
      <c r="AA244" s="14">
        <f>'A) Base RI'!U244</f>
        <v>5397</v>
      </c>
    </row>
    <row r="245" spans="1:27" x14ac:dyDescent="0.25">
      <c r="A245" s="12">
        <f>'A) Base RI'!A245</f>
        <v>5806</v>
      </c>
      <c r="B245" s="40" t="str">
        <f>'A) Base RI'!B245</f>
        <v>Jorat-Mézières</v>
      </c>
      <c r="C245" s="14">
        <f>'A) Base RI'!C245+'A) Base RI'!D245</f>
        <v>5949602.2599999998</v>
      </c>
      <c r="D245" s="14">
        <f>'A) Base RI'!V245</f>
        <v>-43257.81</v>
      </c>
      <c r="E245" s="39">
        <f>'A) Base RI'!W245</f>
        <v>0</v>
      </c>
      <c r="F245" s="39">
        <f>'A) Base RI'!X245</f>
        <v>-148.38</v>
      </c>
      <c r="G245" s="4">
        <f t="shared" si="18"/>
        <v>5906196.0700000003</v>
      </c>
      <c r="H245" s="14">
        <f>+'A) Base RI'!E245</f>
        <v>0</v>
      </c>
      <c r="I245" s="14">
        <f>+'A) Base RI'!F245</f>
        <v>0</v>
      </c>
      <c r="J245" s="14">
        <f>+'A) Base RI'!G245+'A) Base RI'!H245</f>
        <v>270036.84999999998</v>
      </c>
      <c r="K245" s="14">
        <f>+'A) Base RI'!I245</f>
        <v>54947.5</v>
      </c>
      <c r="L245" s="14">
        <f>+'A) Base RI'!J245</f>
        <v>106751.93</v>
      </c>
      <c r="M245" s="14">
        <f>+'A) Base RI'!K245</f>
        <v>13735</v>
      </c>
      <c r="N245" s="14">
        <f>+'A) Base RI'!Q245</f>
        <v>7966.0700000000006</v>
      </c>
      <c r="O245" s="14">
        <f t="shared" si="19"/>
        <v>554859.5</v>
      </c>
      <c r="P245" s="14">
        <f>+'A) Base RI'!L245</f>
        <v>554859.5</v>
      </c>
      <c r="Q245" s="42">
        <f>'A) Base RI'!Y245</f>
        <v>1</v>
      </c>
      <c r="R245" s="4">
        <f t="shared" si="20"/>
        <v>6914492.9199999999</v>
      </c>
      <c r="S245" s="41">
        <f>'A) Base RI'!T245</f>
        <v>76</v>
      </c>
      <c r="T245" s="4">
        <f t="shared" si="21"/>
        <v>6345898.4199999999</v>
      </c>
      <c r="U245" s="4">
        <f t="shared" si="22"/>
        <v>90980.17</v>
      </c>
      <c r="V245" s="14">
        <f>+'A) Base RI'!O245</f>
        <v>58268.200000000004</v>
      </c>
      <c r="W245" s="14">
        <f>+'A) Base RI'!P245</f>
        <v>370131.5</v>
      </c>
      <c r="X245" s="14">
        <f>+'A) Base RI'!R245</f>
        <v>202833.8</v>
      </c>
      <c r="Y245" s="4">
        <f t="shared" si="23"/>
        <v>631233.5</v>
      </c>
      <c r="Z245" s="14">
        <f>+'A) Base RI'!N245</f>
        <v>9421.5</v>
      </c>
      <c r="AA245" s="14">
        <f>'A) Base RI'!U245</f>
        <v>2814</v>
      </c>
    </row>
    <row r="246" spans="1:27" x14ac:dyDescent="0.25">
      <c r="A246" s="12">
        <f>'A) Base RI'!A246</f>
        <v>5812</v>
      </c>
      <c r="B246" s="40" t="str">
        <f>'A) Base RI'!B246</f>
        <v>Champtauroz</v>
      </c>
      <c r="C246" s="14">
        <f>'A) Base RI'!C246+'A) Base RI'!D246</f>
        <v>167091.88</v>
      </c>
      <c r="D246" s="14">
        <f>'A) Base RI'!V246</f>
        <v>-4832.17</v>
      </c>
      <c r="E246" s="39">
        <f>'A) Base RI'!W246</f>
        <v>0</v>
      </c>
      <c r="F246" s="39">
        <f>'A) Base RI'!X246</f>
        <v>0</v>
      </c>
      <c r="G246" s="4">
        <f t="shared" si="18"/>
        <v>162259.71</v>
      </c>
      <c r="H246" s="14">
        <f>+'A) Base RI'!E246</f>
        <v>0</v>
      </c>
      <c r="I246" s="14">
        <f>+'A) Base RI'!F246</f>
        <v>0</v>
      </c>
      <c r="J246" s="14">
        <f>+'A) Base RI'!G246+'A) Base RI'!H246</f>
        <v>1426.2</v>
      </c>
      <c r="K246" s="14">
        <f>+'A) Base RI'!I246</f>
        <v>0</v>
      </c>
      <c r="L246" s="14">
        <f>+'A) Base RI'!J246</f>
        <v>-633.63</v>
      </c>
      <c r="M246" s="14">
        <f>+'A) Base RI'!K246</f>
        <v>522</v>
      </c>
      <c r="N246" s="14">
        <f>+'A) Base RI'!Q246</f>
        <v>74.95</v>
      </c>
      <c r="O246" s="14">
        <f t="shared" si="19"/>
        <v>15497.125</v>
      </c>
      <c r="P246" s="14">
        <f>+'A) Base RI'!L246</f>
        <v>12397.7</v>
      </c>
      <c r="Q246" s="42">
        <f>'A) Base RI'!Y246</f>
        <v>0.8</v>
      </c>
      <c r="R246" s="4">
        <f t="shared" si="20"/>
        <v>179146.35500000001</v>
      </c>
      <c r="S246" s="41">
        <f>'A) Base RI'!T246</f>
        <v>77</v>
      </c>
      <c r="T246" s="4">
        <f t="shared" si="21"/>
        <v>163127.23000000001</v>
      </c>
      <c r="U246" s="4">
        <f t="shared" si="22"/>
        <v>2326.5760389610391</v>
      </c>
      <c r="V246" s="14">
        <f>+'A) Base RI'!O246</f>
        <v>0</v>
      </c>
      <c r="W246" s="14">
        <f>+'A) Base RI'!P246</f>
        <v>12100</v>
      </c>
      <c r="X246" s="14">
        <f>+'A) Base RI'!R246</f>
        <v>7317.2</v>
      </c>
      <c r="Y246" s="4">
        <f t="shared" si="23"/>
        <v>19417.2</v>
      </c>
      <c r="Z246" s="14">
        <f>+'A) Base RI'!N246</f>
        <v>0</v>
      </c>
      <c r="AA246" s="14">
        <f>'A) Base RI'!U246</f>
        <v>130</v>
      </c>
    </row>
    <row r="247" spans="1:27" x14ac:dyDescent="0.25">
      <c r="A247" s="12">
        <f>'A) Base RI'!A247</f>
        <v>5813</v>
      </c>
      <c r="B247" s="40" t="str">
        <f>'A) Base RI'!B247</f>
        <v>Chevroux</v>
      </c>
      <c r="C247" s="14">
        <f>'A) Base RI'!C247+'A) Base RI'!D247</f>
        <v>714580.94</v>
      </c>
      <c r="D247" s="14">
        <f>'A) Base RI'!V247</f>
        <v>-9968.73</v>
      </c>
      <c r="E247" s="39">
        <f>'A) Base RI'!W247</f>
        <v>0</v>
      </c>
      <c r="F247" s="39">
        <f>'A) Base RI'!X247</f>
        <v>-1.72</v>
      </c>
      <c r="G247" s="4">
        <f t="shared" si="18"/>
        <v>704610.49</v>
      </c>
      <c r="H247" s="14">
        <f>+'A) Base RI'!E247</f>
        <v>0</v>
      </c>
      <c r="I247" s="14">
        <f>+'A) Base RI'!F247</f>
        <v>2770</v>
      </c>
      <c r="J247" s="14">
        <f>+'A) Base RI'!G247+'A) Base RI'!H247</f>
        <v>16272.55</v>
      </c>
      <c r="K247" s="14">
        <f>+'A) Base RI'!I247</f>
        <v>0</v>
      </c>
      <c r="L247" s="14">
        <f>+'A) Base RI'!J247</f>
        <v>10789.56</v>
      </c>
      <c r="M247" s="14">
        <f>+'A) Base RI'!K247</f>
        <v>0</v>
      </c>
      <c r="N247" s="14">
        <f>+'A) Base RI'!Q247</f>
        <v>131.54</v>
      </c>
      <c r="O247" s="14">
        <f t="shared" si="19"/>
        <v>70658.958333333343</v>
      </c>
      <c r="P247" s="14">
        <f>+'A) Base RI'!L247</f>
        <v>84790.75</v>
      </c>
      <c r="Q247" s="42">
        <f>'A) Base RI'!Y247</f>
        <v>1.2</v>
      </c>
      <c r="R247" s="4">
        <f t="shared" si="20"/>
        <v>805233.0983333335</v>
      </c>
      <c r="S247" s="41">
        <f>'A) Base RI'!T247</f>
        <v>70</v>
      </c>
      <c r="T247" s="4">
        <f t="shared" si="21"/>
        <v>731804.14000000013</v>
      </c>
      <c r="U247" s="4">
        <f t="shared" si="22"/>
        <v>11503.329976190478</v>
      </c>
      <c r="V247" s="14">
        <f>+'A) Base RI'!O247</f>
        <v>10378.1</v>
      </c>
      <c r="W247" s="14">
        <f>+'A) Base RI'!P247</f>
        <v>20020</v>
      </c>
      <c r="X247" s="14">
        <f>+'A) Base RI'!R247</f>
        <v>34091.35</v>
      </c>
      <c r="Y247" s="4">
        <f t="shared" si="23"/>
        <v>64489.45</v>
      </c>
      <c r="Z247" s="14">
        <f>+'A) Base RI'!N247</f>
        <v>0</v>
      </c>
      <c r="AA247" s="14">
        <f>'A) Base RI'!U247</f>
        <v>446</v>
      </c>
    </row>
    <row r="248" spans="1:27" x14ac:dyDescent="0.25">
      <c r="A248" s="12">
        <f>'A) Base RI'!A248</f>
        <v>5816</v>
      </c>
      <c r="B248" s="40" t="str">
        <f>'A) Base RI'!B248</f>
        <v>Corcelles-près-Payerne</v>
      </c>
      <c r="C248" s="14">
        <f>'A) Base RI'!C248+'A) Base RI'!D248</f>
        <v>3384869.98</v>
      </c>
      <c r="D248" s="14">
        <f>'A) Base RI'!V248</f>
        <v>-64163.8</v>
      </c>
      <c r="E248" s="39">
        <f>'A) Base RI'!W248</f>
        <v>0</v>
      </c>
      <c r="F248" s="39">
        <f>'A) Base RI'!X248</f>
        <v>-127.57</v>
      </c>
      <c r="G248" s="4">
        <f t="shared" si="18"/>
        <v>3320578.6100000003</v>
      </c>
      <c r="H248" s="14">
        <f>+'A) Base RI'!E248</f>
        <v>0</v>
      </c>
      <c r="I248" s="14">
        <f>+'A) Base RI'!F248</f>
        <v>0</v>
      </c>
      <c r="J248" s="14">
        <f>+'A) Base RI'!G248+'A) Base RI'!H248</f>
        <v>230500.55</v>
      </c>
      <c r="K248" s="14">
        <f>+'A) Base RI'!I248</f>
        <v>0</v>
      </c>
      <c r="L248" s="14">
        <f>+'A) Base RI'!J248</f>
        <v>188760.21</v>
      </c>
      <c r="M248" s="14">
        <f>+'A) Base RI'!K248</f>
        <v>22613.5</v>
      </c>
      <c r="N248" s="14">
        <f>+'A) Base RI'!Q248</f>
        <v>18297.8</v>
      </c>
      <c r="O248" s="14">
        <f t="shared" si="19"/>
        <v>297406.14285714284</v>
      </c>
      <c r="P248" s="14">
        <f>+'A) Base RI'!L248</f>
        <v>208184.3</v>
      </c>
      <c r="Q248" s="42">
        <f>'A) Base RI'!Y248</f>
        <v>0.7</v>
      </c>
      <c r="R248" s="4">
        <f t="shared" si="20"/>
        <v>4078156.8128571426</v>
      </c>
      <c r="S248" s="41">
        <f>'A) Base RI'!T248</f>
        <v>72</v>
      </c>
      <c r="T248" s="4">
        <f t="shared" si="21"/>
        <v>3758137.17</v>
      </c>
      <c r="U248" s="4">
        <f t="shared" si="22"/>
        <v>56641.066845238092</v>
      </c>
      <c r="V248" s="14">
        <f>+'A) Base RI'!O248</f>
        <v>1261.2</v>
      </c>
      <c r="W248" s="14">
        <f>+'A) Base RI'!P248</f>
        <v>120484.85</v>
      </c>
      <c r="X248" s="14">
        <f>+'A) Base RI'!R248</f>
        <v>125314.9</v>
      </c>
      <c r="Y248" s="4">
        <f t="shared" si="23"/>
        <v>247060.95</v>
      </c>
      <c r="Z248" s="14">
        <f>+'A) Base RI'!N248</f>
        <v>9123.2000000000007</v>
      </c>
      <c r="AA248" s="14">
        <f>'A) Base RI'!U248</f>
        <v>2393</v>
      </c>
    </row>
    <row r="249" spans="1:27" x14ac:dyDescent="0.25">
      <c r="A249" s="12">
        <f>'A) Base RI'!A249</f>
        <v>5817</v>
      </c>
      <c r="B249" s="40" t="str">
        <f>'A) Base RI'!B249</f>
        <v>Grandcour</v>
      </c>
      <c r="C249" s="14">
        <f>'A) Base RI'!C249+'A) Base RI'!D249</f>
        <v>1504292.44</v>
      </c>
      <c r="D249" s="14">
        <f>'A) Base RI'!V249</f>
        <v>-21376.25</v>
      </c>
      <c r="E249" s="39">
        <f>'A) Base RI'!W249</f>
        <v>0</v>
      </c>
      <c r="F249" s="39">
        <f>'A) Base RI'!X249</f>
        <v>-4.33</v>
      </c>
      <c r="G249" s="4">
        <f t="shared" si="18"/>
        <v>1482911.8599999999</v>
      </c>
      <c r="H249" s="14">
        <f>+'A) Base RI'!E249</f>
        <v>0</v>
      </c>
      <c r="I249" s="14">
        <f>+'A) Base RI'!F249</f>
        <v>4740</v>
      </c>
      <c r="J249" s="14">
        <f>+'A) Base RI'!G249+'A) Base RI'!H249</f>
        <v>31098.55</v>
      </c>
      <c r="K249" s="14">
        <f>+'A) Base RI'!I249</f>
        <v>0</v>
      </c>
      <c r="L249" s="14">
        <f>+'A) Base RI'!J249</f>
        <v>43441.94</v>
      </c>
      <c r="M249" s="14">
        <f>+'A) Base RI'!K249</f>
        <v>3544.5</v>
      </c>
      <c r="N249" s="14">
        <f>+'A) Base RI'!Q249</f>
        <v>0</v>
      </c>
      <c r="O249" s="14">
        <f t="shared" si="19"/>
        <v>103011.9</v>
      </c>
      <c r="P249" s="14">
        <f>+'A) Base RI'!L249</f>
        <v>103011.9</v>
      </c>
      <c r="Q249" s="42">
        <f>'A) Base RI'!Y249</f>
        <v>1</v>
      </c>
      <c r="R249" s="4">
        <f t="shared" si="20"/>
        <v>1668748.7499999998</v>
      </c>
      <c r="S249" s="41">
        <f>'A) Base RI'!T249</f>
        <v>79.5</v>
      </c>
      <c r="T249" s="4">
        <f t="shared" si="21"/>
        <v>1557452.3499999999</v>
      </c>
      <c r="U249" s="4">
        <f t="shared" si="22"/>
        <v>20990.550314465407</v>
      </c>
      <c r="V249" s="14">
        <f>+'A) Base RI'!O249</f>
        <v>8052</v>
      </c>
      <c r="W249" s="14">
        <f>+'A) Base RI'!P249</f>
        <v>42546.75</v>
      </c>
      <c r="X249" s="14">
        <f>+'A) Base RI'!R249</f>
        <v>25765.45</v>
      </c>
      <c r="Y249" s="4">
        <f t="shared" si="23"/>
        <v>76364.2</v>
      </c>
      <c r="Z249" s="14">
        <f>+'A) Base RI'!N249</f>
        <v>254.85</v>
      </c>
      <c r="AA249" s="14">
        <f>'A) Base RI'!U249</f>
        <v>885</v>
      </c>
    </row>
    <row r="250" spans="1:27" x14ac:dyDescent="0.25">
      <c r="A250" s="12">
        <f>'A) Base RI'!A250</f>
        <v>5819</v>
      </c>
      <c r="B250" s="40" t="str">
        <f>'A) Base RI'!B250</f>
        <v>Henniez</v>
      </c>
      <c r="C250" s="14">
        <f>'A) Base RI'!C250+'A) Base RI'!D250</f>
        <v>435144.9</v>
      </c>
      <c r="D250" s="14">
        <f>'A) Base RI'!V250</f>
        <v>-8398.57</v>
      </c>
      <c r="E250" s="39">
        <f>'A) Base RI'!W250</f>
        <v>0</v>
      </c>
      <c r="F250" s="39">
        <f>'A) Base RI'!X250</f>
        <v>-250.6</v>
      </c>
      <c r="G250" s="4">
        <f t="shared" si="18"/>
        <v>426495.73000000004</v>
      </c>
      <c r="H250" s="14">
        <f>+'A) Base RI'!E250</f>
        <v>0</v>
      </c>
      <c r="I250" s="14">
        <f>+'A) Base RI'!F250</f>
        <v>0</v>
      </c>
      <c r="J250" s="14">
        <f>+'A) Base RI'!G250+'A) Base RI'!H250</f>
        <v>454418.1</v>
      </c>
      <c r="K250" s="14">
        <f>+'A) Base RI'!I250</f>
        <v>0</v>
      </c>
      <c r="L250" s="14">
        <f>+'A) Base RI'!J250</f>
        <v>44083.09</v>
      </c>
      <c r="M250" s="14">
        <f>+'A) Base RI'!K250</f>
        <v>1413.3</v>
      </c>
      <c r="N250" s="14">
        <f>+'A) Base RI'!Q250</f>
        <v>1270.77</v>
      </c>
      <c r="O250" s="14">
        <f t="shared" si="19"/>
        <v>73951.850000000006</v>
      </c>
      <c r="P250" s="14">
        <f>+'A) Base RI'!L250</f>
        <v>73951.850000000006</v>
      </c>
      <c r="Q250" s="42">
        <f>'A) Base RI'!Y250</f>
        <v>1</v>
      </c>
      <c r="R250" s="4">
        <f t="shared" si="20"/>
        <v>1001632.8400000001</v>
      </c>
      <c r="S250" s="41">
        <f>'A) Base RI'!T250</f>
        <v>67</v>
      </c>
      <c r="T250" s="4">
        <f t="shared" si="21"/>
        <v>926267.69000000006</v>
      </c>
      <c r="U250" s="4">
        <f t="shared" si="22"/>
        <v>14949.743880597016</v>
      </c>
      <c r="V250" s="14">
        <f>+'A) Base RI'!O250</f>
        <v>287.8</v>
      </c>
      <c r="W250" s="14">
        <f>+'A) Base RI'!P250</f>
        <v>24893</v>
      </c>
      <c r="X250" s="14">
        <f>+'A) Base RI'!R250</f>
        <v>11659.3</v>
      </c>
      <c r="Y250" s="4">
        <f t="shared" si="23"/>
        <v>36840.1</v>
      </c>
      <c r="Z250" s="14">
        <f>+'A) Base RI'!N250</f>
        <v>18513.650000000001</v>
      </c>
      <c r="AA250" s="14">
        <f>'A) Base RI'!U250</f>
        <v>338</v>
      </c>
    </row>
    <row r="251" spans="1:27" x14ac:dyDescent="0.25">
      <c r="A251" s="12">
        <f>'A) Base RI'!A251</f>
        <v>5821</v>
      </c>
      <c r="B251" s="40" t="str">
        <f>'A) Base RI'!B251</f>
        <v>Missy</v>
      </c>
      <c r="C251" s="14">
        <f>'A) Base RI'!C251+'A) Base RI'!D251</f>
        <v>472148.08</v>
      </c>
      <c r="D251" s="14">
        <f>'A) Base RI'!V251</f>
        <v>-12516.84</v>
      </c>
      <c r="E251" s="39">
        <f>'A) Base RI'!W251</f>
        <v>0</v>
      </c>
      <c r="F251" s="39">
        <f>'A) Base RI'!X251</f>
        <v>0</v>
      </c>
      <c r="G251" s="4">
        <f t="shared" si="18"/>
        <v>459631.24</v>
      </c>
      <c r="H251" s="14">
        <f>+'A) Base RI'!E251</f>
        <v>0</v>
      </c>
      <c r="I251" s="14">
        <f>+'A) Base RI'!F251</f>
        <v>0</v>
      </c>
      <c r="J251" s="14">
        <f>+'A) Base RI'!G251+'A) Base RI'!H251</f>
        <v>5519.8</v>
      </c>
      <c r="K251" s="14">
        <f>+'A) Base RI'!I251</f>
        <v>0</v>
      </c>
      <c r="L251" s="14">
        <f>+'A) Base RI'!J251</f>
        <v>32243.17</v>
      </c>
      <c r="M251" s="14">
        <f>+'A) Base RI'!K251</f>
        <v>1306.5</v>
      </c>
      <c r="N251" s="14">
        <f>+'A) Base RI'!Q251</f>
        <v>15611.6</v>
      </c>
      <c r="O251" s="14">
        <f t="shared" si="19"/>
        <v>45578.3</v>
      </c>
      <c r="P251" s="14">
        <f>+'A) Base RI'!L251</f>
        <v>45578.3</v>
      </c>
      <c r="Q251" s="42">
        <f>'A) Base RI'!Y251</f>
        <v>1</v>
      </c>
      <c r="R251" s="4">
        <f t="shared" si="20"/>
        <v>559890.61</v>
      </c>
      <c r="S251" s="41">
        <f>'A) Base RI'!T251</f>
        <v>72</v>
      </c>
      <c r="T251" s="4">
        <f t="shared" si="21"/>
        <v>513005.80999999994</v>
      </c>
      <c r="U251" s="4">
        <f t="shared" si="22"/>
        <v>7776.2584722222218</v>
      </c>
      <c r="V251" s="14">
        <f>+'A) Base RI'!O251</f>
        <v>0</v>
      </c>
      <c r="W251" s="14">
        <f>+'A) Base RI'!P251</f>
        <v>24211</v>
      </c>
      <c r="X251" s="14">
        <f>+'A) Base RI'!R251</f>
        <v>14385.1</v>
      </c>
      <c r="Y251" s="4">
        <f t="shared" si="23"/>
        <v>38596.1</v>
      </c>
      <c r="Z251" s="14">
        <f>+'A) Base RI'!N251</f>
        <v>0</v>
      </c>
      <c r="AA251" s="14">
        <f>'A) Base RI'!U251</f>
        <v>361</v>
      </c>
    </row>
    <row r="252" spans="1:27" x14ac:dyDescent="0.25">
      <c r="A252" s="12">
        <f>'A) Base RI'!A252</f>
        <v>5822</v>
      </c>
      <c r="B252" s="40" t="str">
        <f>'A) Base RI'!B252</f>
        <v>Payerne</v>
      </c>
      <c r="C252" s="14">
        <f>'A) Base RI'!C252+'A) Base RI'!D252</f>
        <v>13681715.35</v>
      </c>
      <c r="D252" s="14">
        <f>'A) Base RI'!V252</f>
        <v>-513437</v>
      </c>
      <c r="E252" s="39">
        <f>'A) Base RI'!W252</f>
        <v>0</v>
      </c>
      <c r="F252" s="39">
        <f>'A) Base RI'!X252</f>
        <v>-1131.3</v>
      </c>
      <c r="G252" s="4">
        <f t="shared" si="18"/>
        <v>13167147.049999999</v>
      </c>
      <c r="H252" s="14">
        <f>+'A) Base RI'!E252</f>
        <v>0</v>
      </c>
      <c r="I252" s="14">
        <f>+'A) Base RI'!F252</f>
        <v>0</v>
      </c>
      <c r="J252" s="14">
        <f>+'A) Base RI'!G252+'A) Base RI'!H252</f>
        <v>1908993.6</v>
      </c>
      <c r="K252" s="14">
        <f>+'A) Base RI'!I252</f>
        <v>0</v>
      </c>
      <c r="L252" s="14">
        <f>+'A) Base RI'!J252</f>
        <v>789087.44</v>
      </c>
      <c r="M252" s="14">
        <f>+'A) Base RI'!K252</f>
        <v>155208.70000000001</v>
      </c>
      <c r="N252" s="14">
        <f>+'A) Base RI'!Q252</f>
        <v>122624.91</v>
      </c>
      <c r="O252" s="14">
        <f t="shared" si="19"/>
        <v>1218963.6499999999</v>
      </c>
      <c r="P252" s="14">
        <f>+'A) Base RI'!L252</f>
        <v>1218963.6499999999</v>
      </c>
      <c r="Q252" s="42">
        <f>'A) Base RI'!Y252</f>
        <v>1</v>
      </c>
      <c r="R252" s="4">
        <f t="shared" si="20"/>
        <v>17362025.349999998</v>
      </c>
      <c r="S252" s="41">
        <f>'A) Base RI'!T252</f>
        <v>75</v>
      </c>
      <c r="T252" s="4">
        <f t="shared" si="21"/>
        <v>15987852.999999998</v>
      </c>
      <c r="U252" s="4">
        <f t="shared" si="22"/>
        <v>231493.6713333333</v>
      </c>
      <c r="V252" s="14">
        <f>+'A) Base RI'!O252</f>
        <v>531872.69999999995</v>
      </c>
      <c r="W252" s="14">
        <f>+'A) Base RI'!P252</f>
        <v>548393.9</v>
      </c>
      <c r="X252" s="14">
        <f>+'A) Base RI'!R252</f>
        <v>372110.4</v>
      </c>
      <c r="Y252" s="4">
        <f t="shared" si="23"/>
        <v>1452377</v>
      </c>
      <c r="Z252" s="14">
        <f>+'A) Base RI'!N252</f>
        <v>64714.25</v>
      </c>
      <c r="AA252" s="14">
        <f>'A) Base RI'!U252</f>
        <v>9301</v>
      </c>
    </row>
    <row r="253" spans="1:27" x14ac:dyDescent="0.25">
      <c r="A253" s="12">
        <f>'A) Base RI'!A253</f>
        <v>5827</v>
      </c>
      <c r="B253" s="40" t="str">
        <f>'A) Base RI'!B253</f>
        <v>Trey</v>
      </c>
      <c r="C253" s="14">
        <f>'A) Base RI'!C253+'A) Base RI'!D253</f>
        <v>435079.35</v>
      </c>
      <c r="D253" s="14">
        <f>'A) Base RI'!V253</f>
        <v>-5180.71</v>
      </c>
      <c r="E253" s="39">
        <f>'A) Base RI'!W253</f>
        <v>0</v>
      </c>
      <c r="F253" s="39">
        <f>'A) Base RI'!X253</f>
        <v>0</v>
      </c>
      <c r="G253" s="4">
        <f t="shared" si="18"/>
        <v>429898.63999999996</v>
      </c>
      <c r="H253" s="14">
        <f>+'A) Base RI'!E253</f>
        <v>0</v>
      </c>
      <c r="I253" s="14">
        <f>+'A) Base RI'!F253</f>
        <v>1370</v>
      </c>
      <c r="J253" s="14">
        <f>+'A) Base RI'!G253+'A) Base RI'!H253</f>
        <v>20326.599999999999</v>
      </c>
      <c r="K253" s="14">
        <f>+'A) Base RI'!I253</f>
        <v>0</v>
      </c>
      <c r="L253" s="14">
        <f>+'A) Base RI'!J253</f>
        <v>16416.759999999998</v>
      </c>
      <c r="M253" s="14">
        <f>+'A) Base RI'!K253</f>
        <v>112</v>
      </c>
      <c r="N253" s="14">
        <f>+'A) Base RI'!Q253</f>
        <v>-5530.66</v>
      </c>
      <c r="O253" s="14">
        <f t="shared" si="19"/>
        <v>33800.050000000003</v>
      </c>
      <c r="P253" s="14">
        <f>+'A) Base RI'!L253</f>
        <v>33800.050000000003</v>
      </c>
      <c r="Q253" s="42">
        <f>'A) Base RI'!Y253</f>
        <v>1</v>
      </c>
      <c r="R253" s="4">
        <f t="shared" si="20"/>
        <v>496393.38999999996</v>
      </c>
      <c r="S253" s="41">
        <f>'A) Base RI'!T253</f>
        <v>80</v>
      </c>
      <c r="T253" s="4">
        <f t="shared" si="21"/>
        <v>461111.33999999997</v>
      </c>
      <c r="U253" s="4">
        <f t="shared" si="22"/>
        <v>6204.9173749999991</v>
      </c>
      <c r="V253" s="14">
        <f>+'A) Base RI'!O253</f>
        <v>0</v>
      </c>
      <c r="W253" s="14">
        <f>+'A) Base RI'!P253</f>
        <v>25635.4</v>
      </c>
      <c r="X253" s="14">
        <f>+'A) Base RI'!R253</f>
        <v>33020.9</v>
      </c>
      <c r="Y253" s="4">
        <f t="shared" si="23"/>
        <v>58656.3</v>
      </c>
      <c r="Z253" s="14">
        <f>+'A) Base RI'!N253</f>
        <v>24264.25</v>
      </c>
      <c r="AA253" s="14">
        <f>'A) Base RI'!U253</f>
        <v>260</v>
      </c>
    </row>
    <row r="254" spans="1:27" x14ac:dyDescent="0.25">
      <c r="A254" s="12">
        <f>'A) Base RI'!A254</f>
        <v>5828</v>
      </c>
      <c r="B254" s="40" t="str">
        <f>'A) Base RI'!B254</f>
        <v>Treytorrens (Payerne)</v>
      </c>
      <c r="C254" s="14">
        <f>'A) Base RI'!C254+'A) Base RI'!D254</f>
        <v>179465.72</v>
      </c>
      <c r="D254" s="14">
        <f>'A) Base RI'!V254</f>
        <v>-4036</v>
      </c>
      <c r="E254" s="39">
        <f>'A) Base RI'!W254</f>
        <v>0</v>
      </c>
      <c r="F254" s="39">
        <f>'A) Base RI'!X254</f>
        <v>-0.13</v>
      </c>
      <c r="G254" s="4">
        <f t="shared" si="18"/>
        <v>175429.59</v>
      </c>
      <c r="H254" s="14">
        <f>+'A) Base RI'!E254</f>
        <v>0</v>
      </c>
      <c r="I254" s="14">
        <f>+'A) Base RI'!F254</f>
        <v>0</v>
      </c>
      <c r="J254" s="14">
        <f>+'A) Base RI'!G254+'A) Base RI'!H254</f>
        <v>1249.45</v>
      </c>
      <c r="K254" s="14">
        <f>+'A) Base RI'!I254</f>
        <v>0</v>
      </c>
      <c r="L254" s="14">
        <f>+'A) Base RI'!J254</f>
        <v>1499.69</v>
      </c>
      <c r="M254" s="14">
        <f>+'A) Base RI'!K254</f>
        <v>0</v>
      </c>
      <c r="N254" s="14">
        <f>+'A) Base RI'!Q254</f>
        <v>5785.05</v>
      </c>
      <c r="O254" s="14">
        <f t="shared" si="19"/>
        <v>13649.199999999999</v>
      </c>
      <c r="P254" s="14">
        <f>+'A) Base RI'!L254</f>
        <v>20473.8</v>
      </c>
      <c r="Q254" s="42">
        <f>'A) Base RI'!Y254</f>
        <v>1.5</v>
      </c>
      <c r="R254" s="4">
        <f t="shared" si="20"/>
        <v>197612.98</v>
      </c>
      <c r="S254" s="41">
        <f>'A) Base RI'!T254</f>
        <v>84</v>
      </c>
      <c r="T254" s="4">
        <f t="shared" si="21"/>
        <v>183963.78</v>
      </c>
      <c r="U254" s="4">
        <f t="shared" si="22"/>
        <v>2352.5354761904764</v>
      </c>
      <c r="V254" s="14">
        <f>+'A) Base RI'!O254</f>
        <v>892.6</v>
      </c>
      <c r="W254" s="14">
        <f>+'A) Base RI'!P254</f>
        <v>4015.9</v>
      </c>
      <c r="X254" s="14">
        <f>+'A) Base RI'!R254</f>
        <v>5391.1</v>
      </c>
      <c r="Y254" s="4">
        <f t="shared" si="23"/>
        <v>10299.6</v>
      </c>
      <c r="Z254" s="14">
        <f>+'A) Base RI'!N254</f>
        <v>0</v>
      </c>
      <c r="AA254" s="14">
        <f>'A) Base RI'!U254</f>
        <v>131</v>
      </c>
    </row>
    <row r="255" spans="1:27" x14ac:dyDescent="0.25">
      <c r="A255" s="12">
        <f>'A) Base RI'!A255</f>
        <v>5830</v>
      </c>
      <c r="B255" s="40" t="str">
        <f>'A) Base RI'!B255</f>
        <v>Villarzel</v>
      </c>
      <c r="C255" s="14">
        <f>'A) Base RI'!C255+'A) Base RI'!D255</f>
        <v>707188.68</v>
      </c>
      <c r="D255" s="14">
        <f>'A) Base RI'!V255</f>
        <v>-13598.79</v>
      </c>
      <c r="E255" s="39">
        <f>'A) Base RI'!W255</f>
        <v>0</v>
      </c>
      <c r="F255" s="39">
        <f>'A) Base RI'!X255</f>
        <v>-6.08</v>
      </c>
      <c r="G255" s="4">
        <f t="shared" si="18"/>
        <v>693583.81</v>
      </c>
      <c r="H255" s="14">
        <f>+'A) Base RI'!E255</f>
        <v>0</v>
      </c>
      <c r="I255" s="14">
        <f>+'A) Base RI'!F255</f>
        <v>2490</v>
      </c>
      <c r="J255" s="14">
        <f>+'A) Base RI'!G255+'A) Base RI'!H255</f>
        <v>7384.55</v>
      </c>
      <c r="K255" s="14">
        <f>+'A) Base RI'!I255</f>
        <v>0</v>
      </c>
      <c r="L255" s="14">
        <f>+'A) Base RI'!J255</f>
        <v>10967.04</v>
      </c>
      <c r="M255" s="14">
        <f>+'A) Base RI'!K255</f>
        <v>1360.5</v>
      </c>
      <c r="N255" s="14">
        <f>+'A) Base RI'!Q255</f>
        <v>0</v>
      </c>
      <c r="O255" s="14">
        <f t="shared" si="19"/>
        <v>53467.85</v>
      </c>
      <c r="P255" s="14">
        <f>+'A) Base RI'!L255</f>
        <v>53467.85</v>
      </c>
      <c r="Q255" s="42">
        <f>'A) Base RI'!Y255</f>
        <v>1</v>
      </c>
      <c r="R255" s="4">
        <f t="shared" si="20"/>
        <v>769253.75000000012</v>
      </c>
      <c r="S255" s="41">
        <f>'A) Base RI'!T255</f>
        <v>79</v>
      </c>
      <c r="T255" s="4">
        <f t="shared" si="21"/>
        <v>711935.40000000014</v>
      </c>
      <c r="U255" s="4">
        <f t="shared" si="22"/>
        <v>9737.3892405063307</v>
      </c>
      <c r="V255" s="14">
        <f>+'A) Base RI'!O255</f>
        <v>0</v>
      </c>
      <c r="W255" s="14">
        <f>+'A) Base RI'!P255</f>
        <v>28417.85</v>
      </c>
      <c r="X255" s="14">
        <f>+'A) Base RI'!R255</f>
        <v>28796.7</v>
      </c>
      <c r="Y255" s="4">
        <f t="shared" si="23"/>
        <v>57214.55</v>
      </c>
      <c r="Z255" s="14">
        <f>+'A) Base RI'!N255</f>
        <v>0</v>
      </c>
      <c r="AA255" s="14">
        <f>'A) Base RI'!U255</f>
        <v>424</v>
      </c>
    </row>
    <row r="256" spans="1:27" x14ac:dyDescent="0.25">
      <c r="A256" s="12">
        <f>'A) Base RI'!A256</f>
        <v>5831</v>
      </c>
      <c r="B256" s="40" t="str">
        <f>'A) Base RI'!B256</f>
        <v>Valbroye</v>
      </c>
      <c r="C256" s="14">
        <f>'A) Base RI'!C256+'A) Base RI'!D256</f>
        <v>4593737.87</v>
      </c>
      <c r="D256" s="14">
        <f>'A) Base RI'!V256</f>
        <v>-83670.2</v>
      </c>
      <c r="E256" s="39">
        <f>'A) Base RI'!W256</f>
        <v>0</v>
      </c>
      <c r="F256" s="39">
        <f>'A) Base RI'!X256</f>
        <v>-150.69</v>
      </c>
      <c r="G256" s="4">
        <f t="shared" si="18"/>
        <v>4509916.9799999995</v>
      </c>
      <c r="H256" s="14">
        <f>+'A) Base RI'!E256</f>
        <v>0</v>
      </c>
      <c r="I256" s="14">
        <f>+'A) Base RI'!F256</f>
        <v>0</v>
      </c>
      <c r="J256" s="14">
        <f>+'A) Base RI'!G256+'A) Base RI'!H256</f>
        <v>416448.7</v>
      </c>
      <c r="K256" s="14">
        <f>+'A) Base RI'!I256</f>
        <v>0</v>
      </c>
      <c r="L256" s="14">
        <f>+'A) Base RI'!J256</f>
        <v>157629.22</v>
      </c>
      <c r="M256" s="14">
        <f>+'A) Base RI'!K256</f>
        <v>15634.5</v>
      </c>
      <c r="N256" s="14">
        <f>+'A) Base RI'!Q256</f>
        <v>-1331.71</v>
      </c>
      <c r="O256" s="14">
        <f t="shared" si="19"/>
        <v>387118.83333333331</v>
      </c>
      <c r="P256" s="14">
        <f>+'A) Base RI'!L256</f>
        <v>232271.3</v>
      </c>
      <c r="Q256" s="42">
        <f>'A) Base RI'!Y256</f>
        <v>0.6</v>
      </c>
      <c r="R256" s="4">
        <f t="shared" si="20"/>
        <v>5485416.5233333325</v>
      </c>
      <c r="S256" s="41">
        <f>'A) Base RI'!T256</f>
        <v>73</v>
      </c>
      <c r="T256" s="4">
        <f t="shared" si="21"/>
        <v>5082663.1899999995</v>
      </c>
      <c r="U256" s="4">
        <f t="shared" si="22"/>
        <v>75142.69210045661</v>
      </c>
      <c r="V256" s="14">
        <f>+'A) Base RI'!O256</f>
        <v>109325.7</v>
      </c>
      <c r="W256" s="14">
        <f>+'A) Base RI'!P256</f>
        <v>128402.45</v>
      </c>
      <c r="X256" s="14">
        <f>+'A) Base RI'!R256</f>
        <v>84098.85</v>
      </c>
      <c r="Y256" s="4">
        <f t="shared" si="23"/>
        <v>321827</v>
      </c>
      <c r="Z256" s="14">
        <f>+'A) Base RI'!N256</f>
        <v>31674.95</v>
      </c>
      <c r="AA256" s="14">
        <f>'A) Base RI'!U256</f>
        <v>2974</v>
      </c>
    </row>
    <row r="257" spans="1:27" x14ac:dyDescent="0.25">
      <c r="A257" s="12">
        <f>'A) Base RI'!A257</f>
        <v>5841</v>
      </c>
      <c r="B257" s="40" t="str">
        <f>'A) Base RI'!B257</f>
        <v>Château-d'Oex</v>
      </c>
      <c r="C257" s="14">
        <f>'A) Base RI'!C257+'A) Base RI'!D257</f>
        <v>6833502.5800000001</v>
      </c>
      <c r="D257" s="14">
        <f>'A) Base RI'!V257</f>
        <v>-188026.66</v>
      </c>
      <c r="E257" s="39">
        <f>'A) Base RI'!W257</f>
        <v>0</v>
      </c>
      <c r="F257" s="39">
        <f>'A) Base RI'!X257</f>
        <v>-800.02</v>
      </c>
      <c r="G257" s="4">
        <f t="shared" si="18"/>
        <v>6644675.9000000004</v>
      </c>
      <c r="H257" s="14">
        <f>+'A) Base RI'!E257</f>
        <v>0</v>
      </c>
      <c r="I257" s="14">
        <f>+'A) Base RI'!F257</f>
        <v>0</v>
      </c>
      <c r="J257" s="14">
        <f>+'A) Base RI'!G257+'A) Base RI'!H257</f>
        <v>409438.05</v>
      </c>
      <c r="K257" s="14">
        <f>+'A) Base RI'!I257</f>
        <v>448662.6</v>
      </c>
      <c r="L257" s="14">
        <f>+'A) Base RI'!J257</f>
        <v>394498.73</v>
      </c>
      <c r="M257" s="14">
        <f>+'A) Base RI'!K257</f>
        <v>32864</v>
      </c>
      <c r="N257" s="14">
        <f>+'A) Base RI'!Q257</f>
        <v>17982.62</v>
      </c>
      <c r="O257" s="14">
        <f t="shared" si="19"/>
        <v>887838.91999999993</v>
      </c>
      <c r="P257" s="14">
        <f>+'A) Base RI'!L257</f>
        <v>1331758.3799999999</v>
      </c>
      <c r="Q257" s="42">
        <f>'A) Base RI'!Y257</f>
        <v>1.5</v>
      </c>
      <c r="R257" s="4">
        <f t="shared" si="20"/>
        <v>8835960.8200000003</v>
      </c>
      <c r="S257" s="41">
        <f>'A) Base RI'!T257</f>
        <v>83</v>
      </c>
      <c r="T257" s="4">
        <f t="shared" si="21"/>
        <v>7915257.8999999994</v>
      </c>
      <c r="U257" s="4">
        <f t="shared" si="22"/>
        <v>106457.35927710844</v>
      </c>
      <c r="V257" s="14">
        <f>+'A) Base RI'!O257</f>
        <v>316487.7</v>
      </c>
      <c r="W257" s="14">
        <f>+'A) Base RI'!P257</f>
        <v>445879.5</v>
      </c>
      <c r="X257" s="14">
        <f>+'A) Base RI'!R257</f>
        <v>405446.1</v>
      </c>
      <c r="Y257" s="4">
        <f t="shared" si="23"/>
        <v>1167813.2999999998</v>
      </c>
      <c r="Z257" s="14">
        <f>+'A) Base RI'!N257</f>
        <v>0</v>
      </c>
      <c r="AA257" s="14">
        <f>'A) Base RI'!U257</f>
        <v>3477</v>
      </c>
    </row>
    <row r="258" spans="1:27" x14ac:dyDescent="0.25">
      <c r="A258" s="12">
        <f>'A) Base RI'!A258</f>
        <v>5842</v>
      </c>
      <c r="B258" s="40" t="str">
        <f>'A) Base RI'!B258</f>
        <v>Rossinière</v>
      </c>
      <c r="C258" s="14">
        <f>'A) Base RI'!C258+'A) Base RI'!D258</f>
        <v>968130.45</v>
      </c>
      <c r="D258" s="14">
        <f>'A) Base RI'!V258</f>
        <v>-6930.42</v>
      </c>
      <c r="E258" s="39">
        <f>'A) Base RI'!W258</f>
        <v>0</v>
      </c>
      <c r="F258" s="39">
        <f>'A) Base RI'!X258</f>
        <v>-418.58</v>
      </c>
      <c r="G258" s="4">
        <f t="shared" si="18"/>
        <v>960781.45</v>
      </c>
      <c r="H258" s="14">
        <f>+'A) Base RI'!E258</f>
        <v>0</v>
      </c>
      <c r="I258" s="14">
        <f>+'A) Base RI'!F258</f>
        <v>0</v>
      </c>
      <c r="J258" s="14">
        <f>+'A) Base RI'!G258+'A) Base RI'!H258</f>
        <v>12191.15</v>
      </c>
      <c r="K258" s="14">
        <f>+'A) Base RI'!I258</f>
        <v>20833.599999999999</v>
      </c>
      <c r="L258" s="14">
        <f>+'A) Base RI'!J258</f>
        <v>16773.27</v>
      </c>
      <c r="M258" s="14">
        <f>+'A) Base RI'!K258</f>
        <v>387.5</v>
      </c>
      <c r="N258" s="14">
        <f>+'A) Base RI'!Q258</f>
        <v>0</v>
      </c>
      <c r="O258" s="14">
        <f t="shared" si="19"/>
        <v>84104.400000000009</v>
      </c>
      <c r="P258" s="14">
        <f>+'A) Base RI'!L258</f>
        <v>126156.6</v>
      </c>
      <c r="Q258" s="42">
        <f>'A) Base RI'!Y258</f>
        <v>1.5</v>
      </c>
      <c r="R258" s="4">
        <f t="shared" si="20"/>
        <v>1095071.3699999999</v>
      </c>
      <c r="S258" s="41">
        <f>'A) Base RI'!T258</f>
        <v>81</v>
      </c>
      <c r="T258" s="4">
        <f t="shared" si="21"/>
        <v>1010579.47</v>
      </c>
      <c r="U258" s="4">
        <f t="shared" si="22"/>
        <v>13519.399629629628</v>
      </c>
      <c r="V258" s="14">
        <f>+'A) Base RI'!O258</f>
        <v>160449.20000000001</v>
      </c>
      <c r="W258" s="14">
        <f>+'A) Base RI'!P258</f>
        <v>26405.35</v>
      </c>
      <c r="X258" s="14">
        <f>+'A) Base RI'!R258</f>
        <v>25996.2</v>
      </c>
      <c r="Y258" s="4">
        <f t="shared" si="23"/>
        <v>212850.75000000003</v>
      </c>
      <c r="Z258" s="14">
        <f>+'A) Base RI'!N258</f>
        <v>0</v>
      </c>
      <c r="AA258" s="14">
        <f>'A) Base RI'!U258</f>
        <v>546</v>
      </c>
    </row>
    <row r="259" spans="1:27" x14ac:dyDescent="0.25">
      <c r="A259" s="12">
        <f>'A) Base RI'!A259</f>
        <v>5843</v>
      </c>
      <c r="B259" s="40" t="str">
        <f>'A) Base RI'!B259</f>
        <v>Rougemont</v>
      </c>
      <c r="C259" s="14">
        <f>'A) Base RI'!C259+'A) Base RI'!D259</f>
        <v>3399535.02</v>
      </c>
      <c r="D259" s="14">
        <f>'A) Base RI'!V259</f>
        <v>-6623.46</v>
      </c>
      <c r="E259" s="39">
        <f>'A) Base RI'!W259</f>
        <v>0</v>
      </c>
      <c r="F259" s="39">
        <f>'A) Base RI'!X259</f>
        <v>-6102.86</v>
      </c>
      <c r="G259" s="4">
        <f t="shared" si="18"/>
        <v>3386808.7</v>
      </c>
      <c r="H259" s="14">
        <f>+'A) Base RI'!E259</f>
        <v>0</v>
      </c>
      <c r="I259" s="14">
        <f>+'A) Base RI'!F259</f>
        <v>0</v>
      </c>
      <c r="J259" s="14">
        <f>+'A) Base RI'!G259+'A) Base RI'!H259</f>
        <v>254909.15000000002</v>
      </c>
      <c r="K259" s="14">
        <f>+'A) Base RI'!I259</f>
        <v>1593270.22</v>
      </c>
      <c r="L259" s="14">
        <f>+'A) Base RI'!J259</f>
        <v>100403.79</v>
      </c>
      <c r="M259" s="14">
        <f>+'A) Base RI'!K259</f>
        <v>28267</v>
      </c>
      <c r="N259" s="14">
        <f>+'A) Base RI'!Q259</f>
        <v>6126.52</v>
      </c>
      <c r="O259" s="14">
        <f t="shared" si="19"/>
        <v>716941.33333333337</v>
      </c>
      <c r="P259" s="14">
        <f>+'A) Base RI'!L259</f>
        <v>1075412</v>
      </c>
      <c r="Q259" s="42">
        <f>'A) Base RI'!Y259</f>
        <v>1.5</v>
      </c>
      <c r="R259" s="4">
        <f t="shared" si="20"/>
        <v>6086726.7133333329</v>
      </c>
      <c r="S259" s="41">
        <f>'A) Base RI'!T259</f>
        <v>69</v>
      </c>
      <c r="T259" s="4">
        <f t="shared" si="21"/>
        <v>5341518.38</v>
      </c>
      <c r="U259" s="4">
        <f t="shared" si="22"/>
        <v>88213.430628019312</v>
      </c>
      <c r="V259" s="14">
        <f>+'A) Base RI'!O259</f>
        <v>589253.9</v>
      </c>
      <c r="W259" s="14">
        <f>+'A) Base RI'!P259</f>
        <v>215426.9</v>
      </c>
      <c r="X259" s="14">
        <f>+'A) Base RI'!R259</f>
        <v>876013.55</v>
      </c>
      <c r="Y259" s="4">
        <f t="shared" si="23"/>
        <v>1680694.35</v>
      </c>
      <c r="Z259" s="14">
        <f>+'A) Base RI'!N259</f>
        <v>0</v>
      </c>
      <c r="AA259" s="14">
        <f>'A) Base RI'!U259</f>
        <v>892</v>
      </c>
    </row>
    <row r="260" spans="1:27" x14ac:dyDescent="0.25">
      <c r="A260" s="12">
        <f>'A) Base RI'!A260</f>
        <v>5851</v>
      </c>
      <c r="B260" s="40" t="str">
        <f>'A) Base RI'!B260</f>
        <v>Allaman</v>
      </c>
      <c r="C260" s="14">
        <f>'A) Base RI'!C260+'A) Base RI'!D260</f>
        <v>1025235.22</v>
      </c>
      <c r="D260" s="14">
        <f>'A) Base RI'!V260</f>
        <v>-9934.33</v>
      </c>
      <c r="E260" s="39">
        <f>'A) Base RI'!W260</f>
        <v>0</v>
      </c>
      <c r="F260" s="39">
        <f>'A) Base RI'!X260</f>
        <v>-277.47000000000003</v>
      </c>
      <c r="G260" s="4">
        <f t="shared" si="18"/>
        <v>1015023.42</v>
      </c>
      <c r="H260" s="14">
        <f>+'A) Base RI'!E260</f>
        <v>0</v>
      </c>
      <c r="I260" s="14">
        <f>+'A) Base RI'!F260</f>
        <v>0</v>
      </c>
      <c r="J260" s="14">
        <f>+'A) Base RI'!G260+'A) Base RI'!H260</f>
        <v>292733.05</v>
      </c>
      <c r="K260" s="14">
        <f>+'A) Base RI'!I260</f>
        <v>77283.350000000006</v>
      </c>
      <c r="L260" s="14">
        <f>+'A) Base RI'!J260</f>
        <v>53521.59</v>
      </c>
      <c r="M260" s="14">
        <f>+'A) Base RI'!K260</f>
        <v>27171</v>
      </c>
      <c r="N260" s="14">
        <f>+'A) Base RI'!Q260</f>
        <v>254.33</v>
      </c>
      <c r="O260" s="14">
        <f t="shared" si="19"/>
        <v>201852.27272727271</v>
      </c>
      <c r="P260" s="14">
        <f>+'A) Base RI'!L260</f>
        <v>222037.5</v>
      </c>
      <c r="Q260" s="42">
        <f>'A) Base RI'!Y260</f>
        <v>1.1000000000000001</v>
      </c>
      <c r="R260" s="4">
        <f t="shared" si="20"/>
        <v>1667839.0127272729</v>
      </c>
      <c r="S260" s="41">
        <f>'A) Base RI'!T260</f>
        <v>62</v>
      </c>
      <c r="T260" s="4">
        <f t="shared" si="21"/>
        <v>1438815.7400000002</v>
      </c>
      <c r="U260" s="4">
        <f t="shared" si="22"/>
        <v>26900.629237536661</v>
      </c>
      <c r="V260" s="14">
        <f>+'A) Base RI'!O260</f>
        <v>10856.9</v>
      </c>
      <c r="W260" s="14">
        <f>+'A) Base RI'!P260</f>
        <v>10333.200000000001</v>
      </c>
      <c r="X260" s="14">
        <f>+'A) Base RI'!R260</f>
        <v>855188.45</v>
      </c>
      <c r="Y260" s="4">
        <f t="shared" si="23"/>
        <v>876378.54999999993</v>
      </c>
      <c r="Z260" s="14">
        <f>+'A) Base RI'!N260</f>
        <v>34609.599999999999</v>
      </c>
      <c r="AA260" s="14">
        <f>'A) Base RI'!U260</f>
        <v>432</v>
      </c>
    </row>
    <row r="261" spans="1:27" x14ac:dyDescent="0.25">
      <c r="A261" s="12">
        <f>'A) Base RI'!A261</f>
        <v>5852</v>
      </c>
      <c r="B261" s="40" t="str">
        <f>'A) Base RI'!B261</f>
        <v>Bursinel</v>
      </c>
      <c r="C261" s="14">
        <f>'A) Base RI'!C261+'A) Base RI'!D261</f>
        <v>1432659.42</v>
      </c>
      <c r="D261" s="14">
        <f>'A) Base RI'!V261</f>
        <v>-35588.120000000003</v>
      </c>
      <c r="E261" s="39">
        <f>'A) Base RI'!W261</f>
        <v>0</v>
      </c>
      <c r="F261" s="39">
        <f>'A) Base RI'!X261</f>
        <v>-213.14</v>
      </c>
      <c r="G261" s="4">
        <f t="shared" si="18"/>
        <v>1396858.16</v>
      </c>
      <c r="H261" s="14">
        <f>+'A) Base RI'!E261</f>
        <v>0</v>
      </c>
      <c r="I261" s="14">
        <f>+'A) Base RI'!F261</f>
        <v>0</v>
      </c>
      <c r="J261" s="14">
        <f>+'A) Base RI'!G261+'A) Base RI'!H261</f>
        <v>17329.449999999997</v>
      </c>
      <c r="K261" s="14">
        <f>+'A) Base RI'!I261</f>
        <v>321122</v>
      </c>
      <c r="L261" s="14">
        <f>+'A) Base RI'!J261</f>
        <v>42172.88</v>
      </c>
      <c r="M261" s="14">
        <f>+'A) Base RI'!K261</f>
        <v>7815</v>
      </c>
      <c r="N261" s="14">
        <f>+'A) Base RI'!Q261</f>
        <v>4877.99</v>
      </c>
      <c r="O261" s="14">
        <f t="shared" si="19"/>
        <v>169734.6</v>
      </c>
      <c r="P261" s="14">
        <f>+'A) Base RI'!L261</f>
        <v>169734.6</v>
      </c>
      <c r="Q261" s="42">
        <f>'A) Base RI'!Y261</f>
        <v>1</v>
      </c>
      <c r="R261" s="4">
        <f t="shared" si="20"/>
        <v>1959910.0799999998</v>
      </c>
      <c r="S261" s="41">
        <f>'A) Base RI'!T261</f>
        <v>65.5</v>
      </c>
      <c r="T261" s="4">
        <f t="shared" si="21"/>
        <v>1782360.4799999997</v>
      </c>
      <c r="U261" s="4">
        <f t="shared" si="22"/>
        <v>29922.291297709922</v>
      </c>
      <c r="V261" s="14">
        <f>+'A) Base RI'!O261</f>
        <v>0</v>
      </c>
      <c r="W261" s="14">
        <f>+'A) Base RI'!P261</f>
        <v>21175</v>
      </c>
      <c r="X261" s="14">
        <f>+'A) Base RI'!R261</f>
        <v>6166.7</v>
      </c>
      <c r="Y261" s="4">
        <f t="shared" si="23"/>
        <v>27341.7</v>
      </c>
      <c r="Z261" s="14">
        <f>+'A) Base RI'!N261</f>
        <v>8097.2</v>
      </c>
      <c r="AA261" s="14">
        <f>'A) Base RI'!U261</f>
        <v>485</v>
      </c>
    </row>
    <row r="262" spans="1:27" x14ac:dyDescent="0.25">
      <c r="A262" s="12">
        <f>'A) Base RI'!A262</f>
        <v>5853</v>
      </c>
      <c r="B262" s="40" t="str">
        <f>'A) Base RI'!B262</f>
        <v>Bursins</v>
      </c>
      <c r="C262" s="14">
        <f>'A) Base RI'!C262+'A) Base RI'!D262</f>
        <v>2376424.9</v>
      </c>
      <c r="D262" s="14">
        <f>'A) Base RI'!V262</f>
        <v>-41098.03</v>
      </c>
      <c r="E262" s="39">
        <f>'A) Base RI'!W262</f>
        <v>0</v>
      </c>
      <c r="F262" s="39">
        <f>'A) Base RI'!X262</f>
        <v>-149.99</v>
      </c>
      <c r="G262" s="4">
        <f t="shared" si="18"/>
        <v>2335176.88</v>
      </c>
      <c r="H262" s="14">
        <f>+'A) Base RI'!E262</f>
        <v>0</v>
      </c>
      <c r="I262" s="14">
        <f>+'A) Base RI'!F262</f>
        <v>0</v>
      </c>
      <c r="J262" s="14">
        <f>+'A) Base RI'!G262+'A) Base RI'!H262</f>
        <v>94762.25</v>
      </c>
      <c r="K262" s="14">
        <f>+'A) Base RI'!I262</f>
        <v>184424.35</v>
      </c>
      <c r="L262" s="14">
        <f>+'A) Base RI'!J262</f>
        <v>65180.06</v>
      </c>
      <c r="M262" s="14">
        <f>+'A) Base RI'!K262</f>
        <v>-20837</v>
      </c>
      <c r="N262" s="14">
        <f>+'A) Base RI'!Q262</f>
        <v>31512.02</v>
      </c>
      <c r="O262" s="14">
        <f t="shared" si="19"/>
        <v>188350.3</v>
      </c>
      <c r="P262" s="14">
        <f>+'A) Base RI'!L262</f>
        <v>188350.3</v>
      </c>
      <c r="Q262" s="42">
        <f>'A) Base RI'!Y262</f>
        <v>1</v>
      </c>
      <c r="R262" s="4">
        <f t="shared" si="20"/>
        <v>2878568.86</v>
      </c>
      <c r="S262" s="41">
        <f>'A) Base RI'!T262</f>
        <v>71</v>
      </c>
      <c r="T262" s="4">
        <f t="shared" si="21"/>
        <v>2711055.56</v>
      </c>
      <c r="U262" s="4">
        <f t="shared" si="22"/>
        <v>40543.223380281692</v>
      </c>
      <c r="V262" s="14">
        <f>+'A) Base RI'!O262</f>
        <v>230659</v>
      </c>
      <c r="W262" s="14">
        <f>+'A) Base RI'!P262</f>
        <v>102437.6</v>
      </c>
      <c r="X262" s="14">
        <f>+'A) Base RI'!R262</f>
        <v>14094.95</v>
      </c>
      <c r="Y262" s="4">
        <f t="shared" si="23"/>
        <v>347191.55</v>
      </c>
      <c r="Z262" s="14">
        <f>+'A) Base RI'!N262</f>
        <v>56250.6</v>
      </c>
      <c r="AA262" s="14">
        <f>'A) Base RI'!U262</f>
        <v>766</v>
      </c>
    </row>
    <row r="263" spans="1:27" x14ac:dyDescent="0.25">
      <c r="A263" s="12">
        <f>'A) Base RI'!A263</f>
        <v>5854</v>
      </c>
      <c r="B263" s="40" t="str">
        <f>'A) Base RI'!B263</f>
        <v>Burtigny</v>
      </c>
      <c r="C263" s="14">
        <f>'A) Base RI'!C263+'A) Base RI'!D263</f>
        <v>764669.45</v>
      </c>
      <c r="D263" s="14">
        <f>'A) Base RI'!V263</f>
        <v>-33869.4</v>
      </c>
      <c r="E263" s="39">
        <f>'A) Base RI'!W263</f>
        <v>0</v>
      </c>
      <c r="F263" s="39">
        <f>'A) Base RI'!X263</f>
        <v>-105.29</v>
      </c>
      <c r="G263" s="4">
        <f t="shared" si="18"/>
        <v>730694.75999999989</v>
      </c>
      <c r="H263" s="14">
        <f>+'A) Base RI'!E263</f>
        <v>0</v>
      </c>
      <c r="I263" s="14">
        <f>+'A) Base RI'!F263</f>
        <v>0</v>
      </c>
      <c r="J263" s="14">
        <f>+'A) Base RI'!G263+'A) Base RI'!H263</f>
        <v>50999.450000000004</v>
      </c>
      <c r="K263" s="14">
        <f>+'A) Base RI'!I263</f>
        <v>0</v>
      </c>
      <c r="L263" s="14">
        <f>+'A) Base RI'!J263</f>
        <v>1689.25</v>
      </c>
      <c r="M263" s="14">
        <f>+'A) Base RI'!K263</f>
        <v>1269</v>
      </c>
      <c r="N263" s="14">
        <f>+'A) Base RI'!Q263</f>
        <v>0</v>
      </c>
      <c r="O263" s="14">
        <f t="shared" si="19"/>
        <v>61570.566666666673</v>
      </c>
      <c r="P263" s="14">
        <f>+'A) Base RI'!L263</f>
        <v>92355.85</v>
      </c>
      <c r="Q263" s="42">
        <f>'A) Base RI'!Y263</f>
        <v>1.5</v>
      </c>
      <c r="R263" s="4">
        <f t="shared" si="20"/>
        <v>846223.0266666665</v>
      </c>
      <c r="S263" s="41">
        <f>'A) Base RI'!T263</f>
        <v>80</v>
      </c>
      <c r="T263" s="4">
        <f t="shared" si="21"/>
        <v>783383.45999999985</v>
      </c>
      <c r="U263" s="4">
        <f t="shared" si="22"/>
        <v>10577.787833333332</v>
      </c>
      <c r="V263" s="14">
        <f>+'A) Base RI'!O263</f>
        <v>0</v>
      </c>
      <c r="W263" s="14">
        <f>+'A) Base RI'!P263</f>
        <v>34948.699999999997</v>
      </c>
      <c r="X263" s="14">
        <f>+'A) Base RI'!R263</f>
        <v>6362.45</v>
      </c>
      <c r="Y263" s="4">
        <f t="shared" si="23"/>
        <v>41311.149999999994</v>
      </c>
      <c r="Z263" s="14">
        <f>+'A) Base RI'!N263</f>
        <v>21571.65</v>
      </c>
      <c r="AA263" s="14">
        <f>'A) Base RI'!U263</f>
        <v>359</v>
      </c>
    </row>
    <row r="264" spans="1:27" x14ac:dyDescent="0.25">
      <c r="A264" s="12">
        <f>'A) Base RI'!A264</f>
        <v>5855</v>
      </c>
      <c r="B264" s="40" t="str">
        <f>'A) Base RI'!B264</f>
        <v>Dully</v>
      </c>
      <c r="C264" s="14">
        <f>'A) Base RI'!C264+'A) Base RI'!D264</f>
        <v>2853601.5</v>
      </c>
      <c r="D264" s="14">
        <f>'A) Base RI'!V264</f>
        <v>-6243.07</v>
      </c>
      <c r="E264" s="39">
        <f>'A) Base RI'!W264</f>
        <v>0</v>
      </c>
      <c r="F264" s="39">
        <f>'A) Base RI'!X264</f>
        <v>-1498.19</v>
      </c>
      <c r="G264" s="4">
        <f t="shared" ref="G264:G315" si="28">SUM(C264:F264)</f>
        <v>2845860.24</v>
      </c>
      <c r="H264" s="14">
        <f>+'A) Base RI'!E264</f>
        <v>0</v>
      </c>
      <c r="I264" s="14">
        <f>+'A) Base RI'!F264</f>
        <v>0</v>
      </c>
      <c r="J264" s="14">
        <f>+'A) Base RI'!G264+'A) Base RI'!H264</f>
        <v>84284.5</v>
      </c>
      <c r="K264" s="14">
        <f>+'A) Base RI'!I264</f>
        <v>692574.78</v>
      </c>
      <c r="L264" s="14">
        <f>+'A) Base RI'!J264</f>
        <v>-82534.73</v>
      </c>
      <c r="M264" s="14">
        <f>+'A) Base RI'!K264</f>
        <v>23822.5</v>
      </c>
      <c r="N264" s="14">
        <f>+'A) Base RI'!Q264</f>
        <v>1530.17</v>
      </c>
      <c r="O264" s="14">
        <f t="shared" ref="O264:O315" si="29">(P264/Q264)*1</f>
        <v>324463.40000000002</v>
      </c>
      <c r="P264" s="14">
        <f>+'A) Base RI'!L264</f>
        <v>162231.70000000001</v>
      </c>
      <c r="Q264" s="42">
        <f>'A) Base RI'!Y264</f>
        <v>0.5</v>
      </c>
      <c r="R264" s="4">
        <f t="shared" ref="R264:R315" si="30">SUM(G264:O264)</f>
        <v>3890000.8600000003</v>
      </c>
      <c r="S264" s="41">
        <f>'A) Base RI'!T264</f>
        <v>49</v>
      </c>
      <c r="T264" s="4">
        <f t="shared" ref="T264:T315" si="31">(G264+H264+J264+K264+L264+N264)</f>
        <v>3541714.9600000004</v>
      </c>
      <c r="U264" s="4">
        <f t="shared" ref="U264:U315" si="32">R264/S264</f>
        <v>79387.772653061227</v>
      </c>
      <c r="V264" s="14">
        <f>+'A) Base RI'!O264</f>
        <v>0</v>
      </c>
      <c r="W264" s="14">
        <f>+'A) Base RI'!P264</f>
        <v>438117.7</v>
      </c>
      <c r="X264" s="14">
        <f>+'A) Base RI'!R264</f>
        <v>481664.6</v>
      </c>
      <c r="Y264" s="4">
        <f t="shared" ref="Y264:Y315" si="33">SUM(V264:X264)</f>
        <v>919782.3</v>
      </c>
      <c r="Z264" s="14">
        <f>+'A) Base RI'!N264</f>
        <v>1937.3</v>
      </c>
      <c r="AA264" s="14">
        <f>'A) Base RI'!U264</f>
        <v>633</v>
      </c>
    </row>
    <row r="265" spans="1:27" x14ac:dyDescent="0.25">
      <c r="A265" s="12">
        <f>'A) Base RI'!A265</f>
        <v>5856</v>
      </c>
      <c r="B265" s="40" t="str">
        <f>'A) Base RI'!B265</f>
        <v>Essertines-sur-Rolle</v>
      </c>
      <c r="C265" s="14">
        <f>'A) Base RI'!C265+'A) Base RI'!D265</f>
        <v>1777983.3599999999</v>
      </c>
      <c r="D265" s="14">
        <f>'A) Base RI'!V265</f>
        <v>-3398.75</v>
      </c>
      <c r="E265" s="39">
        <f>'A) Base RI'!W265</f>
        <v>0</v>
      </c>
      <c r="F265" s="39">
        <f>'A) Base RI'!X265</f>
        <v>-243.96</v>
      </c>
      <c r="G265" s="4">
        <f t="shared" si="28"/>
        <v>1774340.65</v>
      </c>
      <c r="H265" s="14">
        <f>+'A) Base RI'!E265</f>
        <v>0</v>
      </c>
      <c r="I265" s="14">
        <f>+'A) Base RI'!F265</f>
        <v>0</v>
      </c>
      <c r="J265" s="14">
        <f>+'A) Base RI'!G265+'A) Base RI'!H265</f>
        <v>4245.25</v>
      </c>
      <c r="K265" s="14">
        <f>+'A) Base RI'!I265</f>
        <v>167155.5</v>
      </c>
      <c r="L265" s="14">
        <f>+'A) Base RI'!J265</f>
        <v>49515.54</v>
      </c>
      <c r="M265" s="14">
        <f>+'A) Base RI'!K265</f>
        <v>1786</v>
      </c>
      <c r="N265" s="14">
        <f>+'A) Base RI'!Q265</f>
        <v>0</v>
      </c>
      <c r="O265" s="14">
        <f t="shared" si="29"/>
        <v>169627.61538461538</v>
      </c>
      <c r="P265" s="14">
        <f>+'A) Base RI'!L265</f>
        <v>220515.9</v>
      </c>
      <c r="Q265" s="42">
        <f>'A) Base RI'!Y265</f>
        <v>1.3</v>
      </c>
      <c r="R265" s="4">
        <f t="shared" si="30"/>
        <v>2166670.5553846154</v>
      </c>
      <c r="S265" s="41">
        <f>'A) Base RI'!T265</f>
        <v>68</v>
      </c>
      <c r="T265" s="4">
        <f t="shared" si="31"/>
        <v>1995256.94</v>
      </c>
      <c r="U265" s="4">
        <f t="shared" si="32"/>
        <v>31862.802285067875</v>
      </c>
      <c r="V265" s="14">
        <f>+'A) Base RI'!O265</f>
        <v>9973.2999999999993</v>
      </c>
      <c r="W265" s="14">
        <f>+'A) Base RI'!P265</f>
        <v>51810</v>
      </c>
      <c r="X265" s="14">
        <f>+'A) Base RI'!R265</f>
        <v>41026.050000000003</v>
      </c>
      <c r="Y265" s="4">
        <f t="shared" si="33"/>
        <v>102809.35</v>
      </c>
      <c r="Z265" s="14">
        <f>+'A) Base RI'!N265</f>
        <v>20042.849999999999</v>
      </c>
      <c r="AA265" s="14">
        <f>'A) Base RI'!U265</f>
        <v>695</v>
      </c>
    </row>
    <row r="266" spans="1:27" x14ac:dyDescent="0.25">
      <c r="A266" s="12">
        <f>'A) Base RI'!A266</f>
        <v>5857</v>
      </c>
      <c r="B266" s="40" t="str">
        <f>'A) Base RI'!B266</f>
        <v>Gilly</v>
      </c>
      <c r="C266" s="14">
        <f>'A) Base RI'!C266+'A) Base RI'!D266</f>
        <v>3646765.59</v>
      </c>
      <c r="D266" s="14">
        <f>'A) Base RI'!V266</f>
        <v>-10552.96</v>
      </c>
      <c r="E266" s="39">
        <f>'A) Base RI'!W266</f>
        <v>0</v>
      </c>
      <c r="F266" s="39">
        <f>'A) Base RI'!X266</f>
        <v>-1096.77</v>
      </c>
      <c r="G266" s="4">
        <f t="shared" si="28"/>
        <v>3635115.86</v>
      </c>
      <c r="H266" s="14">
        <f>+'A) Base RI'!E266</f>
        <v>0</v>
      </c>
      <c r="I266" s="14">
        <f>+'A) Base RI'!F266</f>
        <v>0</v>
      </c>
      <c r="J266" s="14">
        <f>+'A) Base RI'!G266+'A) Base RI'!H266</f>
        <v>69515.45</v>
      </c>
      <c r="K266" s="14">
        <f>+'A) Base RI'!I266</f>
        <v>-27111.55</v>
      </c>
      <c r="L266" s="14">
        <f>+'A) Base RI'!J266</f>
        <v>103071.4</v>
      </c>
      <c r="M266" s="14">
        <f>+'A) Base RI'!K266</f>
        <v>8805.5</v>
      </c>
      <c r="N266" s="14">
        <f>+'A) Base RI'!Q266</f>
        <v>11008.25</v>
      </c>
      <c r="O266" s="14">
        <f t="shared" si="29"/>
        <v>327264.5</v>
      </c>
      <c r="P266" s="14">
        <f>+'A) Base RI'!L266</f>
        <v>327264.5</v>
      </c>
      <c r="Q266" s="42">
        <f>'A) Base RI'!Y266</f>
        <v>1</v>
      </c>
      <c r="R266" s="4">
        <f t="shared" si="30"/>
        <v>4127669.41</v>
      </c>
      <c r="S266" s="41">
        <f>'A) Base RI'!T266</f>
        <v>66</v>
      </c>
      <c r="T266" s="4">
        <f t="shared" si="31"/>
        <v>3791599.41</v>
      </c>
      <c r="U266" s="4">
        <f t="shared" si="32"/>
        <v>62540.44560606061</v>
      </c>
      <c r="V266" s="14">
        <f>+'A) Base RI'!O266</f>
        <v>319661.3</v>
      </c>
      <c r="W266" s="14">
        <f>+'A) Base RI'!P266</f>
        <v>484278.3</v>
      </c>
      <c r="X266" s="14">
        <f>+'A) Base RI'!R266</f>
        <v>173847.65</v>
      </c>
      <c r="Y266" s="4">
        <f t="shared" si="33"/>
        <v>977787.25</v>
      </c>
      <c r="Z266" s="14">
        <f>+'A) Base RI'!N266</f>
        <v>85888.1</v>
      </c>
      <c r="AA266" s="14">
        <f>'A) Base RI'!U266</f>
        <v>1230</v>
      </c>
    </row>
    <row r="267" spans="1:27" x14ac:dyDescent="0.25">
      <c r="A267" s="12">
        <f>'A) Base RI'!A267</f>
        <v>5858</v>
      </c>
      <c r="B267" s="40" t="str">
        <f>'A) Base RI'!B267</f>
        <v>Luins</v>
      </c>
      <c r="C267" s="14">
        <f>'A) Base RI'!C267+'A) Base RI'!D267</f>
        <v>1761131.94</v>
      </c>
      <c r="D267" s="14">
        <f>'A) Base RI'!V267</f>
        <v>-28553.16</v>
      </c>
      <c r="E267" s="39">
        <f>'A) Base RI'!W267</f>
        <v>0</v>
      </c>
      <c r="F267" s="39">
        <f>'A) Base RI'!X267</f>
        <v>-465.83</v>
      </c>
      <c r="G267" s="4">
        <f t="shared" si="28"/>
        <v>1732112.95</v>
      </c>
      <c r="H267" s="14">
        <f>+'A) Base RI'!E267</f>
        <v>0</v>
      </c>
      <c r="I267" s="14">
        <f>+'A) Base RI'!F267</f>
        <v>0</v>
      </c>
      <c r="J267" s="14">
        <f>+'A) Base RI'!G267+'A) Base RI'!H267</f>
        <v>19014.849999999999</v>
      </c>
      <c r="K267" s="14">
        <f>+'A) Base RI'!I267</f>
        <v>108430.2</v>
      </c>
      <c r="L267" s="14">
        <f>+'A) Base RI'!J267</f>
        <v>91937.61</v>
      </c>
      <c r="M267" s="14">
        <f>+'A) Base RI'!K267</f>
        <v>1042.2</v>
      </c>
      <c r="N267" s="14">
        <f>+'A) Base RI'!Q267</f>
        <v>6913.24</v>
      </c>
      <c r="O267" s="14">
        <f t="shared" si="29"/>
        <v>143267.06666666668</v>
      </c>
      <c r="P267" s="14">
        <f>+'A) Base RI'!L267</f>
        <v>214900.6</v>
      </c>
      <c r="Q267" s="42">
        <f>'A) Base RI'!Y267</f>
        <v>1.5</v>
      </c>
      <c r="R267" s="4">
        <f t="shared" si="30"/>
        <v>2102718.1166666667</v>
      </c>
      <c r="S267" s="41">
        <f>'A) Base RI'!T267</f>
        <v>60</v>
      </c>
      <c r="T267" s="4">
        <f t="shared" si="31"/>
        <v>1958408.85</v>
      </c>
      <c r="U267" s="4">
        <f t="shared" si="32"/>
        <v>35045.301944444444</v>
      </c>
      <c r="V267" s="14">
        <f>+'A) Base RI'!O267</f>
        <v>1419</v>
      </c>
      <c r="W267" s="14">
        <f>+'A) Base RI'!P267</f>
        <v>14172.85</v>
      </c>
      <c r="X267" s="14">
        <f>+'A) Base RI'!R267</f>
        <v>-21957.200000000001</v>
      </c>
      <c r="Y267" s="4">
        <f t="shared" si="33"/>
        <v>-6365.35</v>
      </c>
      <c r="Z267" s="14">
        <f>+'A) Base RI'!N267</f>
        <v>13569.15</v>
      </c>
      <c r="AA267" s="14">
        <f>'A) Base RI'!U267</f>
        <v>625</v>
      </c>
    </row>
    <row r="268" spans="1:27" x14ac:dyDescent="0.25">
      <c r="A268" s="12">
        <f>'A) Base RI'!A268</f>
        <v>5859</v>
      </c>
      <c r="B268" s="40" t="str">
        <f>'A) Base RI'!B268</f>
        <v>Mont-sur-Rolle</v>
      </c>
      <c r="C268" s="14">
        <f>'A) Base RI'!C268+'A) Base RI'!D268</f>
        <v>7216914.3600000003</v>
      </c>
      <c r="D268" s="14">
        <f>'A) Base RI'!V268</f>
        <v>-59709.2</v>
      </c>
      <c r="E268" s="39">
        <f>'A) Base RI'!W268</f>
        <v>0</v>
      </c>
      <c r="F268" s="39">
        <f>'A) Base RI'!X268</f>
        <v>-2149.92</v>
      </c>
      <c r="G268" s="4">
        <f t="shared" si="28"/>
        <v>7155055.2400000002</v>
      </c>
      <c r="H268" s="14">
        <f>+'A) Base RI'!E268</f>
        <v>0</v>
      </c>
      <c r="I268" s="14">
        <f>+'A) Base RI'!F268</f>
        <v>0</v>
      </c>
      <c r="J268" s="14">
        <f>+'A) Base RI'!G268+'A) Base RI'!H268</f>
        <v>92455.15</v>
      </c>
      <c r="K268" s="14">
        <f>+'A) Base RI'!I268</f>
        <v>219514.5</v>
      </c>
      <c r="L268" s="14">
        <f>+'A) Base RI'!J268</f>
        <v>246685.91</v>
      </c>
      <c r="M268" s="14">
        <f>+'A) Base RI'!K268</f>
        <v>21259.200000000001</v>
      </c>
      <c r="N268" s="14">
        <f>+'A) Base RI'!Q268</f>
        <v>16566.48</v>
      </c>
      <c r="O268" s="14">
        <f t="shared" si="29"/>
        <v>596007.9</v>
      </c>
      <c r="P268" s="14">
        <f>+'A) Base RI'!L268</f>
        <v>596007.9</v>
      </c>
      <c r="Q268" s="42">
        <f>'A) Base RI'!Y268</f>
        <v>1</v>
      </c>
      <c r="R268" s="4">
        <f t="shared" si="30"/>
        <v>8347544.3800000018</v>
      </c>
      <c r="S268" s="41">
        <f>'A) Base RI'!T268</f>
        <v>64</v>
      </c>
      <c r="T268" s="4">
        <f t="shared" si="31"/>
        <v>7730277.2800000012</v>
      </c>
      <c r="U268" s="4">
        <f t="shared" si="32"/>
        <v>130430.38093750003</v>
      </c>
      <c r="V268" s="14">
        <f>+'A) Base RI'!O268</f>
        <v>43011</v>
      </c>
      <c r="W268" s="14">
        <f>+'A) Base RI'!P268</f>
        <v>347015.55</v>
      </c>
      <c r="X268" s="14">
        <f>+'A) Base RI'!R268</f>
        <v>269391.55</v>
      </c>
      <c r="Y268" s="4">
        <f t="shared" si="33"/>
        <v>659418.1</v>
      </c>
      <c r="Z268" s="14">
        <f>+'A) Base RI'!N268</f>
        <v>70477.75</v>
      </c>
      <c r="AA268" s="14">
        <f>'A) Base RI'!U268</f>
        <v>2660</v>
      </c>
    </row>
    <row r="269" spans="1:27" x14ac:dyDescent="0.25">
      <c r="A269" s="12">
        <f>'A) Base RI'!A269</f>
        <v>5860</v>
      </c>
      <c r="B269" s="40" t="str">
        <f>'A) Base RI'!B269</f>
        <v>Perroy</v>
      </c>
      <c r="C269" s="14">
        <f>'A) Base RI'!C269+'A) Base RI'!D269</f>
        <v>4569622.8600000003</v>
      </c>
      <c r="D269" s="14">
        <f>'A) Base RI'!V269</f>
        <v>-46635.53</v>
      </c>
      <c r="E269" s="39">
        <f>'A) Base RI'!W269</f>
        <v>0</v>
      </c>
      <c r="F269" s="39">
        <f>'A) Base RI'!X269</f>
        <v>-2338.84</v>
      </c>
      <c r="G269" s="4">
        <f t="shared" si="28"/>
        <v>4520648.49</v>
      </c>
      <c r="H269" s="14">
        <f>+'A) Base RI'!E269</f>
        <v>0</v>
      </c>
      <c r="I269" s="14">
        <f>+'A) Base RI'!F269</f>
        <v>0</v>
      </c>
      <c r="J269" s="14">
        <f>+'A) Base RI'!G269+'A) Base RI'!H269</f>
        <v>34151.550000000003</v>
      </c>
      <c r="K269" s="14">
        <f>+'A) Base RI'!I269</f>
        <v>429344.07</v>
      </c>
      <c r="L269" s="14">
        <f>+'A) Base RI'!J269</f>
        <v>70110.52</v>
      </c>
      <c r="M269" s="14">
        <f>+'A) Base RI'!K269</f>
        <v>26589</v>
      </c>
      <c r="N269" s="14">
        <f>+'A) Base RI'!Q269</f>
        <v>28406.86</v>
      </c>
      <c r="O269" s="14">
        <f t="shared" si="29"/>
        <v>455736.19230769231</v>
      </c>
      <c r="P269" s="14">
        <f>+'A) Base RI'!L269</f>
        <v>592457.05000000005</v>
      </c>
      <c r="Q269" s="42">
        <f>'A) Base RI'!Y269</f>
        <v>1.3</v>
      </c>
      <c r="R269" s="4">
        <f t="shared" si="30"/>
        <v>5564986.6823076922</v>
      </c>
      <c r="S269" s="41">
        <f>'A) Base RI'!T269</f>
        <v>60</v>
      </c>
      <c r="T269" s="4">
        <f t="shared" si="31"/>
        <v>5082661.49</v>
      </c>
      <c r="U269" s="4">
        <f t="shared" si="32"/>
        <v>92749.778038461533</v>
      </c>
      <c r="V269" s="14">
        <f>+'A) Base RI'!O269</f>
        <v>15030</v>
      </c>
      <c r="W269" s="14">
        <f>+'A) Base RI'!P269</f>
        <v>318433.95</v>
      </c>
      <c r="X269" s="14">
        <f>+'A) Base RI'!R269</f>
        <v>156397.04999999999</v>
      </c>
      <c r="Y269" s="4">
        <f t="shared" si="33"/>
        <v>489861</v>
      </c>
      <c r="Z269" s="14">
        <f>+'A) Base RI'!N269</f>
        <v>16298.85</v>
      </c>
      <c r="AA269" s="14">
        <f>'A) Base RI'!U269</f>
        <v>1453</v>
      </c>
    </row>
    <row r="270" spans="1:27" x14ac:dyDescent="0.25">
      <c r="A270" s="12">
        <f>'A) Base RI'!A270</f>
        <v>5861</v>
      </c>
      <c r="B270" s="40" t="str">
        <f>'A) Base RI'!B270</f>
        <v>Rolle</v>
      </c>
      <c r="C270" s="14">
        <f>'A) Base RI'!C270+'A) Base RI'!D270</f>
        <v>13499925.060000001</v>
      </c>
      <c r="D270" s="14">
        <f>'A) Base RI'!V270</f>
        <v>-168541.72</v>
      </c>
      <c r="E270" s="39">
        <f>'A) Base RI'!W270</f>
        <v>0</v>
      </c>
      <c r="F270" s="39">
        <f>'A) Base RI'!X270</f>
        <v>-8450.23</v>
      </c>
      <c r="G270" s="4">
        <f t="shared" si="28"/>
        <v>13322933.109999999</v>
      </c>
      <c r="H270" s="14">
        <f>+'A) Base RI'!E270</f>
        <v>0</v>
      </c>
      <c r="I270" s="14">
        <f>+'A) Base RI'!F270</f>
        <v>0</v>
      </c>
      <c r="J270" s="14">
        <f>+'A) Base RI'!G270+'A) Base RI'!H270</f>
        <v>31228410.699999999</v>
      </c>
      <c r="K270" s="14">
        <f>+'A) Base RI'!I270</f>
        <v>997451.13</v>
      </c>
      <c r="L270" s="14">
        <f>+'A) Base RI'!J270</f>
        <v>2088099.43</v>
      </c>
      <c r="M270" s="14">
        <f>+'A) Base RI'!K270</f>
        <v>282657.5</v>
      </c>
      <c r="N270" s="14">
        <f>+'A) Base RI'!Q270</f>
        <v>58722.47</v>
      </c>
      <c r="O270" s="14">
        <f t="shared" si="29"/>
        <v>1691636.05</v>
      </c>
      <c r="P270" s="14">
        <f>+'A) Base RI'!L270</f>
        <v>1691636.05</v>
      </c>
      <c r="Q270" s="42">
        <f>'A) Base RI'!Y270</f>
        <v>1</v>
      </c>
      <c r="R270" s="4">
        <f t="shared" si="30"/>
        <v>49669910.390000001</v>
      </c>
      <c r="S270" s="41">
        <f>'A) Base RI'!T270</f>
        <v>59.5</v>
      </c>
      <c r="T270" s="4">
        <f t="shared" si="31"/>
        <v>47695616.840000004</v>
      </c>
      <c r="U270" s="4">
        <f t="shared" si="32"/>
        <v>834788.40991596645</v>
      </c>
      <c r="V270" s="14">
        <f>+'A) Base RI'!O270</f>
        <v>808467.1</v>
      </c>
      <c r="W270" s="14">
        <f>+'A) Base RI'!P270</f>
        <v>493965.65</v>
      </c>
      <c r="X270" s="14">
        <f>+'A) Base RI'!R270</f>
        <v>239195.75</v>
      </c>
      <c r="Y270" s="4">
        <f t="shared" si="33"/>
        <v>1541628.5</v>
      </c>
      <c r="Z270" s="14">
        <f>+'A) Base RI'!N270</f>
        <v>709686.45</v>
      </c>
      <c r="AA270" s="14">
        <f>'A) Base RI'!U270</f>
        <v>6142</v>
      </c>
    </row>
    <row r="271" spans="1:27" x14ac:dyDescent="0.25">
      <c r="A271" s="12">
        <f>'A) Base RI'!A271</f>
        <v>5862</v>
      </c>
      <c r="B271" s="40" t="str">
        <f>'A) Base RI'!B271</f>
        <v>Tartegnin</v>
      </c>
      <c r="C271" s="14">
        <f>'A) Base RI'!C271+'A) Base RI'!D271</f>
        <v>639479.07000000007</v>
      </c>
      <c r="D271" s="14">
        <f>'A) Base RI'!V271</f>
        <v>-7337.61</v>
      </c>
      <c r="E271" s="39">
        <f>'A) Base RI'!W271</f>
        <v>0</v>
      </c>
      <c r="F271" s="39">
        <f>'A) Base RI'!X271</f>
        <v>-163.41</v>
      </c>
      <c r="G271" s="4">
        <f t="shared" si="28"/>
        <v>631978.05000000005</v>
      </c>
      <c r="H271" s="14">
        <f>+'A) Base RI'!E271</f>
        <v>0</v>
      </c>
      <c r="I271" s="14">
        <f>+'A) Base RI'!F271</f>
        <v>0</v>
      </c>
      <c r="J271" s="14">
        <f>+'A) Base RI'!G271+'A) Base RI'!H271</f>
        <v>4175.95</v>
      </c>
      <c r="K271" s="14">
        <f>+'A) Base RI'!I271</f>
        <v>0</v>
      </c>
      <c r="L271" s="14">
        <f>+'A) Base RI'!J271</f>
        <v>15914.58</v>
      </c>
      <c r="M271" s="14">
        <f>+'A) Base RI'!K271</f>
        <v>0</v>
      </c>
      <c r="N271" s="14">
        <f>+'A) Base RI'!Q271</f>
        <v>0</v>
      </c>
      <c r="O271" s="14">
        <f t="shared" si="29"/>
        <v>45250.833333333336</v>
      </c>
      <c r="P271" s="14">
        <f>+'A) Base RI'!L271</f>
        <v>40725.75</v>
      </c>
      <c r="Q271" s="42">
        <f>'A) Base RI'!Y271</f>
        <v>0.9</v>
      </c>
      <c r="R271" s="4">
        <f t="shared" si="30"/>
        <v>697319.41333333333</v>
      </c>
      <c r="S271" s="41">
        <f>'A) Base RI'!T271</f>
        <v>84</v>
      </c>
      <c r="T271" s="4">
        <f t="shared" si="31"/>
        <v>652068.57999999996</v>
      </c>
      <c r="U271" s="4">
        <f t="shared" si="32"/>
        <v>8301.4215873015874</v>
      </c>
      <c r="V271" s="14">
        <f>+'A) Base RI'!O271</f>
        <v>27268.799999999999</v>
      </c>
      <c r="W271" s="14">
        <f>+'A) Base RI'!P271</f>
        <v>13200</v>
      </c>
      <c r="X271" s="14">
        <f>+'A) Base RI'!R271</f>
        <v>9618.7999999999993</v>
      </c>
      <c r="Y271" s="4">
        <f t="shared" si="33"/>
        <v>50087.600000000006</v>
      </c>
      <c r="Z271" s="14">
        <f>+'A) Base RI'!N271</f>
        <v>8135.4</v>
      </c>
      <c r="AA271" s="14">
        <f>'A) Base RI'!U271</f>
        <v>236</v>
      </c>
    </row>
    <row r="272" spans="1:27" x14ac:dyDescent="0.25">
      <c r="A272" s="12">
        <f>'A) Base RI'!A272</f>
        <v>5863</v>
      </c>
      <c r="B272" s="40" t="str">
        <f>'A) Base RI'!B272</f>
        <v>Vinzel</v>
      </c>
      <c r="C272" s="14">
        <f>'A) Base RI'!C272+'A) Base RI'!D272</f>
        <v>1656137.24</v>
      </c>
      <c r="D272" s="14">
        <f>'A) Base RI'!V272</f>
        <v>-5536.93</v>
      </c>
      <c r="E272" s="39">
        <f>'A) Base RI'!W272</f>
        <v>0</v>
      </c>
      <c r="F272" s="39">
        <f>'A) Base RI'!X272</f>
        <v>-97.62</v>
      </c>
      <c r="G272" s="4">
        <f t="shared" si="28"/>
        <v>1650502.69</v>
      </c>
      <c r="H272" s="14">
        <f>+'A) Base RI'!E272</f>
        <v>0</v>
      </c>
      <c r="I272" s="14">
        <f>+'A) Base RI'!F272</f>
        <v>0</v>
      </c>
      <c r="J272" s="14">
        <f>+'A) Base RI'!G272+'A) Base RI'!H272</f>
        <v>-4646.8999999999996</v>
      </c>
      <c r="K272" s="14">
        <f>+'A) Base RI'!I272</f>
        <v>0</v>
      </c>
      <c r="L272" s="14">
        <f>+'A) Base RI'!J272</f>
        <v>-3175.02</v>
      </c>
      <c r="M272" s="14">
        <f>+'A) Base RI'!K272</f>
        <v>507</v>
      </c>
      <c r="N272" s="14">
        <f>+'A) Base RI'!Q272</f>
        <v>0</v>
      </c>
      <c r="O272" s="14">
        <f t="shared" si="29"/>
        <v>73798.2</v>
      </c>
      <c r="P272" s="14">
        <f>+'A) Base RI'!L272</f>
        <v>73798.2</v>
      </c>
      <c r="Q272" s="42">
        <f>'A) Base RI'!Y272</f>
        <v>1</v>
      </c>
      <c r="R272" s="4">
        <f t="shared" si="30"/>
        <v>1716985.97</v>
      </c>
      <c r="S272" s="41">
        <f>'A) Base RI'!T272</f>
        <v>70</v>
      </c>
      <c r="T272" s="4">
        <f t="shared" si="31"/>
        <v>1642680.77</v>
      </c>
      <c r="U272" s="4">
        <f t="shared" si="32"/>
        <v>24528.370999999999</v>
      </c>
      <c r="V272" s="14">
        <f>+'A) Base RI'!O272</f>
        <v>0</v>
      </c>
      <c r="W272" s="14">
        <f>+'A) Base RI'!P272</f>
        <v>17588.150000000001</v>
      </c>
      <c r="X272" s="14">
        <f>+'A) Base RI'!R272</f>
        <v>0</v>
      </c>
      <c r="Y272" s="4">
        <f t="shared" si="33"/>
        <v>17588.150000000001</v>
      </c>
      <c r="Z272" s="14">
        <f>+'A) Base RI'!N272</f>
        <v>15799.95</v>
      </c>
      <c r="AA272" s="14">
        <f>'A) Base RI'!U272</f>
        <v>352</v>
      </c>
    </row>
    <row r="273" spans="1:27" x14ac:dyDescent="0.25">
      <c r="A273" s="12">
        <f>'A) Base RI'!A273</f>
        <v>5871</v>
      </c>
      <c r="B273" s="40" t="str">
        <f>'A) Base RI'!B273</f>
        <v>L'Abbaye</v>
      </c>
      <c r="C273" s="14">
        <f>'A) Base RI'!C273+'A) Base RI'!D273</f>
        <v>3277564.1700000004</v>
      </c>
      <c r="D273" s="14">
        <f>'A) Base RI'!V273</f>
        <v>-29337.68</v>
      </c>
      <c r="E273" s="39">
        <f>'A) Base RI'!W273</f>
        <v>0</v>
      </c>
      <c r="F273" s="39">
        <f>'A) Base RI'!X273</f>
        <v>-96.6</v>
      </c>
      <c r="G273" s="4">
        <f t="shared" si="28"/>
        <v>3248129.89</v>
      </c>
      <c r="H273" s="14">
        <f>+'A) Base RI'!E273</f>
        <v>0</v>
      </c>
      <c r="I273" s="14">
        <f>+'A) Base RI'!F273</f>
        <v>0</v>
      </c>
      <c r="J273" s="14">
        <f>+'A) Base RI'!G273+'A) Base RI'!H273</f>
        <v>205406.80000000002</v>
      </c>
      <c r="K273" s="14">
        <f>+'A) Base RI'!I273</f>
        <v>0</v>
      </c>
      <c r="L273" s="14">
        <f>+'A) Base RI'!J273</f>
        <v>85515.43</v>
      </c>
      <c r="M273" s="14">
        <f>+'A) Base RI'!K273</f>
        <v>1827.5</v>
      </c>
      <c r="N273" s="14">
        <f>+'A) Base RI'!Q273</f>
        <v>3839.56</v>
      </c>
      <c r="O273" s="14">
        <f t="shared" si="29"/>
        <v>239271.1</v>
      </c>
      <c r="P273" s="14">
        <f>+'A) Base RI'!L273</f>
        <v>239271.1</v>
      </c>
      <c r="Q273" s="42">
        <f>'A) Base RI'!Y273</f>
        <v>1</v>
      </c>
      <c r="R273" s="4">
        <f t="shared" si="30"/>
        <v>3783990.2800000003</v>
      </c>
      <c r="S273" s="41">
        <f>'A) Base RI'!T273</f>
        <v>77.23</v>
      </c>
      <c r="T273" s="4">
        <f t="shared" si="31"/>
        <v>3542891.68</v>
      </c>
      <c r="U273" s="4">
        <f t="shared" si="32"/>
        <v>48996.378091415252</v>
      </c>
      <c r="V273" s="14">
        <f>+'A) Base RI'!O273</f>
        <v>26165</v>
      </c>
      <c r="W273" s="14">
        <f>+'A) Base RI'!P273</f>
        <v>91019.35</v>
      </c>
      <c r="X273" s="14">
        <f>+'A) Base RI'!R273</f>
        <v>87370.2</v>
      </c>
      <c r="Y273" s="4">
        <f t="shared" si="33"/>
        <v>204554.55</v>
      </c>
      <c r="Z273" s="14">
        <f>+'A) Base RI'!N273</f>
        <v>637314</v>
      </c>
      <c r="AA273" s="14">
        <f>'A) Base RI'!U273</f>
        <v>1439</v>
      </c>
    </row>
    <row r="274" spans="1:27" x14ac:dyDescent="0.25">
      <c r="A274" s="12">
        <f>'A) Base RI'!A274</f>
        <v>5872</v>
      </c>
      <c r="B274" s="40" t="str">
        <f>'A) Base RI'!B274</f>
        <v>Le Chenit</v>
      </c>
      <c r="C274" s="14">
        <f>'A) Base RI'!C274+'A) Base RI'!D274</f>
        <v>7741297.3799999999</v>
      </c>
      <c r="D274" s="14">
        <f>'A) Base RI'!V274</f>
        <v>-94200.98</v>
      </c>
      <c r="E274" s="39">
        <f>'A) Base RI'!W274</f>
        <v>0</v>
      </c>
      <c r="F274" s="39">
        <f>'A) Base RI'!X274</f>
        <v>-416.92</v>
      </c>
      <c r="G274" s="4">
        <f t="shared" si="28"/>
        <v>7646679.4799999995</v>
      </c>
      <c r="H274" s="14">
        <f>+'A) Base RI'!E274</f>
        <v>0</v>
      </c>
      <c r="I274" s="14">
        <f>+'A) Base RI'!F274</f>
        <v>0</v>
      </c>
      <c r="J274" s="14">
        <f>+'A) Base RI'!G274+'A) Base RI'!H274</f>
        <v>12305608.549999999</v>
      </c>
      <c r="K274" s="14">
        <f>+'A) Base RI'!I274</f>
        <v>0</v>
      </c>
      <c r="L274" s="14">
        <f>+'A) Base RI'!J274</f>
        <v>1343658.41</v>
      </c>
      <c r="M274" s="14">
        <f>+'A) Base RI'!K274</f>
        <v>16760.5</v>
      </c>
      <c r="N274" s="14">
        <f>+'A) Base RI'!Q274</f>
        <v>29015.99</v>
      </c>
      <c r="O274" s="14">
        <f t="shared" si="29"/>
        <v>650299.21428571432</v>
      </c>
      <c r="P274" s="14">
        <f>+'A) Base RI'!L274</f>
        <v>455209.45</v>
      </c>
      <c r="Q274" s="42">
        <f>'A) Base RI'!Y274</f>
        <v>0.7</v>
      </c>
      <c r="R274" s="4">
        <f t="shared" si="30"/>
        <v>21992022.144285709</v>
      </c>
      <c r="S274" s="41">
        <f>'A) Base RI'!T274</f>
        <v>69.7</v>
      </c>
      <c r="T274" s="4">
        <f t="shared" si="31"/>
        <v>21324962.429999996</v>
      </c>
      <c r="U274" s="4">
        <f t="shared" si="32"/>
        <v>315523.99059233442</v>
      </c>
      <c r="V274" s="14">
        <f>+'A) Base RI'!O274</f>
        <v>18221.8</v>
      </c>
      <c r="W274" s="14">
        <f>+'A) Base RI'!P274</f>
        <v>171905.9</v>
      </c>
      <c r="X274" s="14">
        <f>+'A) Base RI'!R274</f>
        <v>219957.3</v>
      </c>
      <c r="Y274" s="4">
        <f t="shared" si="33"/>
        <v>410085</v>
      </c>
      <c r="Z274" s="14">
        <f>+'A) Base RI'!N274</f>
        <v>5100792.1500000004</v>
      </c>
      <c r="AA274" s="14">
        <f>'A) Base RI'!U274</f>
        <v>4608</v>
      </c>
    </row>
    <row r="275" spans="1:27" x14ac:dyDescent="0.25">
      <c r="A275" s="12">
        <f>'A) Base RI'!A275</f>
        <v>5873</v>
      </c>
      <c r="B275" s="40" t="str">
        <f>'A) Base RI'!B275</f>
        <v>Le Lieu</v>
      </c>
      <c r="C275" s="14">
        <f>'A) Base RI'!C275+'A) Base RI'!D275</f>
        <v>1609051.22</v>
      </c>
      <c r="D275" s="14">
        <f>'A) Base RI'!V275</f>
        <v>-19656.509999999998</v>
      </c>
      <c r="E275" s="39">
        <f>'A) Base RI'!W275</f>
        <v>0</v>
      </c>
      <c r="F275" s="39">
        <f>'A) Base RI'!X275</f>
        <v>-136.06</v>
      </c>
      <c r="G275" s="4">
        <f t="shared" si="28"/>
        <v>1589258.65</v>
      </c>
      <c r="H275" s="14">
        <f>+'A) Base RI'!E275</f>
        <v>0</v>
      </c>
      <c r="I275" s="14">
        <f>+'A) Base RI'!F275</f>
        <v>0</v>
      </c>
      <c r="J275" s="14">
        <f>+'A) Base RI'!G275+'A) Base RI'!H275</f>
        <v>206256.3</v>
      </c>
      <c r="K275" s="14">
        <f>+'A) Base RI'!I275</f>
        <v>0</v>
      </c>
      <c r="L275" s="14">
        <f>+'A) Base RI'!J275</f>
        <v>54999.93</v>
      </c>
      <c r="M275" s="14">
        <f>+'A) Base RI'!K275</f>
        <v>0</v>
      </c>
      <c r="N275" s="14">
        <f>+'A) Base RI'!Q275</f>
        <v>2372.81</v>
      </c>
      <c r="O275" s="14">
        <f t="shared" si="29"/>
        <v>135271.66666666669</v>
      </c>
      <c r="P275" s="14">
        <f>+'A) Base RI'!L275</f>
        <v>81163</v>
      </c>
      <c r="Q275" s="42">
        <f>'A) Base RI'!Y275</f>
        <v>0.6</v>
      </c>
      <c r="R275" s="4">
        <f t="shared" si="30"/>
        <v>1988159.3566666667</v>
      </c>
      <c r="S275" s="41">
        <f>'A) Base RI'!T275</f>
        <v>65</v>
      </c>
      <c r="T275" s="4">
        <f t="shared" si="31"/>
        <v>1852887.69</v>
      </c>
      <c r="U275" s="4">
        <f t="shared" si="32"/>
        <v>30587.067025641027</v>
      </c>
      <c r="V275" s="14">
        <f>+'A) Base RI'!O275</f>
        <v>7167.6</v>
      </c>
      <c r="W275" s="14">
        <f>+'A) Base RI'!P275</f>
        <v>58272.5</v>
      </c>
      <c r="X275" s="14">
        <f>+'A) Base RI'!R275</f>
        <v>51373.85</v>
      </c>
      <c r="Y275" s="4">
        <f t="shared" si="33"/>
        <v>116813.95</v>
      </c>
      <c r="Z275" s="14">
        <f>+'A) Base RI'!N275</f>
        <v>806704.85</v>
      </c>
      <c r="AA275" s="14">
        <f>'A) Base RI'!U275</f>
        <v>873</v>
      </c>
    </row>
    <row r="276" spans="1:27" x14ac:dyDescent="0.25">
      <c r="A276" s="12">
        <f>'A) Base RI'!A276</f>
        <v>5881</v>
      </c>
      <c r="B276" s="40" t="str">
        <f>'A) Base RI'!B276</f>
        <v>Blonay</v>
      </c>
      <c r="C276" s="14">
        <f>'A) Base RI'!C276+'A) Base RI'!D276</f>
        <v>20202099.739999998</v>
      </c>
      <c r="D276" s="14">
        <f>'A) Base RI'!V276</f>
        <v>-143524.78</v>
      </c>
      <c r="E276" s="39">
        <f>'A) Base RI'!W276</f>
        <v>0</v>
      </c>
      <c r="F276" s="39">
        <f>'A) Base RI'!X276</f>
        <v>-34734.68</v>
      </c>
      <c r="G276" s="4">
        <f t="shared" si="28"/>
        <v>20023840.279999997</v>
      </c>
      <c r="H276" s="14">
        <f>+'A) Base RI'!E276</f>
        <v>0</v>
      </c>
      <c r="I276" s="14">
        <f>+'A) Base RI'!F276</f>
        <v>0</v>
      </c>
      <c r="J276" s="14">
        <f>+'A) Base RI'!G276+'A) Base RI'!H276</f>
        <v>614237.25</v>
      </c>
      <c r="K276" s="14">
        <f>+'A) Base RI'!I276</f>
        <v>639726.47</v>
      </c>
      <c r="L276" s="14">
        <f>+'A) Base RI'!J276</f>
        <v>257478.04</v>
      </c>
      <c r="M276" s="14">
        <f>+'A) Base RI'!K276</f>
        <v>56274</v>
      </c>
      <c r="N276" s="14">
        <f>+'A) Base RI'!Q276</f>
        <v>126992.67</v>
      </c>
      <c r="O276" s="14">
        <f t="shared" si="29"/>
        <v>1550001.6</v>
      </c>
      <c r="P276" s="14">
        <f>+'A) Base RI'!L276</f>
        <v>1550001.6</v>
      </c>
      <c r="Q276" s="42">
        <f>'A) Base RI'!Y276</f>
        <v>1</v>
      </c>
      <c r="R276" s="4">
        <f t="shared" si="30"/>
        <v>23268550.309999999</v>
      </c>
      <c r="S276" s="41">
        <f>'A) Base RI'!T276</f>
        <v>70</v>
      </c>
      <c r="T276" s="4">
        <f t="shared" si="31"/>
        <v>21662274.709999997</v>
      </c>
      <c r="U276" s="4">
        <f t="shared" si="32"/>
        <v>332407.86157142854</v>
      </c>
      <c r="V276" s="14">
        <f>+'A) Base RI'!O276</f>
        <v>1055691.7</v>
      </c>
      <c r="W276" s="14">
        <f>+'A) Base RI'!P276</f>
        <v>1006294.55</v>
      </c>
      <c r="X276" s="14">
        <f>+'A) Base RI'!R276</f>
        <v>741092.65</v>
      </c>
      <c r="Y276" s="4">
        <f t="shared" si="33"/>
        <v>2803078.9</v>
      </c>
      <c r="Z276" s="14">
        <f>+'A) Base RI'!N276</f>
        <v>78289.55</v>
      </c>
      <c r="AA276" s="14">
        <f>'A) Base RI'!U276</f>
        <v>6116</v>
      </c>
    </row>
    <row r="277" spans="1:27" x14ac:dyDescent="0.25">
      <c r="A277" s="12">
        <f>'A) Base RI'!A277</f>
        <v>5882</v>
      </c>
      <c r="B277" s="40" t="str">
        <f>'A) Base RI'!B277</f>
        <v>Chardonne</v>
      </c>
      <c r="C277" s="14">
        <f>'A) Base RI'!C277+'A) Base RI'!D277</f>
        <v>8715693.25</v>
      </c>
      <c r="D277" s="14">
        <f>'A) Base RI'!V277</f>
        <v>-78409.47</v>
      </c>
      <c r="E277" s="39">
        <f>'A) Base RI'!W277</f>
        <v>0</v>
      </c>
      <c r="F277" s="39">
        <f>'A) Base RI'!X277</f>
        <v>-2662.29</v>
      </c>
      <c r="G277" s="4">
        <f t="shared" si="28"/>
        <v>8634621.4900000002</v>
      </c>
      <c r="H277" s="14">
        <f>+'A) Base RI'!E277</f>
        <v>0</v>
      </c>
      <c r="I277" s="14">
        <f>+'A) Base RI'!F277</f>
        <v>0</v>
      </c>
      <c r="J277" s="14">
        <f>+'A) Base RI'!G277+'A) Base RI'!H277</f>
        <v>265056.95</v>
      </c>
      <c r="K277" s="14">
        <f>+'A) Base RI'!I277</f>
        <v>371642.95</v>
      </c>
      <c r="L277" s="14">
        <f>+'A) Base RI'!J277</f>
        <v>148507.79</v>
      </c>
      <c r="M277" s="14">
        <f>+'A) Base RI'!K277</f>
        <v>31313</v>
      </c>
      <c r="N277" s="14">
        <f>+'A) Base RI'!Q277</f>
        <v>4039.25</v>
      </c>
      <c r="O277" s="14">
        <f t="shared" si="29"/>
        <v>818902.27</v>
      </c>
      <c r="P277" s="14">
        <f>+'A) Base RI'!L277</f>
        <v>818902.27</v>
      </c>
      <c r="Q277" s="42">
        <f>'A) Base RI'!Y277</f>
        <v>1</v>
      </c>
      <c r="R277" s="4">
        <f t="shared" si="30"/>
        <v>10274083.699999997</v>
      </c>
      <c r="S277" s="41">
        <f>'A) Base RI'!T277</f>
        <v>68</v>
      </c>
      <c r="T277" s="4">
        <f t="shared" si="31"/>
        <v>9423868.4299999978</v>
      </c>
      <c r="U277" s="4">
        <f t="shared" si="32"/>
        <v>151089.46617647054</v>
      </c>
      <c r="V277" s="14">
        <f>+'A) Base RI'!O277</f>
        <v>543857.30000000005</v>
      </c>
      <c r="W277" s="14">
        <f>+'A) Base RI'!P277</f>
        <v>369527.8</v>
      </c>
      <c r="X277" s="14">
        <f>+'A) Base RI'!R277</f>
        <v>285968.7</v>
      </c>
      <c r="Y277" s="4">
        <f t="shared" si="33"/>
        <v>1199353.8</v>
      </c>
      <c r="Z277" s="14">
        <f>+'A) Base RI'!N277</f>
        <v>10525.4</v>
      </c>
      <c r="AA277" s="14">
        <f>'A) Base RI'!U277</f>
        <v>2916</v>
      </c>
    </row>
    <row r="278" spans="1:27" x14ac:dyDescent="0.25">
      <c r="A278" s="12">
        <f>'A) Base RI'!A278</f>
        <v>5883</v>
      </c>
      <c r="B278" s="40" t="str">
        <f>'A) Base RI'!B278</f>
        <v>Corseaux</v>
      </c>
      <c r="C278" s="14">
        <f>'A) Base RI'!C278+'A) Base RI'!D278</f>
        <v>8504635.7699999996</v>
      </c>
      <c r="D278" s="14">
        <f>'A) Base RI'!V278</f>
        <v>-266742.76</v>
      </c>
      <c r="E278" s="39">
        <f>'A) Base RI'!W278</f>
        <v>0</v>
      </c>
      <c r="F278" s="39">
        <f>'A) Base RI'!X278</f>
        <v>-3948.99</v>
      </c>
      <c r="G278" s="4">
        <f t="shared" si="28"/>
        <v>8233944.0199999996</v>
      </c>
      <c r="H278" s="14">
        <f>+'A) Base RI'!E278</f>
        <v>0</v>
      </c>
      <c r="I278" s="14">
        <f>+'A) Base RI'!F278</f>
        <v>0</v>
      </c>
      <c r="J278" s="14">
        <f>+'A) Base RI'!G278+'A) Base RI'!H278</f>
        <v>245983.65</v>
      </c>
      <c r="K278" s="14">
        <f>+'A) Base RI'!I278</f>
        <v>359460.3</v>
      </c>
      <c r="L278" s="14">
        <f>+'A) Base RI'!J278</f>
        <v>164316.44</v>
      </c>
      <c r="M278" s="14">
        <f>+'A) Base RI'!K278</f>
        <v>15641.5</v>
      </c>
      <c r="N278" s="14">
        <f>+'A) Base RI'!Q278</f>
        <v>32502.52</v>
      </c>
      <c r="O278" s="14">
        <f t="shared" si="29"/>
        <v>619679.9</v>
      </c>
      <c r="P278" s="14">
        <f>+'A) Base RI'!L278</f>
        <v>619679.9</v>
      </c>
      <c r="Q278" s="42">
        <f>'A) Base RI'!Y278</f>
        <v>1</v>
      </c>
      <c r="R278" s="4">
        <f t="shared" si="30"/>
        <v>9671528.3300000001</v>
      </c>
      <c r="S278" s="41">
        <f>'A) Base RI'!T278</f>
        <v>64</v>
      </c>
      <c r="T278" s="4">
        <f t="shared" si="31"/>
        <v>9036206.9299999997</v>
      </c>
      <c r="U278" s="4">
        <f t="shared" si="32"/>
        <v>151117.63015625</v>
      </c>
      <c r="V278" s="14">
        <f>+'A) Base RI'!O278</f>
        <v>130046.3</v>
      </c>
      <c r="W278" s="14">
        <f>+'A) Base RI'!P278</f>
        <v>415281.65</v>
      </c>
      <c r="X278" s="14">
        <f>+'A) Base RI'!R278</f>
        <v>400764.15</v>
      </c>
      <c r="Y278" s="4">
        <f t="shared" si="33"/>
        <v>946092.10000000009</v>
      </c>
      <c r="Z278" s="14">
        <f>+'A) Base RI'!N278</f>
        <v>3263.25</v>
      </c>
      <c r="AA278" s="14">
        <f>'A) Base RI'!U278</f>
        <v>2212</v>
      </c>
    </row>
    <row r="279" spans="1:27" x14ac:dyDescent="0.25">
      <c r="A279" s="12">
        <f>'A) Base RI'!A279</f>
        <v>5884</v>
      </c>
      <c r="B279" s="40" t="str">
        <f>'A) Base RI'!B279</f>
        <v>Corsier-sur-Vevey</v>
      </c>
      <c r="C279" s="14">
        <f>'A) Base RI'!C279+'A) Base RI'!D279</f>
        <v>5832899.3300000001</v>
      </c>
      <c r="D279" s="14">
        <f>'A) Base RI'!V279</f>
        <v>-152496.71</v>
      </c>
      <c r="E279" s="39">
        <f>'A) Base RI'!W279</f>
        <v>0</v>
      </c>
      <c r="F279" s="39">
        <f>'A) Base RI'!X279</f>
        <v>-423.67</v>
      </c>
      <c r="G279" s="4">
        <f t="shared" si="28"/>
        <v>5679978.9500000002</v>
      </c>
      <c r="H279" s="14">
        <f>+'A) Base RI'!E279</f>
        <v>0</v>
      </c>
      <c r="I279" s="14">
        <f>+'A) Base RI'!F279</f>
        <v>0</v>
      </c>
      <c r="J279" s="14">
        <f>+'A) Base RI'!G279+'A) Base RI'!H279</f>
        <v>857396.1</v>
      </c>
      <c r="K279" s="14">
        <f>+'A) Base RI'!I279</f>
        <v>20731.150000000001</v>
      </c>
      <c r="L279" s="14">
        <f>+'A) Base RI'!J279</f>
        <v>173633.26</v>
      </c>
      <c r="M279" s="14">
        <f>+'A) Base RI'!K279</f>
        <v>135645.5</v>
      </c>
      <c r="N279" s="14">
        <f>+'A) Base RI'!Q279</f>
        <v>61180.95</v>
      </c>
      <c r="O279" s="14">
        <f t="shared" si="29"/>
        <v>756515.08333333337</v>
      </c>
      <c r="P279" s="14">
        <f>+'A) Base RI'!L279</f>
        <v>907818.1</v>
      </c>
      <c r="Q279" s="42">
        <f>'A) Base RI'!Y279</f>
        <v>1.2</v>
      </c>
      <c r="R279" s="4">
        <f t="shared" si="30"/>
        <v>7685080.9933333332</v>
      </c>
      <c r="S279" s="41">
        <f>'A) Base RI'!T279</f>
        <v>66</v>
      </c>
      <c r="T279" s="4">
        <f t="shared" si="31"/>
        <v>6792920.4100000001</v>
      </c>
      <c r="U279" s="4">
        <f t="shared" si="32"/>
        <v>116440.6211111111</v>
      </c>
      <c r="V279" s="14">
        <f>+'A) Base RI'!O279</f>
        <v>109453.9</v>
      </c>
      <c r="W279" s="14">
        <f>+'A) Base RI'!P279</f>
        <v>156607.9</v>
      </c>
      <c r="X279" s="14">
        <f>+'A) Base RI'!R279</f>
        <v>191471.6</v>
      </c>
      <c r="Y279" s="4">
        <f t="shared" si="33"/>
        <v>457533.4</v>
      </c>
      <c r="Z279" s="14">
        <f>+'A) Base RI'!N279</f>
        <v>361450.95</v>
      </c>
      <c r="AA279" s="14">
        <f>'A) Base RI'!U279</f>
        <v>3403</v>
      </c>
    </row>
    <row r="280" spans="1:27" x14ac:dyDescent="0.25">
      <c r="A280" s="12">
        <f>'A) Base RI'!A280</f>
        <v>5885</v>
      </c>
      <c r="B280" s="40" t="str">
        <f>'A) Base RI'!B280</f>
        <v>Jongny</v>
      </c>
      <c r="C280" s="14">
        <f>'A) Base RI'!C280+'A) Base RI'!D280</f>
        <v>4966746.2300000004</v>
      </c>
      <c r="D280" s="14">
        <f>'A) Base RI'!V280</f>
        <v>-41987.15</v>
      </c>
      <c r="E280" s="39">
        <f>'A) Base RI'!W280</f>
        <v>0</v>
      </c>
      <c r="F280" s="39">
        <f>'A) Base RI'!X280</f>
        <v>-2321.9499999999998</v>
      </c>
      <c r="G280" s="4">
        <f t="shared" si="28"/>
        <v>4922437.13</v>
      </c>
      <c r="H280" s="14">
        <f>+'A) Base RI'!E280</f>
        <v>0</v>
      </c>
      <c r="I280" s="14">
        <f>+'A) Base RI'!F280</f>
        <v>0</v>
      </c>
      <c r="J280" s="14">
        <f>+'A) Base RI'!G280+'A) Base RI'!H280</f>
        <v>317827.14999999997</v>
      </c>
      <c r="K280" s="14">
        <f>+'A) Base RI'!I280</f>
        <v>111937.62</v>
      </c>
      <c r="L280" s="14">
        <f>+'A) Base RI'!J280</f>
        <v>99980.46</v>
      </c>
      <c r="M280" s="14">
        <f>+'A) Base RI'!K280</f>
        <v>12803.5</v>
      </c>
      <c r="N280" s="14">
        <f>+'A) Base RI'!Q280</f>
        <v>3939.75</v>
      </c>
      <c r="O280" s="14">
        <f t="shared" si="29"/>
        <v>341936.125</v>
      </c>
      <c r="P280" s="14">
        <f>+'A) Base RI'!L280</f>
        <v>410323.35</v>
      </c>
      <c r="Q280" s="42">
        <f>'A) Base RI'!Y280</f>
        <v>1.2</v>
      </c>
      <c r="R280" s="4">
        <f t="shared" si="30"/>
        <v>5810861.7350000003</v>
      </c>
      <c r="S280" s="41">
        <f>'A) Base RI'!T280</f>
        <v>71</v>
      </c>
      <c r="T280" s="4">
        <f t="shared" si="31"/>
        <v>5456122.1100000003</v>
      </c>
      <c r="U280" s="4">
        <f t="shared" si="32"/>
        <v>81843.123028169022</v>
      </c>
      <c r="V280" s="14">
        <f>+'A) Base RI'!O280</f>
        <v>40192.300000000003</v>
      </c>
      <c r="W280" s="14">
        <f>+'A) Base RI'!P280</f>
        <v>166478.15</v>
      </c>
      <c r="X280" s="14">
        <f>+'A) Base RI'!R280</f>
        <v>225931.45</v>
      </c>
      <c r="Y280" s="4">
        <f t="shared" si="33"/>
        <v>432601.9</v>
      </c>
      <c r="Z280" s="14">
        <f>+'A) Base RI'!N280</f>
        <v>0</v>
      </c>
      <c r="AA280" s="14">
        <f>'A) Base RI'!U280</f>
        <v>1488</v>
      </c>
    </row>
    <row r="281" spans="1:27" x14ac:dyDescent="0.25">
      <c r="A281" s="12">
        <f>'A) Base RI'!A281</f>
        <v>5886</v>
      </c>
      <c r="B281" s="40" t="str">
        <f>'A) Base RI'!B281</f>
        <v>Montreux</v>
      </c>
      <c r="C281" s="14">
        <f>'A) Base RI'!C281+'A) Base RI'!D281</f>
        <v>54754692</v>
      </c>
      <c r="D281" s="14">
        <f>'A) Base RI'!V281</f>
        <v>-1771754.39</v>
      </c>
      <c r="E281" s="39">
        <f>'A) Base RI'!W281</f>
        <v>0</v>
      </c>
      <c r="F281" s="39">
        <f>'A) Base RI'!X281</f>
        <v>-26361.8</v>
      </c>
      <c r="G281" s="4">
        <f t="shared" si="28"/>
        <v>52956575.810000002</v>
      </c>
      <c r="H281" s="14">
        <f>+'A) Base RI'!E281</f>
        <v>0</v>
      </c>
      <c r="I281" s="14">
        <f>+'A) Base RI'!F281</f>
        <v>0</v>
      </c>
      <c r="J281" s="14">
        <f>+'A) Base RI'!G281+'A) Base RI'!H281</f>
        <v>9291372.25</v>
      </c>
      <c r="K281" s="14">
        <f>+'A) Base RI'!I281</f>
        <v>4032035.03</v>
      </c>
      <c r="L281" s="14">
        <f>+'A) Base RI'!J281</f>
        <v>2841932.72</v>
      </c>
      <c r="M281" s="14">
        <f>+'A) Base RI'!K281</f>
        <v>567399.5</v>
      </c>
      <c r="N281" s="14">
        <f>+'A) Base RI'!Q281</f>
        <v>359751.06</v>
      </c>
      <c r="O281" s="14">
        <f t="shared" si="29"/>
        <v>6341469.793333333</v>
      </c>
      <c r="P281" s="14">
        <f>+'A) Base RI'!L281</f>
        <v>9512204.6899999995</v>
      </c>
      <c r="Q281" s="42">
        <f>'A) Base RI'!Y281</f>
        <v>1.5</v>
      </c>
      <c r="R281" s="4">
        <f t="shared" si="30"/>
        <v>76390536.163333341</v>
      </c>
      <c r="S281" s="41">
        <f>'A) Base RI'!T281</f>
        <v>65</v>
      </c>
      <c r="T281" s="4">
        <f t="shared" si="31"/>
        <v>69481666.870000005</v>
      </c>
      <c r="U281" s="4">
        <f t="shared" si="32"/>
        <v>1175239.0178974359</v>
      </c>
      <c r="V281" s="14">
        <f>+'A) Base RI'!O281</f>
        <v>7284641.7000000002</v>
      </c>
      <c r="W281" s="14">
        <f>+'A) Base RI'!P281</f>
        <v>4256950.2</v>
      </c>
      <c r="X281" s="14">
        <f>+'A) Base RI'!R281</f>
        <v>2142780.15</v>
      </c>
      <c r="Y281" s="4">
        <f t="shared" si="33"/>
        <v>13684372.050000001</v>
      </c>
      <c r="Z281" s="14">
        <f>+'A) Base RI'!N281</f>
        <v>798361.7</v>
      </c>
      <c r="AA281" s="14">
        <f>'A) Base RI'!U281</f>
        <v>26402</v>
      </c>
    </row>
    <row r="282" spans="1:27" x14ac:dyDescent="0.25">
      <c r="A282" s="12">
        <f>'A) Base RI'!A282</f>
        <v>5888</v>
      </c>
      <c r="B282" s="40" t="str">
        <f>'A) Base RI'!B282</f>
        <v>Saint-Légier-La Chiésaz</v>
      </c>
      <c r="C282" s="14">
        <f>'A) Base RI'!C282+'A) Base RI'!D282</f>
        <v>18044200.32</v>
      </c>
      <c r="D282" s="14">
        <f>'A) Base RI'!V282</f>
        <v>-224943.4</v>
      </c>
      <c r="E282" s="39">
        <f>'A) Base RI'!W282</f>
        <v>0</v>
      </c>
      <c r="F282" s="39">
        <f>'A) Base RI'!X282</f>
        <v>-14218.56</v>
      </c>
      <c r="G282" s="4">
        <f t="shared" si="28"/>
        <v>17805038.360000003</v>
      </c>
      <c r="H282" s="14">
        <f>+'A) Base RI'!E282</f>
        <v>0</v>
      </c>
      <c r="I282" s="14">
        <f>+'A) Base RI'!F282</f>
        <v>0</v>
      </c>
      <c r="J282" s="14">
        <f>+'A) Base RI'!G282+'A) Base RI'!H282</f>
        <v>747182.8</v>
      </c>
      <c r="K282" s="14">
        <f>+'A) Base RI'!I282</f>
        <v>301334.34999999998</v>
      </c>
      <c r="L282" s="14">
        <f>+'A) Base RI'!J282</f>
        <v>259509.06</v>
      </c>
      <c r="M282" s="14">
        <f>+'A) Base RI'!K282</f>
        <v>47802.5</v>
      </c>
      <c r="N282" s="14">
        <f>+'A) Base RI'!Q282</f>
        <v>25601.599999999999</v>
      </c>
      <c r="O282" s="14">
        <f t="shared" si="29"/>
        <v>1391617.875</v>
      </c>
      <c r="P282" s="14">
        <f>+'A) Base RI'!L282</f>
        <v>1669941.45</v>
      </c>
      <c r="Q282" s="42">
        <f>'A) Base RI'!Y282</f>
        <v>1.2</v>
      </c>
      <c r="R282" s="4">
        <f t="shared" si="30"/>
        <v>20578086.545000006</v>
      </c>
      <c r="S282" s="41">
        <f>'A) Base RI'!T282</f>
        <v>67</v>
      </c>
      <c r="T282" s="4">
        <f t="shared" si="31"/>
        <v>19138666.170000006</v>
      </c>
      <c r="U282" s="4">
        <f t="shared" si="32"/>
        <v>307135.62007462693</v>
      </c>
      <c r="V282" s="14">
        <f>+'A) Base RI'!O282</f>
        <v>15168.1</v>
      </c>
      <c r="W282" s="14">
        <f>+'A) Base RI'!P282</f>
        <v>688884.65</v>
      </c>
      <c r="X282" s="14">
        <f>+'A) Base RI'!R282</f>
        <v>649817.44999999995</v>
      </c>
      <c r="Y282" s="4">
        <f t="shared" si="33"/>
        <v>1353870.2</v>
      </c>
      <c r="Z282" s="14">
        <f>+'A) Base RI'!N282</f>
        <v>160090.6</v>
      </c>
      <c r="AA282" s="14">
        <f>'A) Base RI'!U282</f>
        <v>5130</v>
      </c>
    </row>
    <row r="283" spans="1:27" x14ac:dyDescent="0.25">
      <c r="A283" s="12">
        <f>'A) Base RI'!A283</f>
        <v>5889</v>
      </c>
      <c r="B283" s="40" t="str">
        <f>'A) Base RI'!B283</f>
        <v>La Tour-de-Peilz</v>
      </c>
      <c r="C283" s="14">
        <f>'A) Base RI'!C283+'A) Base RI'!D283</f>
        <v>29099129.32</v>
      </c>
      <c r="D283" s="14">
        <f>'A) Base RI'!V283</f>
        <v>-564306.15</v>
      </c>
      <c r="E283" s="39">
        <f>'A) Base RI'!W283</f>
        <v>0</v>
      </c>
      <c r="F283" s="39">
        <f>'A) Base RI'!X283</f>
        <v>-15300.05</v>
      </c>
      <c r="G283" s="4">
        <f t="shared" si="28"/>
        <v>28519523.120000001</v>
      </c>
      <c r="H283" s="14">
        <f>+'A) Base RI'!E283</f>
        <v>0</v>
      </c>
      <c r="I283" s="14">
        <f>+'A) Base RI'!F283</f>
        <v>0</v>
      </c>
      <c r="J283" s="14">
        <f>+'A) Base RI'!G283+'A) Base RI'!H283</f>
        <v>6934312</v>
      </c>
      <c r="K283" s="14">
        <f>+'A) Base RI'!I283</f>
        <v>900668.37</v>
      </c>
      <c r="L283" s="14">
        <f>+'A) Base RI'!J283</f>
        <v>806839.05</v>
      </c>
      <c r="M283" s="14">
        <f>+'A) Base RI'!K283</f>
        <v>148271.5</v>
      </c>
      <c r="N283" s="14">
        <f>+'A) Base RI'!Q283</f>
        <v>215753.89</v>
      </c>
      <c r="O283" s="14">
        <f t="shared" si="29"/>
        <v>2065737.7083333335</v>
      </c>
      <c r="P283" s="14">
        <f>+'A) Base RI'!L283</f>
        <v>2478885.25</v>
      </c>
      <c r="Q283" s="42">
        <f>'A) Base RI'!Y283</f>
        <v>1.2</v>
      </c>
      <c r="R283" s="4">
        <f t="shared" si="30"/>
        <v>39591105.638333336</v>
      </c>
      <c r="S283" s="41">
        <f>'A) Base RI'!T283</f>
        <v>64</v>
      </c>
      <c r="T283" s="4">
        <f t="shared" si="31"/>
        <v>37377096.43</v>
      </c>
      <c r="U283" s="4">
        <f t="shared" si="32"/>
        <v>618611.02559895837</v>
      </c>
      <c r="V283" s="14">
        <f>+'A) Base RI'!O283</f>
        <v>1634367.2</v>
      </c>
      <c r="W283" s="14">
        <f>+'A) Base RI'!P283</f>
        <v>1653244.75</v>
      </c>
      <c r="X283" s="14">
        <f>+'A) Base RI'!R283</f>
        <v>982584.85</v>
      </c>
      <c r="Y283" s="4">
        <f t="shared" si="33"/>
        <v>4270196.8</v>
      </c>
      <c r="Z283" s="14">
        <f>+'A) Base RI'!N283</f>
        <v>87843.5</v>
      </c>
      <c r="AA283" s="14">
        <f>'A) Base RI'!U283</f>
        <v>11637</v>
      </c>
    </row>
    <row r="284" spans="1:27" x14ac:dyDescent="0.25">
      <c r="A284" s="12">
        <f>'A) Base RI'!A284</f>
        <v>5890</v>
      </c>
      <c r="B284" s="40" t="str">
        <f>'A) Base RI'!B284</f>
        <v>Vevey</v>
      </c>
      <c r="C284" s="14">
        <f>'A) Base RI'!C284+'A) Base RI'!D284</f>
        <v>38559923.600000001</v>
      </c>
      <c r="D284" s="14">
        <f>'A) Base RI'!V284</f>
        <v>-1321485.03</v>
      </c>
      <c r="E284" s="39">
        <f>'A) Base RI'!W284</f>
        <v>0</v>
      </c>
      <c r="F284" s="39">
        <f>'A) Base RI'!X284</f>
        <v>-13277.46</v>
      </c>
      <c r="G284" s="4">
        <f t="shared" si="28"/>
        <v>37225161.109999999</v>
      </c>
      <c r="H284" s="14">
        <f>+'A) Base RI'!E284</f>
        <v>0</v>
      </c>
      <c r="I284" s="14">
        <f>+'A) Base RI'!F284</f>
        <v>0</v>
      </c>
      <c r="J284" s="14">
        <f>+'A) Base RI'!G284+'A) Base RI'!H284</f>
        <v>21141171.649999999</v>
      </c>
      <c r="K284" s="14">
        <f>+'A) Base RI'!I284</f>
        <v>437163.27</v>
      </c>
      <c r="L284" s="14">
        <f>+'A) Base RI'!J284</f>
        <v>2980212.95</v>
      </c>
      <c r="M284" s="14">
        <f>+'A) Base RI'!K284</f>
        <v>533162</v>
      </c>
      <c r="N284" s="14">
        <f>+'A) Base RI'!Q284</f>
        <v>635847.81000000006</v>
      </c>
      <c r="O284" s="14">
        <f t="shared" si="29"/>
        <v>3419823.541666667</v>
      </c>
      <c r="P284" s="14">
        <f>+'A) Base RI'!L284</f>
        <v>4103788.25</v>
      </c>
      <c r="Q284" s="42">
        <f>'A) Base RI'!Y284</f>
        <v>1.2</v>
      </c>
      <c r="R284" s="4">
        <f t="shared" si="30"/>
        <v>66372542.331666671</v>
      </c>
      <c r="S284" s="41">
        <f>'A) Base RI'!T284</f>
        <v>73</v>
      </c>
      <c r="T284" s="4">
        <f t="shared" si="31"/>
        <v>62419556.790000007</v>
      </c>
      <c r="U284" s="4">
        <f t="shared" si="32"/>
        <v>909212.90865296812</v>
      </c>
      <c r="V284" s="14">
        <f>+'A) Base RI'!O284</f>
        <v>2244620.2999999998</v>
      </c>
      <c r="W284" s="14">
        <f>+'A) Base RI'!P284</f>
        <v>1360969</v>
      </c>
      <c r="X284" s="14">
        <f>+'A) Base RI'!R284</f>
        <v>447889.45</v>
      </c>
      <c r="Y284" s="4">
        <f t="shared" si="33"/>
        <v>4053478.75</v>
      </c>
      <c r="Z284" s="14">
        <f>+'A) Base RI'!N284</f>
        <v>1024428.9</v>
      </c>
      <c r="AA284" s="14">
        <f>'A) Base RI'!U284</f>
        <v>19605</v>
      </c>
    </row>
    <row r="285" spans="1:27" x14ac:dyDescent="0.25">
      <c r="A285" s="12">
        <f>'A) Base RI'!A285</f>
        <v>5891</v>
      </c>
      <c r="B285" s="40" t="str">
        <f>'A) Base RI'!B285</f>
        <v>Veytaux</v>
      </c>
      <c r="C285" s="14">
        <f>'A) Base RI'!C285+'A) Base RI'!D285</f>
        <v>2373379.6800000002</v>
      </c>
      <c r="D285" s="14">
        <f>'A) Base RI'!V285</f>
        <v>-39310.370000000003</v>
      </c>
      <c r="E285" s="39">
        <f>'A) Base RI'!W285</f>
        <v>0</v>
      </c>
      <c r="F285" s="39">
        <f>'A) Base RI'!X285</f>
        <v>-126.33</v>
      </c>
      <c r="G285" s="4">
        <f t="shared" si="28"/>
        <v>2333942.98</v>
      </c>
      <c r="H285" s="14">
        <f>+'A) Base RI'!E285</f>
        <v>0</v>
      </c>
      <c r="I285" s="14">
        <f>+'A) Base RI'!F285</f>
        <v>0</v>
      </c>
      <c r="J285" s="14">
        <f>+'A) Base RI'!G285+'A) Base RI'!H285</f>
        <v>68231.899999999994</v>
      </c>
      <c r="K285" s="14">
        <f>+'A) Base RI'!I285</f>
        <v>9709.7999999999993</v>
      </c>
      <c r="L285" s="14">
        <f>+'A) Base RI'!J285</f>
        <v>72551.199999999997</v>
      </c>
      <c r="M285" s="14">
        <f>+'A) Base RI'!K285</f>
        <v>11092</v>
      </c>
      <c r="N285" s="14">
        <f>+'A) Base RI'!Q285</f>
        <v>3290.7</v>
      </c>
      <c r="O285" s="14">
        <f t="shared" si="29"/>
        <v>227404.66666666666</v>
      </c>
      <c r="P285" s="14">
        <f>+'A) Base RI'!L285</f>
        <v>272885.59999999998</v>
      </c>
      <c r="Q285" s="42">
        <f>'A) Base RI'!Y285</f>
        <v>1.2</v>
      </c>
      <c r="R285" s="4">
        <f t="shared" si="30"/>
        <v>2726223.2466666666</v>
      </c>
      <c r="S285" s="41">
        <f>'A) Base RI'!T285</f>
        <v>69</v>
      </c>
      <c r="T285" s="4">
        <f t="shared" si="31"/>
        <v>2487726.58</v>
      </c>
      <c r="U285" s="4">
        <f t="shared" si="32"/>
        <v>39510.481835748789</v>
      </c>
      <c r="V285" s="14">
        <f>+'A) Base RI'!O285</f>
        <v>94128.5</v>
      </c>
      <c r="W285" s="14">
        <f>+'A) Base RI'!P285</f>
        <v>139283.70000000001</v>
      </c>
      <c r="X285" s="14">
        <f>+'A) Base RI'!R285</f>
        <v>88549.4</v>
      </c>
      <c r="Y285" s="4">
        <f t="shared" si="33"/>
        <v>321961.59999999998</v>
      </c>
      <c r="Z285" s="14">
        <f>+'A) Base RI'!N285</f>
        <v>0</v>
      </c>
      <c r="AA285" s="14">
        <f>'A) Base RI'!U285</f>
        <v>850</v>
      </c>
    </row>
    <row r="286" spans="1:27" x14ac:dyDescent="0.25">
      <c r="A286" s="12">
        <f>'A) Base RI'!A286</f>
        <v>5902</v>
      </c>
      <c r="B286" s="40" t="str">
        <f>'A) Base RI'!B286</f>
        <v>Belmont-sur-Yverdon</v>
      </c>
      <c r="C286" s="14">
        <f>'A) Base RI'!C286+'A) Base RI'!D286</f>
        <v>653220.99</v>
      </c>
      <c r="D286" s="14">
        <f>'A) Base RI'!V286</f>
        <v>-7.12</v>
      </c>
      <c r="E286" s="39">
        <f>'A) Base RI'!W286</f>
        <v>0</v>
      </c>
      <c r="F286" s="39">
        <f>'A) Base RI'!X286</f>
        <v>0</v>
      </c>
      <c r="G286" s="4">
        <f t="shared" si="28"/>
        <v>653213.87</v>
      </c>
      <c r="H286" s="14">
        <f>+'A) Base RI'!E286</f>
        <v>0</v>
      </c>
      <c r="I286" s="14">
        <f>+'A) Base RI'!F286</f>
        <v>0</v>
      </c>
      <c r="J286" s="14">
        <f>+'A) Base RI'!G286+'A) Base RI'!H286</f>
        <v>1241.8499999999999</v>
      </c>
      <c r="K286" s="14">
        <f>+'A) Base RI'!I286</f>
        <v>0</v>
      </c>
      <c r="L286" s="14">
        <f>+'A) Base RI'!J286</f>
        <v>-3508.81</v>
      </c>
      <c r="M286" s="14">
        <f>+'A) Base RI'!K286</f>
        <v>0</v>
      </c>
      <c r="N286" s="14">
        <f>+'A) Base RI'!Q286</f>
        <v>0</v>
      </c>
      <c r="O286" s="14">
        <f t="shared" si="29"/>
        <v>50316.1</v>
      </c>
      <c r="P286" s="14">
        <f>+'A) Base RI'!L286</f>
        <v>50316.1</v>
      </c>
      <c r="Q286" s="42">
        <f>'A) Base RI'!Y286</f>
        <v>1</v>
      </c>
      <c r="R286" s="4">
        <f t="shared" si="30"/>
        <v>701263.00999999989</v>
      </c>
      <c r="S286" s="41">
        <f>'A) Base RI'!T286</f>
        <v>76</v>
      </c>
      <c r="T286" s="4">
        <f t="shared" si="31"/>
        <v>650946.90999999992</v>
      </c>
      <c r="U286" s="4">
        <f t="shared" si="32"/>
        <v>9227.1448684210518</v>
      </c>
      <c r="V286" s="14">
        <f>+'A) Base RI'!O286</f>
        <v>0</v>
      </c>
      <c r="W286" s="14">
        <f>+'A) Base RI'!P286</f>
        <v>2090</v>
      </c>
      <c r="X286" s="14">
        <f>+'A) Base RI'!R286</f>
        <v>14364.6</v>
      </c>
      <c r="Y286" s="4">
        <f t="shared" si="33"/>
        <v>16454.599999999999</v>
      </c>
      <c r="Z286" s="14">
        <f>+'A) Base RI'!N286</f>
        <v>0</v>
      </c>
      <c r="AA286" s="14">
        <f>'A) Base RI'!U286</f>
        <v>368</v>
      </c>
    </row>
    <row r="287" spans="1:27" x14ac:dyDescent="0.25">
      <c r="A287" s="12">
        <f>'A) Base RI'!A287</f>
        <v>5903</v>
      </c>
      <c r="B287" s="40" t="str">
        <f>'A) Base RI'!B287</f>
        <v>Bioley-Magnoux</v>
      </c>
      <c r="C287" s="14">
        <f>'A) Base RI'!C287+'A) Base RI'!D287</f>
        <v>408043.47</v>
      </c>
      <c r="D287" s="14">
        <f>'A) Base RI'!V287</f>
        <v>-4544.17</v>
      </c>
      <c r="E287" s="39">
        <f>'A) Base RI'!W287</f>
        <v>0</v>
      </c>
      <c r="F287" s="39">
        <f>'A) Base RI'!X287</f>
        <v>0</v>
      </c>
      <c r="G287" s="4">
        <f t="shared" si="28"/>
        <v>403499.3</v>
      </c>
      <c r="H287" s="14">
        <f>+'A) Base RI'!E287</f>
        <v>0</v>
      </c>
      <c r="I287" s="14">
        <f>+'A) Base RI'!F287</f>
        <v>0</v>
      </c>
      <c r="J287" s="14">
        <f>+'A) Base RI'!G287+'A) Base RI'!H287</f>
        <v>1443.2</v>
      </c>
      <c r="K287" s="14">
        <f>+'A) Base RI'!I287</f>
        <v>0</v>
      </c>
      <c r="L287" s="14">
        <f>+'A) Base RI'!J287</f>
        <v>2574.14</v>
      </c>
      <c r="M287" s="14">
        <f>+'A) Base RI'!K287</f>
        <v>0</v>
      </c>
      <c r="N287" s="14">
        <f>+'A) Base RI'!Q287</f>
        <v>0</v>
      </c>
      <c r="O287" s="14">
        <f t="shared" si="29"/>
        <v>33072.785714285717</v>
      </c>
      <c r="P287" s="14">
        <f>+'A) Base RI'!L287</f>
        <v>23150.95</v>
      </c>
      <c r="Q287" s="42">
        <f>'A) Base RI'!Y287</f>
        <v>0.7</v>
      </c>
      <c r="R287" s="4">
        <f t="shared" si="30"/>
        <v>440589.42571428575</v>
      </c>
      <c r="S287" s="41">
        <f>'A) Base RI'!T287</f>
        <v>74</v>
      </c>
      <c r="T287" s="4">
        <f t="shared" si="31"/>
        <v>407516.64</v>
      </c>
      <c r="U287" s="4">
        <f t="shared" si="32"/>
        <v>5953.911158301159</v>
      </c>
      <c r="V287" s="14">
        <f>+'A) Base RI'!O287</f>
        <v>2581.9</v>
      </c>
      <c r="W287" s="14">
        <f>+'A) Base RI'!P287</f>
        <v>3664</v>
      </c>
      <c r="X287" s="14">
        <f>+'A) Base RI'!R287</f>
        <v>5724.8</v>
      </c>
      <c r="Y287" s="4">
        <f t="shared" si="33"/>
        <v>11970.7</v>
      </c>
      <c r="Z287" s="14">
        <f>+'A) Base RI'!N287</f>
        <v>23214.2</v>
      </c>
      <c r="AA287" s="14">
        <f>'A) Base RI'!U287</f>
        <v>230</v>
      </c>
    </row>
    <row r="288" spans="1:27" x14ac:dyDescent="0.25">
      <c r="A288" s="12">
        <f>'A) Base RI'!A288</f>
        <v>5904</v>
      </c>
      <c r="B288" s="40" t="str">
        <f>'A) Base RI'!B288</f>
        <v>Chamblon</v>
      </c>
      <c r="C288" s="14">
        <f>'A) Base RI'!C288+'A) Base RI'!D288</f>
        <v>1416882.05</v>
      </c>
      <c r="D288" s="14">
        <f>'A) Base RI'!V288</f>
        <v>-18561.63</v>
      </c>
      <c r="E288" s="39">
        <f>'A) Base RI'!W288</f>
        <v>0</v>
      </c>
      <c r="F288" s="39">
        <f>'A) Base RI'!X288</f>
        <v>-9.6300000000000008</v>
      </c>
      <c r="G288" s="4">
        <f t="shared" si="28"/>
        <v>1398310.7900000003</v>
      </c>
      <c r="H288" s="14">
        <f>+'A) Base RI'!E288</f>
        <v>0</v>
      </c>
      <c r="I288" s="14">
        <f>+'A) Base RI'!F288</f>
        <v>0</v>
      </c>
      <c r="J288" s="14">
        <f>+'A) Base RI'!G288+'A) Base RI'!H288</f>
        <v>11396.6</v>
      </c>
      <c r="K288" s="14">
        <f>+'A) Base RI'!I288</f>
        <v>0</v>
      </c>
      <c r="L288" s="14">
        <f>+'A) Base RI'!J288</f>
        <v>7447.73</v>
      </c>
      <c r="M288" s="14">
        <f>+'A) Base RI'!K288</f>
        <v>2943.5</v>
      </c>
      <c r="N288" s="14">
        <f>+'A) Base RI'!Q288</f>
        <v>378.13</v>
      </c>
      <c r="O288" s="14">
        <f t="shared" si="29"/>
        <v>91847.9</v>
      </c>
      <c r="P288" s="14">
        <f>+'A) Base RI'!L288</f>
        <v>91847.9</v>
      </c>
      <c r="Q288" s="42">
        <f>'A) Base RI'!Y288</f>
        <v>1</v>
      </c>
      <c r="R288" s="4">
        <f t="shared" si="30"/>
        <v>1512324.6500000001</v>
      </c>
      <c r="S288" s="41">
        <f>'A) Base RI'!T288</f>
        <v>66</v>
      </c>
      <c r="T288" s="4">
        <f t="shared" si="31"/>
        <v>1417533.2500000002</v>
      </c>
      <c r="U288" s="4">
        <f t="shared" si="32"/>
        <v>22914.009848484849</v>
      </c>
      <c r="V288" s="14">
        <f>+'A) Base RI'!O288</f>
        <v>0</v>
      </c>
      <c r="W288" s="14">
        <f>+'A) Base RI'!P288</f>
        <v>24494.7</v>
      </c>
      <c r="X288" s="14">
        <f>+'A) Base RI'!R288</f>
        <v>23912.9</v>
      </c>
      <c r="Y288" s="4">
        <f t="shared" si="33"/>
        <v>48407.600000000006</v>
      </c>
      <c r="Z288" s="14">
        <f>+'A) Base RI'!N288</f>
        <v>32253.4</v>
      </c>
      <c r="AA288" s="14">
        <f>'A) Base RI'!U288</f>
        <v>548</v>
      </c>
    </row>
    <row r="289" spans="1:27" x14ac:dyDescent="0.25">
      <c r="A289" s="12">
        <f>'A) Base RI'!A289</f>
        <v>5905</v>
      </c>
      <c r="B289" s="40" t="str">
        <f>'A) Base RI'!B289</f>
        <v>Champvent</v>
      </c>
      <c r="C289" s="14">
        <f>'A) Base RI'!C289+'A) Base RI'!D289</f>
        <v>1129154.93</v>
      </c>
      <c r="D289" s="14">
        <f>'A) Base RI'!V289</f>
        <v>-17862.150000000001</v>
      </c>
      <c r="E289" s="39">
        <f>'A) Base RI'!W289</f>
        <v>0</v>
      </c>
      <c r="F289" s="39">
        <f>'A) Base RI'!X289</f>
        <v>-0.12</v>
      </c>
      <c r="G289" s="4">
        <f t="shared" si="28"/>
        <v>1111292.6599999999</v>
      </c>
      <c r="H289" s="14">
        <f>+'A) Base RI'!E289</f>
        <v>0</v>
      </c>
      <c r="I289" s="14">
        <f>+'A) Base RI'!F289</f>
        <v>0</v>
      </c>
      <c r="J289" s="14">
        <f>+'A) Base RI'!G289+'A) Base RI'!H289</f>
        <v>260066.69999999998</v>
      </c>
      <c r="K289" s="14">
        <f>+'A) Base RI'!I289</f>
        <v>0</v>
      </c>
      <c r="L289" s="14">
        <f>+'A) Base RI'!J289</f>
        <v>28416.1</v>
      </c>
      <c r="M289" s="14">
        <f>+'A) Base RI'!K289</f>
        <v>3209.4</v>
      </c>
      <c r="N289" s="14">
        <f>+'A) Base RI'!Q289</f>
        <v>3542.84</v>
      </c>
      <c r="O289" s="14">
        <f t="shared" si="29"/>
        <v>87222.85</v>
      </c>
      <c r="P289" s="14">
        <f>+'A) Base RI'!L289</f>
        <v>87222.85</v>
      </c>
      <c r="Q289" s="42">
        <f>'A) Base RI'!Y289</f>
        <v>1</v>
      </c>
      <c r="R289" s="4">
        <f t="shared" si="30"/>
        <v>1493750.55</v>
      </c>
      <c r="S289" s="41">
        <f>'A) Base RI'!T289</f>
        <v>71</v>
      </c>
      <c r="T289" s="4">
        <f t="shared" si="31"/>
        <v>1403318.3</v>
      </c>
      <c r="U289" s="4">
        <f t="shared" si="32"/>
        <v>21038.740140845071</v>
      </c>
      <c r="V289" s="14">
        <f>+'A) Base RI'!O289</f>
        <v>9060.6</v>
      </c>
      <c r="W289" s="14">
        <f>+'A) Base RI'!P289</f>
        <v>84054.1</v>
      </c>
      <c r="X289" s="14">
        <f>+'A) Base RI'!R289</f>
        <v>102915.85</v>
      </c>
      <c r="Y289" s="4">
        <f t="shared" si="33"/>
        <v>196030.55000000002</v>
      </c>
      <c r="Z289" s="14">
        <f>+'A) Base RI'!N289</f>
        <v>116404.5</v>
      </c>
      <c r="AA289" s="14">
        <f>'A) Base RI'!U289</f>
        <v>652</v>
      </c>
    </row>
    <row r="290" spans="1:27" x14ac:dyDescent="0.25">
      <c r="A290" s="12">
        <f>'A) Base RI'!A290</f>
        <v>5907</v>
      </c>
      <c r="B290" s="40" t="str">
        <f>'A) Base RI'!B290</f>
        <v>Chavannes-le-Chêne</v>
      </c>
      <c r="C290" s="14">
        <f>'A) Base RI'!C290+'A) Base RI'!D290</f>
        <v>652593.38</v>
      </c>
      <c r="D290" s="14">
        <f>'A) Base RI'!V290</f>
        <v>-15420.56</v>
      </c>
      <c r="E290" s="39">
        <f>'A) Base RI'!W290</f>
        <v>0</v>
      </c>
      <c r="F290" s="39">
        <f>'A) Base RI'!X290</f>
        <v>-368.2</v>
      </c>
      <c r="G290" s="4">
        <f t="shared" si="28"/>
        <v>636804.62</v>
      </c>
      <c r="H290" s="14">
        <f>+'A) Base RI'!E290</f>
        <v>0</v>
      </c>
      <c r="I290" s="14">
        <f>+'A) Base RI'!F290</f>
        <v>1700</v>
      </c>
      <c r="J290" s="14">
        <f>+'A) Base RI'!G290+'A) Base RI'!H290</f>
        <v>4982.5</v>
      </c>
      <c r="K290" s="14">
        <f>+'A) Base RI'!I290</f>
        <v>0</v>
      </c>
      <c r="L290" s="14">
        <f>+'A) Base RI'!J290</f>
        <v>7345.91</v>
      </c>
      <c r="M290" s="14">
        <f>+'A) Base RI'!K290</f>
        <v>134</v>
      </c>
      <c r="N290" s="14">
        <f>+'A) Base RI'!Q290</f>
        <v>261.39</v>
      </c>
      <c r="O290" s="14">
        <f t="shared" si="29"/>
        <v>36681.4</v>
      </c>
      <c r="P290" s="14">
        <f>+'A) Base RI'!L290</f>
        <v>36681.4</v>
      </c>
      <c r="Q290" s="42">
        <f>'A) Base RI'!Y290</f>
        <v>1</v>
      </c>
      <c r="R290" s="4">
        <f t="shared" si="30"/>
        <v>687909.82000000007</v>
      </c>
      <c r="S290" s="41">
        <f>'A) Base RI'!T290</f>
        <v>78</v>
      </c>
      <c r="T290" s="4">
        <f t="shared" si="31"/>
        <v>649394.42000000004</v>
      </c>
      <c r="U290" s="4">
        <f t="shared" si="32"/>
        <v>8819.3566666666684</v>
      </c>
      <c r="V290" s="14">
        <f>+'A) Base RI'!O290</f>
        <v>27471</v>
      </c>
      <c r="W290" s="14">
        <f>+'A) Base RI'!P290</f>
        <v>11414.15</v>
      </c>
      <c r="X290" s="14">
        <f>+'A) Base RI'!R290</f>
        <v>11156.85</v>
      </c>
      <c r="Y290" s="4">
        <f t="shared" si="33"/>
        <v>50042</v>
      </c>
      <c r="Z290" s="14">
        <f>+'A) Base RI'!N290</f>
        <v>7359.95</v>
      </c>
      <c r="AA290" s="14">
        <f>'A) Base RI'!U290</f>
        <v>300</v>
      </c>
    </row>
    <row r="291" spans="1:27" x14ac:dyDescent="0.25">
      <c r="A291" s="12">
        <f>'A) Base RI'!A291</f>
        <v>5908</v>
      </c>
      <c r="B291" s="40" t="str">
        <f>'A) Base RI'!B291</f>
        <v>Chêne-Pâquier</v>
      </c>
      <c r="C291" s="14">
        <f>'A) Base RI'!C291+'A) Base RI'!D291</f>
        <v>221062.09</v>
      </c>
      <c r="D291" s="14">
        <f>'A) Base RI'!V291</f>
        <v>-12120.27</v>
      </c>
      <c r="E291" s="39">
        <f>'A) Base RI'!W291</f>
        <v>0</v>
      </c>
      <c r="F291" s="39">
        <f>'A) Base RI'!X291</f>
        <v>0</v>
      </c>
      <c r="G291" s="4">
        <f t="shared" si="28"/>
        <v>208941.82</v>
      </c>
      <c r="H291" s="14">
        <f>+'A) Base RI'!E291</f>
        <v>0</v>
      </c>
      <c r="I291" s="14">
        <f>+'A) Base RI'!F291</f>
        <v>0</v>
      </c>
      <c r="J291" s="14">
        <f>+'A) Base RI'!G291+'A) Base RI'!H291</f>
        <v>2258.15</v>
      </c>
      <c r="K291" s="14">
        <f>+'A) Base RI'!I291</f>
        <v>0</v>
      </c>
      <c r="L291" s="14">
        <f>+'A) Base RI'!J291</f>
        <v>2210.1799999999998</v>
      </c>
      <c r="M291" s="14">
        <f>+'A) Base RI'!K291</f>
        <v>49.5</v>
      </c>
      <c r="N291" s="14">
        <f>+'A) Base RI'!Q291</f>
        <v>800.42</v>
      </c>
      <c r="O291" s="14">
        <f t="shared" si="29"/>
        <v>16035.1</v>
      </c>
      <c r="P291" s="14">
        <f>+'A) Base RI'!L291</f>
        <v>16035.1</v>
      </c>
      <c r="Q291" s="42">
        <f>'A) Base RI'!Y291</f>
        <v>1</v>
      </c>
      <c r="R291" s="4">
        <f t="shared" si="30"/>
        <v>230295.17</v>
      </c>
      <c r="S291" s="41">
        <f>'A) Base RI'!T291</f>
        <v>79</v>
      </c>
      <c r="T291" s="4">
        <f t="shared" si="31"/>
        <v>214210.57</v>
      </c>
      <c r="U291" s="4">
        <f t="shared" si="32"/>
        <v>2915.1287341772154</v>
      </c>
      <c r="V291" s="14">
        <f>+'A) Base RI'!O291</f>
        <v>0</v>
      </c>
      <c r="W291" s="14">
        <f>+'A) Base RI'!P291</f>
        <v>76.8</v>
      </c>
      <c r="X291" s="14">
        <f>+'A) Base RI'!R291</f>
        <v>11889.2</v>
      </c>
      <c r="Y291" s="4">
        <f t="shared" si="33"/>
        <v>11966</v>
      </c>
      <c r="Z291" s="14">
        <f>+'A) Base RI'!N291</f>
        <v>0</v>
      </c>
      <c r="AA291" s="14">
        <f>'A) Base RI'!U291</f>
        <v>140</v>
      </c>
    </row>
    <row r="292" spans="1:27" x14ac:dyDescent="0.25">
      <c r="A292" s="12">
        <f>'A) Base RI'!A292</f>
        <v>5909</v>
      </c>
      <c r="B292" s="40" t="str">
        <f>'A) Base RI'!B292</f>
        <v>Cheseaux-Noréaz</v>
      </c>
      <c r="C292" s="14">
        <f>'A) Base RI'!C292+'A) Base RI'!D292</f>
        <v>1601013.16</v>
      </c>
      <c r="D292" s="14">
        <f>'A) Base RI'!V292</f>
        <v>-211.14</v>
      </c>
      <c r="E292" s="39">
        <f>'A) Base RI'!W292</f>
        <v>-54124.55</v>
      </c>
      <c r="F292" s="39">
        <f>'A) Base RI'!X292</f>
        <v>-122.56</v>
      </c>
      <c r="G292" s="4">
        <f t="shared" si="28"/>
        <v>1546554.91</v>
      </c>
      <c r="H292" s="14">
        <f>+'A) Base RI'!E292</f>
        <v>0</v>
      </c>
      <c r="I292" s="14">
        <f>+'A) Base RI'!F292</f>
        <v>0</v>
      </c>
      <c r="J292" s="14">
        <f>+'A) Base RI'!G292+'A) Base RI'!H292</f>
        <v>29222.050000000003</v>
      </c>
      <c r="K292" s="14">
        <f>+'A) Base RI'!I292</f>
        <v>0</v>
      </c>
      <c r="L292" s="14">
        <f>+'A) Base RI'!J292</f>
        <v>10706.4</v>
      </c>
      <c r="M292" s="14">
        <f>+'A) Base RI'!K292</f>
        <v>747</v>
      </c>
      <c r="N292" s="14">
        <f>+'A) Base RI'!Q292</f>
        <v>0</v>
      </c>
      <c r="O292" s="14">
        <f t="shared" si="29"/>
        <v>146747.4</v>
      </c>
      <c r="P292" s="14">
        <f>+'A) Base RI'!L292</f>
        <v>146747.4</v>
      </c>
      <c r="Q292" s="42">
        <f>'A) Base RI'!Y292</f>
        <v>1</v>
      </c>
      <c r="R292" s="4">
        <f t="shared" si="30"/>
        <v>1733977.7599999998</v>
      </c>
      <c r="S292" s="41">
        <f>'A) Base RI'!T292</f>
        <v>70</v>
      </c>
      <c r="T292" s="4">
        <f t="shared" si="31"/>
        <v>1586483.3599999999</v>
      </c>
      <c r="U292" s="4">
        <f t="shared" si="32"/>
        <v>24771.110857142852</v>
      </c>
      <c r="V292" s="14">
        <f>+'A) Base RI'!O292</f>
        <v>0</v>
      </c>
      <c r="W292" s="14">
        <f>+'A) Base RI'!P292</f>
        <v>72548.100000000006</v>
      </c>
      <c r="X292" s="14">
        <f>+'A) Base RI'!R292</f>
        <v>24328.05</v>
      </c>
      <c r="Y292" s="4">
        <f t="shared" si="33"/>
        <v>96876.150000000009</v>
      </c>
      <c r="Z292" s="14">
        <f>+'A) Base RI'!N292</f>
        <v>10706.85</v>
      </c>
      <c r="AA292" s="14">
        <f>'A) Base RI'!U292</f>
        <v>670</v>
      </c>
    </row>
    <row r="293" spans="1:27" x14ac:dyDescent="0.25">
      <c r="A293" s="12">
        <f>'A) Base RI'!A293</f>
        <v>5910</v>
      </c>
      <c r="B293" s="40" t="str">
        <f>'A) Base RI'!B293</f>
        <v>Cronay</v>
      </c>
      <c r="C293" s="14">
        <f>'A) Base RI'!C293+'A) Base RI'!D293</f>
        <v>755262.26</v>
      </c>
      <c r="D293" s="14">
        <f>'A) Base RI'!V293</f>
        <v>-13179.19</v>
      </c>
      <c r="E293" s="39">
        <f>'A) Base RI'!W293</f>
        <v>0</v>
      </c>
      <c r="F293" s="39">
        <f>'A) Base RI'!X293</f>
        <v>-1.04</v>
      </c>
      <c r="G293" s="4">
        <f t="shared" si="28"/>
        <v>742082.03</v>
      </c>
      <c r="H293" s="14">
        <f>+'A) Base RI'!E293</f>
        <v>0</v>
      </c>
      <c r="I293" s="14">
        <f>+'A) Base RI'!F293</f>
        <v>2180</v>
      </c>
      <c r="J293" s="14">
        <f>+'A) Base RI'!G293+'A) Base RI'!H293</f>
        <v>1377</v>
      </c>
      <c r="K293" s="14">
        <f>+'A) Base RI'!I293</f>
        <v>0</v>
      </c>
      <c r="L293" s="14">
        <f>+'A) Base RI'!J293</f>
        <v>3791.13</v>
      </c>
      <c r="M293" s="14">
        <f>+'A) Base RI'!K293</f>
        <v>0</v>
      </c>
      <c r="N293" s="14">
        <f>+'A) Base RI'!Q293</f>
        <v>0</v>
      </c>
      <c r="O293" s="14">
        <f t="shared" si="29"/>
        <v>48254</v>
      </c>
      <c r="P293" s="14">
        <f>+'A) Base RI'!L293</f>
        <v>48254</v>
      </c>
      <c r="Q293" s="42">
        <f>'A) Base RI'!Y293</f>
        <v>1</v>
      </c>
      <c r="R293" s="4">
        <f t="shared" si="30"/>
        <v>797684.16</v>
      </c>
      <c r="S293" s="41">
        <f>'A) Base RI'!T293</f>
        <v>79</v>
      </c>
      <c r="T293" s="4">
        <f t="shared" si="31"/>
        <v>747250.16</v>
      </c>
      <c r="U293" s="4">
        <f t="shared" si="32"/>
        <v>10097.267848101266</v>
      </c>
      <c r="V293" s="14">
        <f>+'A) Base RI'!O293</f>
        <v>306</v>
      </c>
      <c r="W293" s="14">
        <f>+'A) Base RI'!P293</f>
        <v>30635</v>
      </c>
      <c r="X293" s="14">
        <f>+'A) Base RI'!R293</f>
        <v>6614.4</v>
      </c>
      <c r="Y293" s="4">
        <f t="shared" si="33"/>
        <v>37555.4</v>
      </c>
      <c r="Z293" s="14">
        <f>+'A) Base RI'!N293</f>
        <v>0</v>
      </c>
      <c r="AA293" s="14">
        <f>'A) Base RI'!U293</f>
        <v>380</v>
      </c>
    </row>
    <row r="294" spans="1:27" x14ac:dyDescent="0.25">
      <c r="A294" s="12">
        <f>'A) Base RI'!A294</f>
        <v>5911</v>
      </c>
      <c r="B294" s="40" t="str">
        <f>'A) Base RI'!B294</f>
        <v>Cuarny</v>
      </c>
      <c r="C294" s="14">
        <f>'A) Base RI'!C294+'A) Base RI'!D294</f>
        <v>572884.85</v>
      </c>
      <c r="D294" s="14">
        <f>'A) Base RI'!V294</f>
        <v>-115.21</v>
      </c>
      <c r="E294" s="39">
        <f>'A) Base RI'!W294</f>
        <v>0</v>
      </c>
      <c r="F294" s="39">
        <f>'A) Base RI'!X294</f>
        <v>-123.64</v>
      </c>
      <c r="G294" s="4">
        <f t="shared" si="28"/>
        <v>572646</v>
      </c>
      <c r="H294" s="14">
        <f>+'A) Base RI'!E294</f>
        <v>0</v>
      </c>
      <c r="I294" s="14">
        <f>+'A) Base RI'!F294</f>
        <v>1340</v>
      </c>
      <c r="J294" s="14">
        <f>+'A) Base RI'!G294+'A) Base RI'!H294</f>
        <v>3854.8999999999996</v>
      </c>
      <c r="K294" s="14">
        <f>+'A) Base RI'!I294</f>
        <v>0</v>
      </c>
      <c r="L294" s="14">
        <f>+'A) Base RI'!J294</f>
        <v>5558.47</v>
      </c>
      <c r="M294" s="14">
        <f>+'A) Base RI'!K294</f>
        <v>348</v>
      </c>
      <c r="N294" s="14">
        <f>+'A) Base RI'!Q294</f>
        <v>0</v>
      </c>
      <c r="O294" s="14">
        <f t="shared" si="29"/>
        <v>27837.25</v>
      </c>
      <c r="P294" s="14">
        <f>+'A) Base RI'!L294</f>
        <v>27837.25</v>
      </c>
      <c r="Q294" s="42">
        <f>'A) Base RI'!Y294</f>
        <v>1</v>
      </c>
      <c r="R294" s="4">
        <f t="shared" si="30"/>
        <v>611584.62</v>
      </c>
      <c r="S294" s="41">
        <f>'A) Base RI'!T294</f>
        <v>79</v>
      </c>
      <c r="T294" s="4">
        <f t="shared" si="31"/>
        <v>582059.37</v>
      </c>
      <c r="U294" s="4">
        <f t="shared" si="32"/>
        <v>7741.5774683544305</v>
      </c>
      <c r="V294" s="14">
        <f>+'A) Base RI'!O294</f>
        <v>0</v>
      </c>
      <c r="W294" s="14">
        <f>+'A) Base RI'!P294</f>
        <v>2081.75</v>
      </c>
      <c r="X294" s="14">
        <f>+'A) Base RI'!R294</f>
        <v>0</v>
      </c>
      <c r="Y294" s="4">
        <f t="shared" si="33"/>
        <v>2081.75</v>
      </c>
      <c r="Z294" s="14">
        <f>+'A) Base RI'!N294</f>
        <v>0</v>
      </c>
      <c r="AA294" s="14">
        <f>'A) Base RI'!U294</f>
        <v>237</v>
      </c>
    </row>
    <row r="295" spans="1:27" x14ac:dyDescent="0.25">
      <c r="A295" s="12">
        <f>'A) Base RI'!A295</f>
        <v>5912</v>
      </c>
      <c r="B295" s="40" t="str">
        <f>'A) Base RI'!B295</f>
        <v>Démoret</v>
      </c>
      <c r="C295" s="14">
        <f>'A) Base RI'!C295+'A) Base RI'!D295</f>
        <v>200802.48</v>
      </c>
      <c r="D295" s="14">
        <f>'A) Base RI'!V295</f>
        <v>-48.4</v>
      </c>
      <c r="E295" s="39">
        <f>'A) Base RI'!W295</f>
        <v>0</v>
      </c>
      <c r="F295" s="39">
        <f>'A) Base RI'!X295</f>
        <v>0</v>
      </c>
      <c r="G295" s="4">
        <f t="shared" si="28"/>
        <v>200754.08000000002</v>
      </c>
      <c r="H295" s="14">
        <f>+'A) Base RI'!E295</f>
        <v>0</v>
      </c>
      <c r="I295" s="14">
        <f>+'A) Base RI'!F295</f>
        <v>870</v>
      </c>
      <c r="J295" s="14">
        <f>+'A) Base RI'!G295+'A) Base RI'!H295</f>
        <v>1888.3500000000001</v>
      </c>
      <c r="K295" s="14">
        <f>+'A) Base RI'!I295</f>
        <v>0</v>
      </c>
      <c r="L295" s="14">
        <f>+'A) Base RI'!J295</f>
        <v>4427.5600000000004</v>
      </c>
      <c r="M295" s="14">
        <f>+'A) Base RI'!K295</f>
        <v>0</v>
      </c>
      <c r="N295" s="14">
        <f>+'A) Base RI'!Q295</f>
        <v>0</v>
      </c>
      <c r="O295" s="14">
        <f t="shared" si="29"/>
        <v>15767.5</v>
      </c>
      <c r="P295" s="14">
        <f>+'A) Base RI'!L295</f>
        <v>15767.5</v>
      </c>
      <c r="Q295" s="42">
        <f>'A) Base RI'!Y295</f>
        <v>1</v>
      </c>
      <c r="R295" s="4">
        <f t="shared" si="30"/>
        <v>223707.49000000002</v>
      </c>
      <c r="S295" s="41">
        <f>'A) Base RI'!T295</f>
        <v>81</v>
      </c>
      <c r="T295" s="4">
        <f t="shared" si="31"/>
        <v>207069.99000000002</v>
      </c>
      <c r="U295" s="4">
        <f t="shared" si="32"/>
        <v>2761.8208641975311</v>
      </c>
      <c r="V295" s="14">
        <f>+'A) Base RI'!O295</f>
        <v>383.3</v>
      </c>
      <c r="W295" s="14">
        <f>+'A) Base RI'!P295</f>
        <v>3803.05</v>
      </c>
      <c r="X295" s="14">
        <f>+'A) Base RI'!R295</f>
        <v>5833.35</v>
      </c>
      <c r="Y295" s="4">
        <f t="shared" si="33"/>
        <v>10019.700000000001</v>
      </c>
      <c r="Z295" s="14">
        <f>+'A) Base RI'!N295</f>
        <v>0</v>
      </c>
      <c r="AA295" s="14">
        <f>'A) Base RI'!U295</f>
        <v>126</v>
      </c>
    </row>
    <row r="296" spans="1:27" x14ac:dyDescent="0.25">
      <c r="A296" s="12">
        <f>'A) Base RI'!A296</f>
        <v>5913</v>
      </c>
      <c r="B296" s="40" t="str">
        <f>'A) Base RI'!B296</f>
        <v>Donneloye</v>
      </c>
      <c r="C296" s="14">
        <f>'A) Base RI'!C296+'A) Base RI'!D296</f>
        <v>1405634.21</v>
      </c>
      <c r="D296" s="14">
        <f>'A) Base RI'!V296</f>
        <v>-20359.32</v>
      </c>
      <c r="E296" s="39">
        <f>'A) Base RI'!W296</f>
        <v>0</v>
      </c>
      <c r="F296" s="39">
        <f>'A) Base RI'!X296</f>
        <v>-1.39</v>
      </c>
      <c r="G296" s="4">
        <f t="shared" si="28"/>
        <v>1385273.5</v>
      </c>
      <c r="H296" s="14">
        <f>+'A) Base RI'!E296</f>
        <v>0</v>
      </c>
      <c r="I296" s="14">
        <f>+'A) Base RI'!F296</f>
        <v>0</v>
      </c>
      <c r="J296" s="14">
        <f>+'A) Base RI'!G296+'A) Base RI'!H296</f>
        <v>29272.5</v>
      </c>
      <c r="K296" s="14">
        <f>+'A) Base RI'!I296</f>
        <v>0</v>
      </c>
      <c r="L296" s="14">
        <f>+'A) Base RI'!J296</f>
        <v>9114.7199999999993</v>
      </c>
      <c r="M296" s="14">
        <f>+'A) Base RI'!K296</f>
        <v>1950.5</v>
      </c>
      <c r="N296" s="14">
        <f>+'A) Base RI'!Q296</f>
        <v>8015.85</v>
      </c>
      <c r="O296" s="14">
        <f t="shared" si="29"/>
        <v>101124.9</v>
      </c>
      <c r="P296" s="14">
        <f>+'A) Base RI'!L296</f>
        <v>101124.9</v>
      </c>
      <c r="Q296" s="42">
        <f>'A) Base RI'!Y296</f>
        <v>1</v>
      </c>
      <c r="R296" s="4">
        <f t="shared" si="30"/>
        <v>1534751.97</v>
      </c>
      <c r="S296" s="41">
        <f>'A) Base RI'!T296</f>
        <v>73</v>
      </c>
      <c r="T296" s="4">
        <f t="shared" si="31"/>
        <v>1431676.57</v>
      </c>
      <c r="U296" s="4">
        <f t="shared" si="32"/>
        <v>21023.999589041094</v>
      </c>
      <c r="V296" s="14">
        <f>+'A) Base RI'!O296</f>
        <v>5.7</v>
      </c>
      <c r="W296" s="14">
        <f>+'A) Base RI'!P296</f>
        <v>40875.050000000003</v>
      </c>
      <c r="X296" s="14">
        <f>+'A) Base RI'!R296</f>
        <v>79671.5</v>
      </c>
      <c r="Y296" s="4">
        <f t="shared" si="33"/>
        <v>120552.25</v>
      </c>
      <c r="Z296" s="14">
        <f>+'A) Base RI'!N296</f>
        <v>18696.400000000001</v>
      </c>
      <c r="AA296" s="14">
        <f>'A) Base RI'!U296</f>
        <v>779</v>
      </c>
    </row>
    <row r="297" spans="1:27" x14ac:dyDescent="0.25">
      <c r="A297" s="12">
        <f>'A) Base RI'!A297</f>
        <v>5914</v>
      </c>
      <c r="B297" s="40" t="str">
        <f>'A) Base RI'!B297</f>
        <v>Ependes</v>
      </c>
      <c r="C297" s="14">
        <f>'A) Base RI'!C297+'A) Base RI'!D297</f>
        <v>581525.09</v>
      </c>
      <c r="D297" s="14">
        <f>'A) Base RI'!V297</f>
        <v>-1651.21</v>
      </c>
      <c r="E297" s="39">
        <f>'A) Base RI'!W297</f>
        <v>0</v>
      </c>
      <c r="F297" s="39">
        <f>'A) Base RI'!X297</f>
        <v>0</v>
      </c>
      <c r="G297" s="4">
        <f t="shared" si="28"/>
        <v>579873.88</v>
      </c>
      <c r="H297" s="14">
        <f>+'A) Base RI'!E297</f>
        <v>0</v>
      </c>
      <c r="I297" s="14">
        <f>+'A) Base RI'!F297</f>
        <v>2210</v>
      </c>
      <c r="J297" s="14">
        <f>+'A) Base RI'!G297+'A) Base RI'!H297</f>
        <v>3681.55</v>
      </c>
      <c r="K297" s="14">
        <f>+'A) Base RI'!I297</f>
        <v>0</v>
      </c>
      <c r="L297" s="14">
        <f>+'A) Base RI'!J297</f>
        <v>28459.040000000001</v>
      </c>
      <c r="M297" s="14">
        <f>+'A) Base RI'!K297</f>
        <v>2515</v>
      </c>
      <c r="N297" s="14">
        <f>+'A) Base RI'!Q297</f>
        <v>0</v>
      </c>
      <c r="O297" s="14">
        <f t="shared" si="29"/>
        <v>46115.15</v>
      </c>
      <c r="P297" s="14">
        <f>+'A) Base RI'!L297</f>
        <v>46115.15</v>
      </c>
      <c r="Q297" s="42">
        <f>'A) Base RI'!Y297</f>
        <v>1</v>
      </c>
      <c r="R297" s="4">
        <f t="shared" si="30"/>
        <v>662854.62000000011</v>
      </c>
      <c r="S297" s="41">
        <f>'A) Base RI'!T297</f>
        <v>75</v>
      </c>
      <c r="T297" s="4">
        <f t="shared" si="31"/>
        <v>612014.47000000009</v>
      </c>
      <c r="U297" s="4">
        <f t="shared" si="32"/>
        <v>8838.0616000000009</v>
      </c>
      <c r="V297" s="14">
        <f>+'A) Base RI'!O297</f>
        <v>1544.4</v>
      </c>
      <c r="W297" s="14">
        <f>+'A) Base RI'!P297</f>
        <v>9570</v>
      </c>
      <c r="X297" s="14">
        <f>+'A) Base RI'!R297</f>
        <v>3033.35</v>
      </c>
      <c r="Y297" s="4">
        <f t="shared" si="33"/>
        <v>14147.75</v>
      </c>
      <c r="Z297" s="14">
        <f>+'A) Base RI'!N297</f>
        <v>0</v>
      </c>
      <c r="AA297" s="14">
        <f>'A) Base RI'!U297</f>
        <v>350</v>
      </c>
    </row>
    <row r="298" spans="1:27" x14ac:dyDescent="0.25">
      <c r="A298" s="12">
        <f>'A) Base RI'!A298</f>
        <v>5919</v>
      </c>
      <c r="B298" s="40" t="str">
        <f>'A) Base RI'!B298</f>
        <v>Mathod</v>
      </c>
      <c r="C298" s="14">
        <f>'A) Base RI'!C298+'A) Base RI'!D298</f>
        <v>1087849.6199999999</v>
      </c>
      <c r="D298" s="14">
        <f>'A) Base RI'!V298</f>
        <v>-11124.04</v>
      </c>
      <c r="E298" s="39">
        <f>'A) Base RI'!W298</f>
        <v>0</v>
      </c>
      <c r="F298" s="39">
        <f>'A) Base RI'!X298</f>
        <v>-0.03</v>
      </c>
      <c r="G298" s="4">
        <f t="shared" si="28"/>
        <v>1076725.5499999998</v>
      </c>
      <c r="H298" s="14">
        <f>+'A) Base RI'!E298</f>
        <v>0</v>
      </c>
      <c r="I298" s="14">
        <f>+'A) Base RI'!F298</f>
        <v>3220</v>
      </c>
      <c r="J298" s="14">
        <f>+'A) Base RI'!G298+'A) Base RI'!H298</f>
        <v>55213.8</v>
      </c>
      <c r="K298" s="14">
        <f>+'A) Base RI'!I298</f>
        <v>0</v>
      </c>
      <c r="L298" s="14">
        <f>+'A) Base RI'!J298</f>
        <v>12202.28</v>
      </c>
      <c r="M298" s="14">
        <f>+'A) Base RI'!K298</f>
        <v>5221</v>
      </c>
      <c r="N298" s="14">
        <f>+'A) Base RI'!Q298</f>
        <v>8420.07</v>
      </c>
      <c r="O298" s="14">
        <f t="shared" si="29"/>
        <v>88404.333333333328</v>
      </c>
      <c r="P298" s="14">
        <f>+'A) Base RI'!L298</f>
        <v>106085.2</v>
      </c>
      <c r="Q298" s="42">
        <f>'A) Base RI'!Y298</f>
        <v>1.2</v>
      </c>
      <c r="R298" s="4">
        <f t="shared" si="30"/>
        <v>1249407.0333333332</v>
      </c>
      <c r="S298" s="41">
        <f>'A) Base RI'!T298</f>
        <v>74</v>
      </c>
      <c r="T298" s="4">
        <f t="shared" si="31"/>
        <v>1152561.7</v>
      </c>
      <c r="U298" s="4">
        <f t="shared" si="32"/>
        <v>16883.878828828827</v>
      </c>
      <c r="V298" s="14">
        <f>+'A) Base RI'!O298</f>
        <v>158416</v>
      </c>
      <c r="W298" s="14">
        <f>+'A) Base RI'!P298</f>
        <v>2389.85</v>
      </c>
      <c r="X298" s="14">
        <f>+'A) Base RI'!R298</f>
        <v>5621.2</v>
      </c>
      <c r="Y298" s="4">
        <f t="shared" si="33"/>
        <v>166427.05000000002</v>
      </c>
      <c r="Z298" s="14">
        <f>+'A) Base RI'!N298</f>
        <v>8035.8</v>
      </c>
      <c r="AA298" s="14">
        <f>'A) Base RI'!U298</f>
        <v>614</v>
      </c>
    </row>
    <row r="299" spans="1:27" x14ac:dyDescent="0.25">
      <c r="A299" s="12">
        <f>'A) Base RI'!A299</f>
        <v>5921</v>
      </c>
      <c r="B299" s="40" t="str">
        <f>'A) Base RI'!B299</f>
        <v>Molondin</v>
      </c>
      <c r="C299" s="14">
        <f>'A) Base RI'!C299+'A) Base RI'!D299</f>
        <v>374529.17</v>
      </c>
      <c r="D299" s="14">
        <f>'A) Base RI'!V299</f>
        <v>-7176.33</v>
      </c>
      <c r="E299" s="39">
        <f>'A) Base RI'!W299</f>
        <v>0</v>
      </c>
      <c r="F299" s="39">
        <f>'A) Base RI'!X299</f>
        <v>0</v>
      </c>
      <c r="G299" s="4">
        <f t="shared" si="28"/>
        <v>367352.83999999997</v>
      </c>
      <c r="H299" s="14">
        <f>+'A) Base RI'!E299</f>
        <v>0</v>
      </c>
      <c r="I299" s="14">
        <f>+'A) Base RI'!F299</f>
        <v>1400</v>
      </c>
      <c r="J299" s="14">
        <f>+'A) Base RI'!G299+'A) Base RI'!H299</f>
        <v>29493.599999999999</v>
      </c>
      <c r="K299" s="14">
        <f>+'A) Base RI'!I299</f>
        <v>0</v>
      </c>
      <c r="L299" s="14">
        <f>+'A) Base RI'!J299</f>
        <v>21209.52</v>
      </c>
      <c r="M299" s="14">
        <f>+'A) Base RI'!K299</f>
        <v>0</v>
      </c>
      <c r="N299" s="14">
        <f>+'A) Base RI'!Q299</f>
        <v>0</v>
      </c>
      <c r="O299" s="14">
        <f t="shared" si="29"/>
        <v>27508.85</v>
      </c>
      <c r="P299" s="14">
        <f>+'A) Base RI'!L299</f>
        <v>27508.85</v>
      </c>
      <c r="Q299" s="42">
        <f>'A) Base RI'!Y299</f>
        <v>1</v>
      </c>
      <c r="R299" s="4">
        <f t="shared" si="30"/>
        <v>446964.80999999994</v>
      </c>
      <c r="S299" s="41">
        <f>'A) Base RI'!T299</f>
        <v>81</v>
      </c>
      <c r="T299" s="4">
        <f t="shared" si="31"/>
        <v>418055.95999999996</v>
      </c>
      <c r="U299" s="4">
        <f t="shared" si="32"/>
        <v>5518.0840740740732</v>
      </c>
      <c r="V299" s="14">
        <f>+'A) Base RI'!O299</f>
        <v>919.3</v>
      </c>
      <c r="W299" s="14">
        <f>+'A) Base RI'!P299</f>
        <v>13284.7</v>
      </c>
      <c r="X299" s="14">
        <f>+'A) Base RI'!R299</f>
        <v>18705.349999999999</v>
      </c>
      <c r="Y299" s="4">
        <f t="shared" si="33"/>
        <v>32909.35</v>
      </c>
      <c r="Z299" s="14">
        <f>+'A) Base RI'!N299</f>
        <v>3758.5</v>
      </c>
      <c r="AA299" s="14">
        <f>'A) Base RI'!U299</f>
        <v>218</v>
      </c>
    </row>
    <row r="300" spans="1:27" x14ac:dyDescent="0.25">
      <c r="A300" s="12">
        <f>'A) Base RI'!A300</f>
        <v>5922</v>
      </c>
      <c r="B300" s="40" t="str">
        <f>'A) Base RI'!B300</f>
        <v>Montagny-près-Yverdon</v>
      </c>
      <c r="C300" s="14">
        <f>'A) Base RI'!C300+'A) Base RI'!D300</f>
        <v>1413287.34</v>
      </c>
      <c r="D300" s="14">
        <f>'A) Base RI'!V300</f>
        <v>-10664.16</v>
      </c>
      <c r="E300" s="39">
        <f>'A) Base RI'!W300</f>
        <v>0</v>
      </c>
      <c r="F300" s="39">
        <f>'A) Base RI'!X300</f>
        <v>-66.33</v>
      </c>
      <c r="G300" s="4">
        <f t="shared" si="28"/>
        <v>1402556.85</v>
      </c>
      <c r="H300" s="14">
        <f>+'A) Base RI'!E300</f>
        <v>0</v>
      </c>
      <c r="I300" s="14">
        <f>+'A) Base RI'!F300</f>
        <v>0</v>
      </c>
      <c r="J300" s="14">
        <f>+'A) Base RI'!G300+'A) Base RI'!H300</f>
        <v>937580.65</v>
      </c>
      <c r="K300" s="14">
        <f>+'A) Base RI'!I300</f>
        <v>0</v>
      </c>
      <c r="L300" s="14">
        <f>+'A) Base RI'!J300</f>
        <v>49341.279999999999</v>
      </c>
      <c r="M300" s="14">
        <f>+'A) Base RI'!K300</f>
        <v>57373.5</v>
      </c>
      <c r="N300" s="14">
        <f>+'A) Base RI'!Q300</f>
        <v>1932.76</v>
      </c>
      <c r="O300" s="14">
        <f t="shared" si="29"/>
        <v>297950</v>
      </c>
      <c r="P300" s="14">
        <f>+'A) Base RI'!L300</f>
        <v>238360</v>
      </c>
      <c r="Q300" s="42">
        <f>'A) Base RI'!Y300</f>
        <v>0.8</v>
      </c>
      <c r="R300" s="4">
        <f t="shared" si="30"/>
        <v>2746735.0399999996</v>
      </c>
      <c r="S300" s="41">
        <f>'A) Base RI'!T300</f>
        <v>61</v>
      </c>
      <c r="T300" s="4">
        <f t="shared" si="31"/>
        <v>2391411.5399999996</v>
      </c>
      <c r="U300" s="4">
        <f t="shared" si="32"/>
        <v>45028.443278688515</v>
      </c>
      <c r="V300" s="14">
        <f>+'A) Base RI'!O300</f>
        <v>2671.5</v>
      </c>
      <c r="W300" s="14">
        <f>+'A) Base RI'!P300</f>
        <v>26071.75</v>
      </c>
      <c r="X300" s="14">
        <f>+'A) Base RI'!R300</f>
        <v>26747.15</v>
      </c>
      <c r="Y300" s="4">
        <f t="shared" si="33"/>
        <v>55490.400000000001</v>
      </c>
      <c r="Z300" s="14">
        <f>+'A) Base RI'!N300</f>
        <v>123327.5</v>
      </c>
      <c r="AA300" s="14">
        <f>'A) Base RI'!U300</f>
        <v>733</v>
      </c>
    </row>
    <row r="301" spans="1:27" x14ac:dyDescent="0.25">
      <c r="A301" s="12">
        <f>'A) Base RI'!A301</f>
        <v>5923</v>
      </c>
      <c r="B301" s="40" t="str">
        <f>'A) Base RI'!B301</f>
        <v>Oppens</v>
      </c>
      <c r="C301" s="14">
        <f>'A) Base RI'!C301+'A) Base RI'!D301</f>
        <v>338991.33999999997</v>
      </c>
      <c r="D301" s="14">
        <f>'A) Base RI'!V301</f>
        <v>-579.42999999999995</v>
      </c>
      <c r="E301" s="39">
        <f>'A) Base RI'!W301</f>
        <v>0</v>
      </c>
      <c r="F301" s="39">
        <f>'A) Base RI'!X301</f>
        <v>0</v>
      </c>
      <c r="G301" s="4">
        <f t="shared" si="28"/>
        <v>338411.91</v>
      </c>
      <c r="H301" s="14">
        <f>+'A) Base RI'!E301</f>
        <v>0</v>
      </c>
      <c r="I301" s="14">
        <f>+'A) Base RI'!F301</f>
        <v>0</v>
      </c>
      <c r="J301" s="14">
        <f>+'A) Base RI'!G301+'A) Base RI'!H301</f>
        <v>9573.1</v>
      </c>
      <c r="K301" s="14">
        <f>+'A) Base RI'!I301</f>
        <v>0</v>
      </c>
      <c r="L301" s="14">
        <f>+'A) Base RI'!J301</f>
        <v>23528.79</v>
      </c>
      <c r="M301" s="14">
        <f>+'A) Base RI'!K301</f>
        <v>0</v>
      </c>
      <c r="N301" s="14">
        <f>+'A) Base RI'!Q301</f>
        <v>1173.58</v>
      </c>
      <c r="O301" s="14">
        <f t="shared" si="29"/>
        <v>22675.4</v>
      </c>
      <c r="P301" s="14">
        <f>+'A) Base RI'!L301</f>
        <v>22675.4</v>
      </c>
      <c r="Q301" s="42">
        <f>'A) Base RI'!Y301</f>
        <v>1</v>
      </c>
      <c r="R301" s="4">
        <f t="shared" si="30"/>
        <v>395362.77999999997</v>
      </c>
      <c r="S301" s="41">
        <f>'A) Base RI'!T301</f>
        <v>81</v>
      </c>
      <c r="T301" s="4">
        <f t="shared" si="31"/>
        <v>372687.37999999995</v>
      </c>
      <c r="U301" s="4">
        <f t="shared" si="32"/>
        <v>4881.0219753086412</v>
      </c>
      <c r="V301" s="14">
        <f>+'A) Base RI'!O301</f>
        <v>0</v>
      </c>
      <c r="W301" s="14">
        <f>+'A) Base RI'!P301</f>
        <v>35147.75</v>
      </c>
      <c r="X301" s="14">
        <f>+'A) Base RI'!R301</f>
        <v>17530.849999999999</v>
      </c>
      <c r="Y301" s="4">
        <f t="shared" si="33"/>
        <v>52678.6</v>
      </c>
      <c r="Z301" s="14">
        <f>+'A) Base RI'!N301</f>
        <v>15625.95</v>
      </c>
      <c r="AA301" s="14">
        <f>'A) Base RI'!U301</f>
        <v>182</v>
      </c>
    </row>
    <row r="302" spans="1:27" x14ac:dyDescent="0.25">
      <c r="A302" s="12">
        <f>'A) Base RI'!A302</f>
        <v>5924</v>
      </c>
      <c r="B302" s="40" t="str">
        <f>'A) Base RI'!B302</f>
        <v>Orges</v>
      </c>
      <c r="C302" s="14">
        <f>'A) Base RI'!C302+'A) Base RI'!D302</f>
        <v>649954.1</v>
      </c>
      <c r="D302" s="14">
        <f>'A) Base RI'!V302</f>
        <v>-8644.2999999999993</v>
      </c>
      <c r="E302" s="39">
        <f>'A) Base RI'!W302</f>
        <v>0</v>
      </c>
      <c r="F302" s="39">
        <f>'A) Base RI'!X302</f>
        <v>-34.9</v>
      </c>
      <c r="G302" s="4">
        <f t="shared" si="28"/>
        <v>641274.89999999991</v>
      </c>
      <c r="H302" s="14">
        <f>+'A) Base RI'!E302</f>
        <v>0</v>
      </c>
      <c r="I302" s="14">
        <f>+'A) Base RI'!F302</f>
        <v>0</v>
      </c>
      <c r="J302" s="14">
        <f>+'A) Base RI'!G302+'A) Base RI'!H302</f>
        <v>14910.550000000001</v>
      </c>
      <c r="K302" s="14">
        <f>+'A) Base RI'!I302</f>
        <v>0</v>
      </c>
      <c r="L302" s="14">
        <f>+'A) Base RI'!J302</f>
        <v>-217.8</v>
      </c>
      <c r="M302" s="14">
        <f>+'A) Base RI'!K302</f>
        <v>0</v>
      </c>
      <c r="N302" s="14">
        <f>+'A) Base RI'!Q302</f>
        <v>3135.23</v>
      </c>
      <c r="O302" s="14">
        <f t="shared" si="29"/>
        <v>42154.3</v>
      </c>
      <c r="P302" s="14">
        <f>+'A) Base RI'!L302</f>
        <v>42154.3</v>
      </c>
      <c r="Q302" s="42">
        <f>'A) Base RI'!Y302</f>
        <v>1</v>
      </c>
      <c r="R302" s="4">
        <f t="shared" si="30"/>
        <v>701257.17999999993</v>
      </c>
      <c r="S302" s="41">
        <f>'A) Base RI'!T302</f>
        <v>74</v>
      </c>
      <c r="T302" s="4">
        <f t="shared" si="31"/>
        <v>659102.87999999989</v>
      </c>
      <c r="U302" s="4">
        <f t="shared" si="32"/>
        <v>9476.448378378378</v>
      </c>
      <c r="V302" s="14">
        <f>+'A) Base RI'!O302</f>
        <v>0</v>
      </c>
      <c r="W302" s="14">
        <f>+'A) Base RI'!P302</f>
        <v>21670</v>
      </c>
      <c r="X302" s="14">
        <f>+'A) Base RI'!R302</f>
        <v>6810.1</v>
      </c>
      <c r="Y302" s="4">
        <f t="shared" si="33"/>
        <v>28480.1</v>
      </c>
      <c r="Z302" s="14">
        <f>+'A) Base RI'!N302</f>
        <v>16170.65</v>
      </c>
      <c r="AA302" s="14">
        <f>'A) Base RI'!U302</f>
        <v>292</v>
      </c>
    </row>
    <row r="303" spans="1:27" x14ac:dyDescent="0.25">
      <c r="A303" s="12">
        <f>'A) Base RI'!A303</f>
        <v>5925</v>
      </c>
      <c r="B303" s="40" t="str">
        <f>'A) Base RI'!B303</f>
        <v>Orzens</v>
      </c>
      <c r="C303" s="14">
        <f>'A) Base RI'!C303+'A) Base RI'!D303</f>
        <v>349332.82</v>
      </c>
      <c r="D303" s="14">
        <f>'A) Base RI'!V303</f>
        <v>-3802.28</v>
      </c>
      <c r="E303" s="39">
        <f>'A) Base RI'!W303</f>
        <v>0</v>
      </c>
      <c r="F303" s="39">
        <f>'A) Base RI'!X303</f>
        <v>0</v>
      </c>
      <c r="G303" s="4">
        <f t="shared" si="28"/>
        <v>345530.54</v>
      </c>
      <c r="H303" s="14">
        <f>+'A) Base RI'!E303</f>
        <v>0</v>
      </c>
      <c r="I303" s="14">
        <f>+'A) Base RI'!F303</f>
        <v>1290</v>
      </c>
      <c r="J303" s="14">
        <f>+'A) Base RI'!G303+'A) Base RI'!H303</f>
        <v>4141.95</v>
      </c>
      <c r="K303" s="14">
        <f>+'A) Base RI'!I303</f>
        <v>0</v>
      </c>
      <c r="L303" s="14">
        <f>+'A) Base RI'!J303</f>
        <v>6900.78</v>
      </c>
      <c r="M303" s="14">
        <f>+'A) Base RI'!K303</f>
        <v>0</v>
      </c>
      <c r="N303" s="14">
        <f>+'A) Base RI'!Q303</f>
        <v>0</v>
      </c>
      <c r="O303" s="14">
        <f t="shared" si="29"/>
        <v>27296.7</v>
      </c>
      <c r="P303" s="14">
        <f>+'A) Base RI'!L303</f>
        <v>27296.7</v>
      </c>
      <c r="Q303" s="42">
        <f>'A) Base RI'!Y303</f>
        <v>1</v>
      </c>
      <c r="R303" s="4">
        <f t="shared" si="30"/>
        <v>385159.97000000003</v>
      </c>
      <c r="S303" s="41">
        <f>'A) Base RI'!T303</f>
        <v>79</v>
      </c>
      <c r="T303" s="4">
        <f t="shared" si="31"/>
        <v>356573.27</v>
      </c>
      <c r="U303" s="4">
        <f t="shared" si="32"/>
        <v>4875.4426582278484</v>
      </c>
      <c r="V303" s="14">
        <f>+'A) Base RI'!O303</f>
        <v>15741</v>
      </c>
      <c r="W303" s="14">
        <f>+'A) Base RI'!P303</f>
        <v>0</v>
      </c>
      <c r="X303" s="14">
        <f>+'A) Base RI'!R303</f>
        <v>0</v>
      </c>
      <c r="Y303" s="4">
        <f t="shared" si="33"/>
        <v>15741</v>
      </c>
      <c r="Z303" s="14">
        <f>+'A) Base RI'!N303</f>
        <v>13995.35</v>
      </c>
      <c r="AA303" s="14">
        <f>'A) Base RI'!U303</f>
        <v>200</v>
      </c>
    </row>
    <row r="304" spans="1:27" x14ac:dyDescent="0.25">
      <c r="A304" s="12">
        <f>'A) Base RI'!A304</f>
        <v>5926</v>
      </c>
      <c r="B304" s="40" t="str">
        <f>'A) Base RI'!B304</f>
        <v>Pomy</v>
      </c>
      <c r="C304" s="14">
        <f>'A) Base RI'!C304+'A) Base RI'!D304</f>
        <v>1392210.46</v>
      </c>
      <c r="D304" s="14">
        <f>'A) Base RI'!V304</f>
        <v>-7070.92</v>
      </c>
      <c r="E304" s="39">
        <f>'A) Base RI'!W304</f>
        <v>0</v>
      </c>
      <c r="F304" s="39">
        <f>'A) Base RI'!X304</f>
        <v>-13.8</v>
      </c>
      <c r="G304" s="4">
        <f t="shared" si="28"/>
        <v>1385125.74</v>
      </c>
      <c r="H304" s="14">
        <f>+'A) Base RI'!E304</f>
        <v>0</v>
      </c>
      <c r="I304" s="14">
        <f>+'A) Base RI'!F304</f>
        <v>0</v>
      </c>
      <c r="J304" s="14">
        <f>+'A) Base RI'!G304+'A) Base RI'!H304</f>
        <v>105860.8</v>
      </c>
      <c r="K304" s="14">
        <f>+'A) Base RI'!I304</f>
        <v>0</v>
      </c>
      <c r="L304" s="14">
        <f>+'A) Base RI'!J304</f>
        <v>15717.2</v>
      </c>
      <c r="M304" s="14">
        <f>+'A) Base RI'!K304</f>
        <v>0</v>
      </c>
      <c r="N304" s="14">
        <f>+'A) Base RI'!Q304</f>
        <v>0</v>
      </c>
      <c r="O304" s="14">
        <f t="shared" si="29"/>
        <v>110280.55</v>
      </c>
      <c r="P304" s="14">
        <f>+'A) Base RI'!L304</f>
        <v>110280.55</v>
      </c>
      <c r="Q304" s="42">
        <f>'A) Base RI'!Y304</f>
        <v>1</v>
      </c>
      <c r="R304" s="4">
        <f t="shared" si="30"/>
        <v>1616984.29</v>
      </c>
      <c r="S304" s="41">
        <f>'A) Base RI'!T304</f>
        <v>71</v>
      </c>
      <c r="T304" s="4">
        <f t="shared" si="31"/>
        <v>1506703.74</v>
      </c>
      <c r="U304" s="4">
        <f t="shared" si="32"/>
        <v>22774.42661971831</v>
      </c>
      <c r="V304" s="14">
        <f>+'A) Base RI'!O304</f>
        <v>15067</v>
      </c>
      <c r="W304" s="14">
        <f>+'A) Base RI'!P304</f>
        <v>99107.05</v>
      </c>
      <c r="X304" s="14">
        <f>+'A) Base RI'!R304</f>
        <v>26745.15</v>
      </c>
      <c r="Y304" s="4">
        <f t="shared" si="33"/>
        <v>140919.20000000001</v>
      </c>
      <c r="Z304" s="14">
        <f>+'A) Base RI'!N304</f>
        <v>4602.2</v>
      </c>
      <c r="AA304" s="14">
        <f>'A) Base RI'!U304</f>
        <v>760</v>
      </c>
    </row>
    <row r="305" spans="1:27" x14ac:dyDescent="0.25">
      <c r="A305" s="12">
        <f>'A) Base RI'!A305</f>
        <v>5928</v>
      </c>
      <c r="B305" s="40" t="str">
        <f>'A) Base RI'!B305</f>
        <v>Rovray</v>
      </c>
      <c r="C305" s="14">
        <f>'A) Base RI'!C305+'A) Base RI'!D305</f>
        <v>295451.26</v>
      </c>
      <c r="D305" s="14">
        <f>'A) Base RI'!V305</f>
        <v>-4551.58</v>
      </c>
      <c r="E305" s="39">
        <f>'A) Base RI'!W305</f>
        <v>0</v>
      </c>
      <c r="F305" s="39">
        <f>'A) Base RI'!X305</f>
        <v>0</v>
      </c>
      <c r="G305" s="4">
        <f t="shared" si="28"/>
        <v>290899.68</v>
      </c>
      <c r="H305" s="14">
        <f>+'A) Base RI'!E305</f>
        <v>0</v>
      </c>
      <c r="I305" s="14">
        <f>+'A) Base RI'!F305</f>
        <v>0</v>
      </c>
      <c r="J305" s="14">
        <f>+'A) Base RI'!G305+'A) Base RI'!H305</f>
        <v>2145.15</v>
      </c>
      <c r="K305" s="14">
        <f>+'A) Base RI'!I305</f>
        <v>0</v>
      </c>
      <c r="L305" s="14">
        <f>+'A) Base RI'!J305</f>
        <v>12374.53</v>
      </c>
      <c r="M305" s="14">
        <f>+'A) Base RI'!K305</f>
        <v>0</v>
      </c>
      <c r="N305" s="14">
        <f>+'A) Base RI'!Q305</f>
        <v>0</v>
      </c>
      <c r="O305" s="14">
        <f t="shared" si="29"/>
        <v>19556.8</v>
      </c>
      <c r="P305" s="14">
        <f>+'A) Base RI'!L305</f>
        <v>19556.8</v>
      </c>
      <c r="Q305" s="42">
        <f>'A) Base RI'!Y305</f>
        <v>1</v>
      </c>
      <c r="R305" s="4">
        <f t="shared" si="30"/>
        <v>324976.16000000003</v>
      </c>
      <c r="S305" s="41">
        <f>'A) Base RI'!T305</f>
        <v>73</v>
      </c>
      <c r="T305" s="4">
        <f t="shared" si="31"/>
        <v>305419.36000000004</v>
      </c>
      <c r="U305" s="4">
        <f t="shared" si="32"/>
        <v>4451.7282191780823</v>
      </c>
      <c r="V305" s="14">
        <f>+'A) Base RI'!O305</f>
        <v>0</v>
      </c>
      <c r="W305" s="14">
        <f>+'A) Base RI'!P305</f>
        <v>11150.35</v>
      </c>
      <c r="X305" s="14">
        <f>+'A) Base RI'!R305</f>
        <v>7029.15</v>
      </c>
      <c r="Y305" s="4">
        <f t="shared" si="33"/>
        <v>18179.5</v>
      </c>
      <c r="Z305" s="14">
        <f>+'A) Base RI'!N305</f>
        <v>874</v>
      </c>
      <c r="AA305" s="14">
        <f>'A) Base RI'!U305</f>
        <v>172</v>
      </c>
    </row>
    <row r="306" spans="1:27" x14ac:dyDescent="0.25">
      <c r="A306" s="12">
        <f>'A) Base RI'!A306</f>
        <v>5929</v>
      </c>
      <c r="B306" s="40" t="str">
        <f>'A) Base RI'!B306</f>
        <v>Suchy</v>
      </c>
      <c r="C306" s="14">
        <f>'A) Base RI'!C306+'A) Base RI'!D306</f>
        <v>1016273.11</v>
      </c>
      <c r="D306" s="14">
        <f>'A) Base RI'!V306</f>
        <v>-12528.07</v>
      </c>
      <c r="E306" s="39">
        <f>'A) Base RI'!W306</f>
        <v>0</v>
      </c>
      <c r="F306" s="39">
        <f>'A) Base RI'!X306</f>
        <v>-3.5</v>
      </c>
      <c r="G306" s="4">
        <f t="shared" si="28"/>
        <v>1003741.54</v>
      </c>
      <c r="H306" s="14">
        <f>+'A) Base RI'!E306</f>
        <v>0</v>
      </c>
      <c r="I306" s="14">
        <f>+'A) Base RI'!F306</f>
        <v>0</v>
      </c>
      <c r="J306" s="14">
        <f>+'A) Base RI'!G306+'A) Base RI'!H306</f>
        <v>24611.649999999998</v>
      </c>
      <c r="K306" s="14">
        <f>+'A) Base RI'!I306</f>
        <v>41100.15</v>
      </c>
      <c r="L306" s="14">
        <f>+'A) Base RI'!J306</f>
        <v>1015.35</v>
      </c>
      <c r="M306" s="14">
        <f>+'A) Base RI'!K306</f>
        <v>0</v>
      </c>
      <c r="N306" s="14">
        <f>+'A) Base RI'!Q306</f>
        <v>0</v>
      </c>
      <c r="O306" s="14">
        <f t="shared" si="29"/>
        <v>90396.499999999985</v>
      </c>
      <c r="P306" s="14">
        <f>+'A) Base RI'!L306</f>
        <v>72317.2</v>
      </c>
      <c r="Q306" s="42">
        <f>'A) Base RI'!Y306</f>
        <v>0.8</v>
      </c>
      <c r="R306" s="4">
        <f t="shared" si="30"/>
        <v>1160865.1900000002</v>
      </c>
      <c r="S306" s="41">
        <f>'A) Base RI'!T306</f>
        <v>70</v>
      </c>
      <c r="T306" s="4">
        <f t="shared" si="31"/>
        <v>1070468.6900000002</v>
      </c>
      <c r="U306" s="4">
        <f t="shared" si="32"/>
        <v>16583.788428571432</v>
      </c>
      <c r="V306" s="14">
        <f>+'A) Base RI'!O306</f>
        <v>0</v>
      </c>
      <c r="W306" s="14">
        <f>+'A) Base RI'!P306</f>
        <v>37206.550000000003</v>
      </c>
      <c r="X306" s="14">
        <f>+'A) Base RI'!R306</f>
        <v>15421.15</v>
      </c>
      <c r="Y306" s="4">
        <f t="shared" si="33"/>
        <v>52627.700000000004</v>
      </c>
      <c r="Z306" s="14">
        <f>+'A) Base RI'!N306</f>
        <v>6677.95</v>
      </c>
      <c r="AA306" s="14">
        <f>'A) Base RI'!U306</f>
        <v>606</v>
      </c>
    </row>
    <row r="307" spans="1:27" x14ac:dyDescent="0.25">
      <c r="A307" s="12">
        <f>'A) Base RI'!A307</f>
        <v>5930</v>
      </c>
      <c r="B307" s="40" t="str">
        <f>'A) Base RI'!B307</f>
        <v>Suscévaz</v>
      </c>
      <c r="C307" s="14">
        <f>'A) Base RI'!C307+'A) Base RI'!D307</f>
        <v>292144.02</v>
      </c>
      <c r="D307" s="14">
        <f>'A) Base RI'!V307</f>
        <v>-71.37</v>
      </c>
      <c r="E307" s="39">
        <f>'A) Base RI'!W307</f>
        <v>0</v>
      </c>
      <c r="F307" s="39">
        <f>'A) Base RI'!X307</f>
        <v>0</v>
      </c>
      <c r="G307" s="4">
        <f t="shared" si="28"/>
        <v>292072.65000000002</v>
      </c>
      <c r="H307" s="14">
        <f>+'A) Base RI'!E307</f>
        <v>0</v>
      </c>
      <c r="I307" s="14">
        <f>+'A) Base RI'!F307</f>
        <v>0</v>
      </c>
      <c r="J307" s="14">
        <f>+'A) Base RI'!G307+'A) Base RI'!H307</f>
        <v>527.85</v>
      </c>
      <c r="K307" s="14">
        <f>+'A) Base RI'!I307</f>
        <v>0</v>
      </c>
      <c r="L307" s="14">
        <f>+'A) Base RI'!J307</f>
        <v>3131.21</v>
      </c>
      <c r="M307" s="14">
        <f>+'A) Base RI'!K307</f>
        <v>400</v>
      </c>
      <c r="N307" s="14">
        <f>+'A) Base RI'!Q307</f>
        <v>18.2</v>
      </c>
      <c r="O307" s="14">
        <f t="shared" si="29"/>
        <v>26360.6</v>
      </c>
      <c r="P307" s="14">
        <f>+'A) Base RI'!L307</f>
        <v>26360.6</v>
      </c>
      <c r="Q307" s="42">
        <f>'A) Base RI'!Y307</f>
        <v>1</v>
      </c>
      <c r="R307" s="4">
        <f t="shared" si="30"/>
        <v>322510.51</v>
      </c>
      <c r="S307" s="41">
        <f>'A) Base RI'!T307</f>
        <v>66</v>
      </c>
      <c r="T307" s="4">
        <f t="shared" si="31"/>
        <v>295749.91000000003</v>
      </c>
      <c r="U307" s="4">
        <f t="shared" si="32"/>
        <v>4886.5228787878787</v>
      </c>
      <c r="V307" s="14">
        <f>+'A) Base RI'!O307</f>
        <v>0</v>
      </c>
      <c r="W307" s="14">
        <f>+'A) Base RI'!P307</f>
        <v>2679.65</v>
      </c>
      <c r="X307" s="14">
        <f>+'A) Base RI'!R307</f>
        <v>20604.849999999999</v>
      </c>
      <c r="Y307" s="4">
        <f t="shared" si="33"/>
        <v>23284.5</v>
      </c>
      <c r="Z307" s="14">
        <f>+'A) Base RI'!N307</f>
        <v>4424.6000000000004</v>
      </c>
      <c r="AA307" s="14">
        <f>'A) Base RI'!U307</f>
        <v>202</v>
      </c>
    </row>
    <row r="308" spans="1:27" x14ac:dyDescent="0.25">
      <c r="A308" s="12">
        <f>'A) Base RI'!A308</f>
        <v>5931</v>
      </c>
      <c r="B308" s="40" t="str">
        <f>'A) Base RI'!B308</f>
        <v>Treycovagnes</v>
      </c>
      <c r="C308" s="14">
        <f>'A) Base RI'!C308+'A) Base RI'!D308</f>
        <v>1143849.48</v>
      </c>
      <c r="D308" s="14">
        <f>'A) Base RI'!V308</f>
        <v>-5367.81</v>
      </c>
      <c r="E308" s="39">
        <f>'A) Base RI'!W308</f>
        <v>0</v>
      </c>
      <c r="F308" s="39">
        <f>'A) Base RI'!X308</f>
        <v>-0.26</v>
      </c>
      <c r="G308" s="4">
        <f t="shared" si="28"/>
        <v>1138481.4099999999</v>
      </c>
      <c r="H308" s="14">
        <f>+'A) Base RI'!E308</f>
        <v>0</v>
      </c>
      <c r="I308" s="14">
        <f>+'A) Base RI'!F308</f>
        <v>0</v>
      </c>
      <c r="J308" s="14">
        <f>+'A) Base RI'!G308+'A) Base RI'!H308</f>
        <v>35211</v>
      </c>
      <c r="K308" s="14">
        <f>+'A) Base RI'!I308</f>
        <v>0</v>
      </c>
      <c r="L308" s="14">
        <f>+'A) Base RI'!J308</f>
        <v>11607.99</v>
      </c>
      <c r="M308" s="14">
        <f>+'A) Base RI'!K308</f>
        <v>1554.5</v>
      </c>
      <c r="N308" s="14">
        <f>+'A) Base RI'!Q308</f>
        <v>2890.31</v>
      </c>
      <c r="O308" s="14">
        <f t="shared" si="29"/>
        <v>70650.399999999994</v>
      </c>
      <c r="P308" s="14">
        <f>+'A) Base RI'!L308</f>
        <v>70650.399999999994</v>
      </c>
      <c r="Q308" s="42">
        <f>'A) Base RI'!Y308</f>
        <v>1</v>
      </c>
      <c r="R308" s="4">
        <f t="shared" si="30"/>
        <v>1260395.6099999999</v>
      </c>
      <c r="S308" s="41">
        <f>'A) Base RI'!T308</f>
        <v>77</v>
      </c>
      <c r="T308" s="4">
        <f t="shared" si="31"/>
        <v>1188190.71</v>
      </c>
      <c r="U308" s="4">
        <f t="shared" si="32"/>
        <v>16368.774155844154</v>
      </c>
      <c r="V308" s="14">
        <f>+'A) Base RI'!O308</f>
        <v>0</v>
      </c>
      <c r="W308" s="14">
        <f>+'A) Base RI'!P308</f>
        <v>13145</v>
      </c>
      <c r="X308" s="14">
        <f>+'A) Base RI'!R308</f>
        <v>10933.55</v>
      </c>
      <c r="Y308" s="4">
        <f t="shared" si="33"/>
        <v>24078.55</v>
      </c>
      <c r="Z308" s="14">
        <f>+'A) Base RI'!N308</f>
        <v>6410.6</v>
      </c>
      <c r="AA308" s="14">
        <f>'A) Base RI'!U308</f>
        <v>446</v>
      </c>
    </row>
    <row r="309" spans="1:27" x14ac:dyDescent="0.25">
      <c r="A309" s="12">
        <f>'A) Base RI'!A309</f>
        <v>5932</v>
      </c>
      <c r="B309" s="40" t="str">
        <f>'A) Base RI'!B309</f>
        <v>Ursins</v>
      </c>
      <c r="C309" s="14">
        <f>'A) Base RI'!C309+'A) Base RI'!D309</f>
        <v>438006.77999999997</v>
      </c>
      <c r="D309" s="14">
        <f>'A) Base RI'!V309</f>
        <v>-5555.46</v>
      </c>
      <c r="E309" s="39">
        <f>'A) Base RI'!W309</f>
        <v>0</v>
      </c>
      <c r="F309" s="39">
        <f>'A) Base RI'!X309</f>
        <v>-3.27</v>
      </c>
      <c r="G309" s="4">
        <f t="shared" si="28"/>
        <v>432448.04999999993</v>
      </c>
      <c r="H309" s="14">
        <f>+'A) Base RI'!E309</f>
        <v>0</v>
      </c>
      <c r="I309" s="14">
        <f>+'A) Base RI'!F309</f>
        <v>1210</v>
      </c>
      <c r="J309" s="14">
        <f>+'A) Base RI'!G309+'A) Base RI'!H309</f>
        <v>1769.25</v>
      </c>
      <c r="K309" s="14">
        <f>+'A) Base RI'!I309</f>
        <v>27678.7</v>
      </c>
      <c r="L309" s="14">
        <f>+'A) Base RI'!J309</f>
        <v>4517.66</v>
      </c>
      <c r="M309" s="14">
        <f>+'A) Base RI'!K309</f>
        <v>50</v>
      </c>
      <c r="N309" s="14">
        <f>+'A) Base RI'!Q309</f>
        <v>0</v>
      </c>
      <c r="O309" s="14">
        <f t="shared" si="29"/>
        <v>28895.7</v>
      </c>
      <c r="P309" s="14">
        <f>+'A) Base RI'!L309</f>
        <v>28895.7</v>
      </c>
      <c r="Q309" s="42">
        <f>'A) Base RI'!Y309</f>
        <v>1</v>
      </c>
      <c r="R309" s="4">
        <f t="shared" si="30"/>
        <v>496569.35999999993</v>
      </c>
      <c r="S309" s="41">
        <f>'A) Base RI'!T309</f>
        <v>78</v>
      </c>
      <c r="T309" s="4">
        <f t="shared" si="31"/>
        <v>466413.65999999992</v>
      </c>
      <c r="U309" s="4">
        <f t="shared" si="32"/>
        <v>6366.2738461538456</v>
      </c>
      <c r="V309" s="14">
        <f>+'A) Base RI'!O309</f>
        <v>14725.4</v>
      </c>
      <c r="W309" s="14">
        <f>+'A) Base RI'!P309</f>
        <v>1650</v>
      </c>
      <c r="X309" s="14">
        <f>+'A) Base RI'!R309</f>
        <v>910</v>
      </c>
      <c r="Y309" s="4">
        <f t="shared" si="33"/>
        <v>17285.400000000001</v>
      </c>
      <c r="Z309" s="14">
        <f>+'A) Base RI'!N309</f>
        <v>0</v>
      </c>
      <c r="AA309" s="14">
        <f>'A) Base RI'!U309</f>
        <v>210</v>
      </c>
    </row>
    <row r="310" spans="1:27" x14ac:dyDescent="0.25">
      <c r="A310" s="12">
        <f>'A) Base RI'!A310</f>
        <v>5933</v>
      </c>
      <c r="B310" s="40" t="str">
        <f>'A) Base RI'!B310</f>
        <v>Valeyres-sous-Montagny</v>
      </c>
      <c r="C310" s="14">
        <f>'A) Base RI'!C310+'A) Base RI'!D310</f>
        <v>1297771.1800000002</v>
      </c>
      <c r="D310" s="14">
        <f>'A) Base RI'!V310</f>
        <v>-29572.11</v>
      </c>
      <c r="E310" s="39">
        <f>'A) Base RI'!W310</f>
        <v>-9067.9</v>
      </c>
      <c r="F310" s="39">
        <f>'A) Base RI'!X310</f>
        <v>-6.48</v>
      </c>
      <c r="G310" s="4">
        <f t="shared" si="28"/>
        <v>1259124.6900000002</v>
      </c>
      <c r="H310" s="14">
        <f>+'A) Base RI'!E310</f>
        <v>0</v>
      </c>
      <c r="I310" s="14">
        <f>+'A) Base RI'!F310</f>
        <v>0</v>
      </c>
      <c r="J310" s="14">
        <f>+'A) Base RI'!G310+'A) Base RI'!H310</f>
        <v>32949.049999999996</v>
      </c>
      <c r="K310" s="14">
        <f>+'A) Base RI'!I310</f>
        <v>0</v>
      </c>
      <c r="L310" s="14">
        <f>+'A) Base RI'!J310</f>
        <v>15676.42</v>
      </c>
      <c r="M310" s="14">
        <f>+'A) Base RI'!K310</f>
        <v>2244</v>
      </c>
      <c r="N310" s="14">
        <f>+'A) Base RI'!Q310</f>
        <v>0</v>
      </c>
      <c r="O310" s="14">
        <f t="shared" si="29"/>
        <v>99655.15</v>
      </c>
      <c r="P310" s="14">
        <f>+'A) Base RI'!L310</f>
        <v>99655.15</v>
      </c>
      <c r="Q310" s="42">
        <f>'A) Base RI'!Y310</f>
        <v>1</v>
      </c>
      <c r="R310" s="4">
        <f t="shared" si="30"/>
        <v>1409649.31</v>
      </c>
      <c r="S310" s="41">
        <f>'A) Base RI'!T310</f>
        <v>72</v>
      </c>
      <c r="T310" s="4">
        <f t="shared" si="31"/>
        <v>1307750.1600000001</v>
      </c>
      <c r="U310" s="4">
        <f t="shared" si="32"/>
        <v>19578.46263888889</v>
      </c>
      <c r="V310" s="14">
        <f>+'A) Base RI'!O310</f>
        <v>2933.4</v>
      </c>
      <c r="W310" s="14">
        <f>+'A) Base RI'!P310</f>
        <v>67056</v>
      </c>
      <c r="X310" s="14">
        <f>+'A) Base RI'!R310</f>
        <v>18471.900000000001</v>
      </c>
      <c r="Y310" s="4">
        <f t="shared" si="33"/>
        <v>88461.299999999988</v>
      </c>
      <c r="Z310" s="14">
        <f>+'A) Base RI'!N310</f>
        <v>9172.25</v>
      </c>
      <c r="AA310" s="14">
        <f>'A) Base RI'!U310</f>
        <v>689</v>
      </c>
    </row>
    <row r="311" spans="1:27" x14ac:dyDescent="0.25">
      <c r="A311" s="12">
        <f>'A) Base RI'!A311</f>
        <v>5934</v>
      </c>
      <c r="B311" s="40" t="str">
        <f>'A) Base RI'!B311</f>
        <v>Valeyres-sous-Ursins</v>
      </c>
      <c r="C311" s="14">
        <f>'A) Base RI'!C311+'A) Base RI'!D311</f>
        <v>503909.9</v>
      </c>
      <c r="D311" s="14">
        <f>'A) Base RI'!V311</f>
        <v>-10996.42</v>
      </c>
      <c r="E311" s="39">
        <f>'A) Base RI'!W311</f>
        <v>0</v>
      </c>
      <c r="F311" s="39">
        <f>'A) Base RI'!X311</f>
        <v>0</v>
      </c>
      <c r="G311" s="4">
        <f t="shared" si="28"/>
        <v>492913.48000000004</v>
      </c>
      <c r="H311" s="14">
        <f>+'A) Base RI'!E311</f>
        <v>0</v>
      </c>
      <c r="I311" s="14">
        <f>+'A) Base RI'!F311</f>
        <v>1330</v>
      </c>
      <c r="J311" s="14">
        <f>+'A) Base RI'!G311+'A) Base RI'!H311</f>
        <v>3751.6499999999996</v>
      </c>
      <c r="K311" s="14">
        <f>+'A) Base RI'!I311</f>
        <v>0</v>
      </c>
      <c r="L311" s="14">
        <f>+'A) Base RI'!J311</f>
        <v>12040.82</v>
      </c>
      <c r="M311" s="14">
        <f>+'A) Base RI'!K311</f>
        <v>-1330</v>
      </c>
      <c r="N311" s="14">
        <f>+'A) Base RI'!Q311</f>
        <v>6545.86</v>
      </c>
      <c r="O311" s="14">
        <f t="shared" si="29"/>
        <v>26377.9</v>
      </c>
      <c r="P311" s="14">
        <f>+'A) Base RI'!L311</f>
        <v>26377.9</v>
      </c>
      <c r="Q311" s="42">
        <f>'A) Base RI'!Y311</f>
        <v>1</v>
      </c>
      <c r="R311" s="4">
        <f t="shared" si="30"/>
        <v>541629.71000000008</v>
      </c>
      <c r="S311" s="41">
        <f>'A) Base RI'!T311</f>
        <v>79</v>
      </c>
      <c r="T311" s="4">
        <f t="shared" si="31"/>
        <v>515251.81000000006</v>
      </c>
      <c r="U311" s="4">
        <f t="shared" si="32"/>
        <v>6856.0722784810141</v>
      </c>
      <c r="V311" s="14">
        <f>+'A) Base RI'!O311</f>
        <v>3861.9</v>
      </c>
      <c r="W311" s="14">
        <f>+'A) Base RI'!P311</f>
        <v>20350</v>
      </c>
      <c r="X311" s="14">
        <f>+'A) Base RI'!R311</f>
        <v>5984.8</v>
      </c>
      <c r="Y311" s="4">
        <f t="shared" si="33"/>
        <v>30196.7</v>
      </c>
      <c r="Z311" s="14">
        <f>+'A) Base RI'!N311</f>
        <v>9880.4</v>
      </c>
      <c r="AA311" s="14">
        <f>'A) Base RI'!U311</f>
        <v>247</v>
      </c>
    </row>
    <row r="312" spans="1:27" x14ac:dyDescent="0.25">
      <c r="A312" s="12">
        <f>'A) Base RI'!A312</f>
        <v>5935</v>
      </c>
      <c r="B312" s="40" t="str">
        <f>'A) Base RI'!B312</f>
        <v>Villars-Epeney</v>
      </c>
      <c r="C312" s="14">
        <f>'A) Base RI'!C312+'A) Base RI'!D312</f>
        <v>235825.51</v>
      </c>
      <c r="D312" s="14">
        <f>'A) Base RI'!V312</f>
        <v>-53.64</v>
      </c>
      <c r="E312" s="39">
        <f>'A) Base RI'!W312</f>
        <v>0</v>
      </c>
      <c r="F312" s="39">
        <f>'A) Base RI'!X312</f>
        <v>-108.71</v>
      </c>
      <c r="G312" s="4">
        <f t="shared" si="28"/>
        <v>235663.16</v>
      </c>
      <c r="H312" s="14">
        <f>+'A) Base RI'!E312</f>
        <v>0</v>
      </c>
      <c r="I312" s="14">
        <f>+'A) Base RI'!F312</f>
        <v>0</v>
      </c>
      <c r="J312" s="14">
        <f>+'A) Base RI'!G312+'A) Base RI'!H312</f>
        <v>1623.1</v>
      </c>
      <c r="K312" s="14">
        <f>+'A) Base RI'!I312</f>
        <v>0</v>
      </c>
      <c r="L312" s="14">
        <f>+'A) Base RI'!J312</f>
        <v>362.91</v>
      </c>
      <c r="M312" s="14">
        <f>+'A) Base RI'!K312</f>
        <v>0</v>
      </c>
      <c r="N312" s="14">
        <f>+'A) Base RI'!Q312</f>
        <v>0</v>
      </c>
      <c r="O312" s="14">
        <f t="shared" si="29"/>
        <v>17508.95</v>
      </c>
      <c r="P312" s="14">
        <f>+'A) Base RI'!L312</f>
        <v>17508.95</v>
      </c>
      <c r="Q312" s="42">
        <f>'A) Base RI'!Y312</f>
        <v>1</v>
      </c>
      <c r="R312" s="4">
        <f t="shared" si="30"/>
        <v>255158.12000000002</v>
      </c>
      <c r="S312" s="41">
        <f>'A) Base RI'!T312</f>
        <v>60</v>
      </c>
      <c r="T312" s="4">
        <f t="shared" si="31"/>
        <v>237649.17</v>
      </c>
      <c r="U312" s="4">
        <f t="shared" si="32"/>
        <v>4252.6353333333336</v>
      </c>
      <c r="V312" s="14">
        <f>+'A) Base RI'!O312</f>
        <v>0</v>
      </c>
      <c r="W312" s="14">
        <f>+'A) Base RI'!P312</f>
        <v>17646.75</v>
      </c>
      <c r="X312" s="14">
        <f>+'A) Base RI'!R312</f>
        <v>2477.3000000000002</v>
      </c>
      <c r="Y312" s="4">
        <f t="shared" si="33"/>
        <v>20124.05</v>
      </c>
      <c r="Z312" s="14">
        <f>+'A) Base RI'!N312</f>
        <v>0</v>
      </c>
      <c r="AA312" s="14">
        <f>'A) Base RI'!U312</f>
        <v>105</v>
      </c>
    </row>
    <row r="313" spans="1:27" x14ac:dyDescent="0.25">
      <c r="A313" s="12">
        <f>'A) Base RI'!A313</f>
        <v>5937</v>
      </c>
      <c r="B313" s="40" t="str">
        <f>'A) Base RI'!B313</f>
        <v>Vugelles-La Mothe</v>
      </c>
      <c r="C313" s="14">
        <f>'A) Base RI'!C313+'A) Base RI'!D313</f>
        <v>149535.59</v>
      </c>
      <c r="D313" s="14">
        <f>'A) Base RI'!V313</f>
        <v>-6902.91</v>
      </c>
      <c r="E313" s="39">
        <f>'A) Base RI'!W313</f>
        <v>0</v>
      </c>
      <c r="F313" s="39">
        <f>'A) Base RI'!X313</f>
        <v>0</v>
      </c>
      <c r="G313" s="4">
        <f t="shared" si="28"/>
        <v>142632.68</v>
      </c>
      <c r="H313" s="14">
        <f>+'A) Base RI'!E313</f>
        <v>0</v>
      </c>
      <c r="I313" s="14">
        <f>+'A) Base RI'!F313</f>
        <v>0</v>
      </c>
      <c r="J313" s="14">
        <f>+'A) Base RI'!G313+'A) Base RI'!H313</f>
        <v>331.25</v>
      </c>
      <c r="K313" s="14">
        <f>+'A) Base RI'!I313</f>
        <v>0</v>
      </c>
      <c r="L313" s="14">
        <f>+'A) Base RI'!J313</f>
        <v>605.47</v>
      </c>
      <c r="M313" s="14">
        <f>+'A) Base RI'!K313</f>
        <v>0</v>
      </c>
      <c r="N313" s="14">
        <f>+'A) Base RI'!Q313</f>
        <v>1403.65</v>
      </c>
      <c r="O313" s="14">
        <f t="shared" si="29"/>
        <v>14135.714285714286</v>
      </c>
      <c r="P313" s="14">
        <f>+'A) Base RI'!L313</f>
        <v>9895</v>
      </c>
      <c r="Q313" s="42">
        <f>'A) Base RI'!Y313</f>
        <v>0.7</v>
      </c>
      <c r="R313" s="4">
        <f t="shared" si="30"/>
        <v>159108.76428571428</v>
      </c>
      <c r="S313" s="41">
        <f>'A) Base RI'!T313</f>
        <v>70</v>
      </c>
      <c r="T313" s="4">
        <f t="shared" si="31"/>
        <v>144973.04999999999</v>
      </c>
      <c r="U313" s="4">
        <f t="shared" si="32"/>
        <v>2272.9823469387752</v>
      </c>
      <c r="V313" s="14">
        <f>+'A) Base RI'!O313</f>
        <v>0</v>
      </c>
      <c r="W313" s="14">
        <f>+'A) Base RI'!P313</f>
        <v>10792.75</v>
      </c>
      <c r="X313" s="14">
        <f>+'A) Base RI'!R313</f>
        <v>3863.6</v>
      </c>
      <c r="Y313" s="4">
        <f t="shared" si="33"/>
        <v>14656.35</v>
      </c>
      <c r="Z313" s="14">
        <f>+'A) Base RI'!N313</f>
        <v>0</v>
      </c>
      <c r="AA313" s="14">
        <f>'A) Base RI'!U313</f>
        <v>134</v>
      </c>
    </row>
    <row r="314" spans="1:27" x14ac:dyDescent="0.25">
      <c r="A314" s="12">
        <f>'A) Base RI'!A314</f>
        <v>5938</v>
      </c>
      <c r="B314" s="40" t="str">
        <f>'A) Base RI'!B314</f>
        <v>Yverdon-les-Bains</v>
      </c>
      <c r="C314" s="14">
        <f>'A) Base RI'!C314+'A) Base RI'!D314</f>
        <v>47759877.569999993</v>
      </c>
      <c r="D314" s="14">
        <f>'A) Base RI'!V314</f>
        <v>-1133337.92</v>
      </c>
      <c r="E314" s="39">
        <f>'A) Base RI'!W314</f>
        <v>0</v>
      </c>
      <c r="F314" s="39">
        <f>'A) Base RI'!X314</f>
        <v>-4091.84</v>
      </c>
      <c r="G314" s="4">
        <f t="shared" si="28"/>
        <v>46622447.809999987</v>
      </c>
      <c r="H314" s="14">
        <f>+'A) Base RI'!E314</f>
        <v>0</v>
      </c>
      <c r="I314" s="14">
        <f>+'A) Base RI'!F314</f>
        <v>0</v>
      </c>
      <c r="J314" s="14">
        <f>+'A) Base RI'!G314+'A) Base RI'!H314</f>
        <v>8435183.1500000004</v>
      </c>
      <c r="K314" s="14">
        <f>+'A) Base RI'!I314</f>
        <v>69624.05</v>
      </c>
      <c r="L314" s="14">
        <f>+'A) Base RI'!J314</f>
        <v>1960674.59</v>
      </c>
      <c r="M314" s="14">
        <f>+'A) Base RI'!K314</f>
        <v>562429.5</v>
      </c>
      <c r="N314" s="14">
        <f>+'A) Base RI'!Q314</f>
        <v>343604.49</v>
      </c>
      <c r="O314" s="14">
        <f t="shared" si="29"/>
        <v>3913280.15</v>
      </c>
      <c r="P314" s="14">
        <f>+'A) Base RI'!L314</f>
        <v>3913280.15</v>
      </c>
      <c r="Q314" s="42">
        <f>'A) Base RI'!Y314</f>
        <v>1</v>
      </c>
      <c r="R314" s="4">
        <f t="shared" si="30"/>
        <v>61907243.739999987</v>
      </c>
      <c r="S314" s="41">
        <f>'A) Base RI'!T314</f>
        <v>76.5</v>
      </c>
      <c r="T314" s="4">
        <f t="shared" si="31"/>
        <v>57431534.089999989</v>
      </c>
      <c r="U314" s="4">
        <f t="shared" si="32"/>
        <v>809245.0162091502</v>
      </c>
      <c r="V314" s="14">
        <f>+'A) Base RI'!O314</f>
        <v>1589618.3</v>
      </c>
      <c r="W314" s="14">
        <f>+'A) Base RI'!P314</f>
        <v>1658072.5</v>
      </c>
      <c r="X314" s="14">
        <f>+'A) Base RI'!R314</f>
        <v>661113.30000000005</v>
      </c>
      <c r="Y314" s="4">
        <f t="shared" si="33"/>
        <v>3908804.0999999996</v>
      </c>
      <c r="Z314" s="14">
        <f>+'A) Base RI'!N314</f>
        <v>3598534.3</v>
      </c>
      <c r="AA314" s="14">
        <f>'A) Base RI'!U314</f>
        <v>29570</v>
      </c>
    </row>
    <row r="315" spans="1:27" x14ac:dyDescent="0.25">
      <c r="A315" s="12">
        <f>'A) Base RI'!A315</f>
        <v>5939</v>
      </c>
      <c r="B315" s="40" t="str">
        <f>'A) Base RI'!B315</f>
        <v>Yvonand</v>
      </c>
      <c r="C315" s="14">
        <f>'A) Base RI'!C315+'A) Base RI'!D315</f>
        <v>5517555.4000000004</v>
      </c>
      <c r="D315" s="14">
        <f>'A) Base RI'!V315</f>
        <v>-111996.04</v>
      </c>
      <c r="E315" s="39">
        <f>'A) Base RI'!W315</f>
        <v>0</v>
      </c>
      <c r="F315" s="39">
        <f>'A) Base RI'!X315</f>
        <v>-57.1</v>
      </c>
      <c r="G315" s="4">
        <f t="shared" si="28"/>
        <v>5405502.2600000007</v>
      </c>
      <c r="H315" s="14">
        <f>+'A) Base RI'!E315</f>
        <v>0</v>
      </c>
      <c r="I315" s="14">
        <f>+'A) Base RI'!F315</f>
        <v>0</v>
      </c>
      <c r="J315" s="14">
        <f>+'A) Base RI'!G315+'A) Base RI'!H315</f>
        <v>349240.55000000005</v>
      </c>
      <c r="K315" s="14">
        <f>+'A) Base RI'!I315</f>
        <v>0</v>
      </c>
      <c r="L315" s="14">
        <f>+'A) Base RI'!J315</f>
        <v>162109.07999999999</v>
      </c>
      <c r="M315" s="14">
        <f>+'A) Base RI'!K315</f>
        <v>12227</v>
      </c>
      <c r="N315" s="14">
        <f>+'A) Base RI'!Q315</f>
        <v>37101.11</v>
      </c>
      <c r="O315" s="14">
        <f t="shared" si="29"/>
        <v>476877.95</v>
      </c>
      <c r="P315" s="14">
        <f>+'A) Base RI'!L315</f>
        <v>476877.95</v>
      </c>
      <c r="Q315" s="42">
        <f>'A) Base RI'!Y315</f>
        <v>1</v>
      </c>
      <c r="R315" s="4">
        <f t="shared" si="30"/>
        <v>6443057.9500000011</v>
      </c>
      <c r="S315" s="41">
        <f>'A) Base RI'!T315</f>
        <v>73</v>
      </c>
      <c r="T315" s="4">
        <f t="shared" si="31"/>
        <v>5953953.0000000009</v>
      </c>
      <c r="U315" s="4">
        <f t="shared" si="32"/>
        <v>88261.067808219188</v>
      </c>
      <c r="V315" s="14">
        <f>+'A) Base RI'!O315</f>
        <v>465110.9</v>
      </c>
      <c r="W315" s="14">
        <f>+'A) Base RI'!P315</f>
        <v>243245.3</v>
      </c>
      <c r="X315" s="14">
        <f>+'A) Base RI'!R315</f>
        <v>113485.45</v>
      </c>
      <c r="Y315" s="4">
        <f t="shared" si="33"/>
        <v>821841.64999999991</v>
      </c>
      <c r="Z315" s="14">
        <f>+'A) Base RI'!N315</f>
        <v>119969.7</v>
      </c>
      <c r="AA315" s="14">
        <f>'A) Base RI'!U315</f>
        <v>3236</v>
      </c>
    </row>
    <row r="316" spans="1:27" x14ac:dyDescent="0.25">
      <c r="A316" s="11"/>
      <c r="B316" s="32">
        <f>COUNTA(B7:B315)</f>
        <v>309</v>
      </c>
      <c r="C316" s="15">
        <f t="shared" ref="C316:P316" si="34">SUM(C7:C315)</f>
        <v>1837410805.8199995</v>
      </c>
      <c r="D316" s="15">
        <f t="shared" si="34"/>
        <v>-34540637.610000007</v>
      </c>
      <c r="E316" s="15">
        <f t="shared" si="34"/>
        <v>-189217.35</v>
      </c>
      <c r="F316" s="15">
        <f t="shared" si="34"/>
        <v>-1337332.4299999997</v>
      </c>
      <c r="G316" s="46">
        <f t="shared" si="34"/>
        <v>1801343618.4299996</v>
      </c>
      <c r="H316" s="15">
        <f t="shared" si="34"/>
        <v>74959.5</v>
      </c>
      <c r="I316" s="15">
        <f t="shared" si="34"/>
        <v>116908</v>
      </c>
      <c r="J316" s="15">
        <f t="shared" si="34"/>
        <v>347607879.13</v>
      </c>
      <c r="K316" s="15">
        <f t="shared" si="34"/>
        <v>42188710.170000009</v>
      </c>
      <c r="L316" s="15">
        <f t="shared" si="34"/>
        <v>84062184.200000033</v>
      </c>
      <c r="M316" s="15">
        <f t="shared" si="34"/>
        <v>15650030.649999997</v>
      </c>
      <c r="N316" s="15">
        <f t="shared" si="34"/>
        <v>9291161.9300000016</v>
      </c>
      <c r="O316" s="15">
        <f t="shared" si="34"/>
        <v>155164112.6345413</v>
      </c>
      <c r="P316" s="15">
        <f t="shared" si="34"/>
        <v>180513157.68000007</v>
      </c>
      <c r="Q316" s="43"/>
      <c r="R316" s="46">
        <f>SUM(R7:R315)</f>
        <v>2455499564.6445398</v>
      </c>
      <c r="S316" s="25">
        <f>R316/U316</f>
        <v>67.708705489953431</v>
      </c>
      <c r="T316" s="46">
        <f t="shared" ref="T316:Z316" si="35">SUM(T7:T315)</f>
        <v>2284568513.3599997</v>
      </c>
      <c r="U316" s="46">
        <f t="shared" si="35"/>
        <v>36265640.391085088</v>
      </c>
      <c r="V316" s="15">
        <f t="shared" si="35"/>
        <v>74812824.099999994</v>
      </c>
      <c r="W316" s="15">
        <f t="shared" si="35"/>
        <v>79274538.900000006</v>
      </c>
      <c r="X316" s="15">
        <f t="shared" si="35"/>
        <v>53667540.999999993</v>
      </c>
      <c r="Y316" s="46">
        <f t="shared" si="35"/>
        <v>207754904.00000003</v>
      </c>
      <c r="Z316" s="15">
        <f t="shared" si="35"/>
        <v>66918953.550000027</v>
      </c>
      <c r="AA316" s="15">
        <f>SUM(AA7:AA315)</f>
        <v>778251</v>
      </c>
    </row>
    <row r="317" spans="1:27" x14ac:dyDescent="0.25">
      <c r="Z317" s="16"/>
    </row>
    <row r="318" spans="1:27" x14ac:dyDescent="0.25">
      <c r="C318" s="8"/>
      <c r="I318" s="8"/>
      <c r="J318" s="8"/>
      <c r="K318" s="8"/>
      <c r="L318" s="8"/>
      <c r="M318" s="8"/>
      <c r="N318" s="8"/>
      <c r="R318" s="8"/>
      <c r="U318" s="8"/>
      <c r="V318" s="8"/>
      <c r="W318" s="8"/>
      <c r="X318" s="8"/>
      <c r="Y318" s="8"/>
      <c r="Z318" s="8"/>
    </row>
    <row r="319" spans="1:27" x14ac:dyDescent="0.25">
      <c r="C319" s="8"/>
      <c r="J319" s="8"/>
      <c r="R319" s="8"/>
    </row>
    <row r="320" spans="1:27" x14ac:dyDescent="0.25">
      <c r="C320" s="8"/>
      <c r="G320" s="8"/>
      <c r="J320" s="44"/>
      <c r="R320" s="8"/>
    </row>
    <row r="321" spans="1:18" x14ac:dyDescent="0.25">
      <c r="G321" s="8"/>
      <c r="R321" s="8"/>
    </row>
    <row r="322" spans="1:18" x14ac:dyDescent="0.25">
      <c r="G322" s="8"/>
      <c r="R322" s="44"/>
    </row>
    <row r="323" spans="1:18" x14ac:dyDescent="0.25">
      <c r="G323" s="8"/>
      <c r="R323" s="44"/>
    </row>
    <row r="324" spans="1:18" x14ac:dyDescent="0.25">
      <c r="G324" s="44"/>
    </row>
    <row r="325" spans="1:18" s="8" customFormat="1" x14ac:dyDescent="0.25">
      <c r="A325" s="7"/>
    </row>
  </sheetData>
  <sheetProtection password="E95E" sheet="1" objects="1" scenarios="1"/>
  <mergeCells count="27">
    <mergeCell ref="Q4:Q6"/>
    <mergeCell ref="O4:O6"/>
    <mergeCell ref="V4:V5"/>
    <mergeCell ref="U4:U5"/>
    <mergeCell ref="Z4:Z5"/>
    <mergeCell ref="X4:X5"/>
    <mergeCell ref="P4:P5"/>
    <mergeCell ref="R4:R6"/>
    <mergeCell ref="AA4:AA5"/>
    <mergeCell ref="S4:S5"/>
    <mergeCell ref="W4:W5"/>
    <mergeCell ref="Y4:Y6"/>
    <mergeCell ref="T4:T6"/>
    <mergeCell ref="A4:A6"/>
    <mergeCell ref="B4:B6"/>
    <mergeCell ref="N4:N6"/>
    <mergeCell ref="C4:C5"/>
    <mergeCell ref="H4:H5"/>
    <mergeCell ref="I4:I5"/>
    <mergeCell ref="J4:J5"/>
    <mergeCell ref="G4:G5"/>
    <mergeCell ref="K4:K5"/>
    <mergeCell ref="L4:L5"/>
    <mergeCell ref="M4:M5"/>
    <mergeCell ref="D4:D6"/>
    <mergeCell ref="E4:E6"/>
    <mergeCell ref="F4:F6"/>
  </mergeCells>
  <phoneticPr fontId="0" type="noConversion"/>
  <pageMargins left="0" right="0" top="0" bottom="0" header="0.51181102362204722" footer="0.51181102362204722"/>
  <pageSetup paperSize="8" scale="70" orientation="landscape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B050"/>
  </sheetPr>
  <dimension ref="A1:H332"/>
  <sheetViews>
    <sheetView workbookViewId="0">
      <selection activeCell="C27" sqref="C27"/>
    </sheetView>
  </sheetViews>
  <sheetFormatPr baseColWidth="10" defaultColWidth="11" defaultRowHeight="15" x14ac:dyDescent="0.25"/>
  <cols>
    <col min="1" max="1" width="7.25" style="18" customWidth="1"/>
    <col min="2" max="2" width="17.375" style="18" bestFit="1" customWidth="1"/>
    <col min="3" max="3" width="18" style="8" customWidth="1"/>
    <col min="4" max="4" width="9.875" style="8" bestFit="1" customWidth="1"/>
    <col min="5" max="5" width="10.75" style="8" bestFit="1" customWidth="1"/>
    <col min="6" max="6" width="11.25" style="8" bestFit="1" customWidth="1"/>
    <col min="7" max="7" width="13" style="36" bestFit="1" customWidth="1"/>
    <col min="8" max="8" width="12.25" style="8" bestFit="1" customWidth="1"/>
    <col min="9" max="16384" width="11" style="18"/>
  </cols>
  <sheetData>
    <row r="1" spans="1:8" ht="21" x14ac:dyDescent="0.25">
      <c r="A1" s="59" t="s">
        <v>446</v>
      </c>
      <c r="B1" s="50"/>
      <c r="C1" s="52"/>
      <c r="D1" s="52"/>
      <c r="E1" s="52"/>
      <c r="F1" s="52"/>
      <c r="G1" s="60"/>
      <c r="H1" s="52"/>
    </row>
    <row r="3" spans="1:8" ht="60" x14ac:dyDescent="0.25">
      <c r="A3" s="436" t="s">
        <v>50</v>
      </c>
      <c r="B3" s="436" t="s">
        <v>101</v>
      </c>
      <c r="C3" s="352" t="s">
        <v>435</v>
      </c>
      <c r="D3" s="352" t="s">
        <v>199</v>
      </c>
      <c r="E3" s="433" t="s">
        <v>143</v>
      </c>
      <c r="F3" s="433" t="s">
        <v>377</v>
      </c>
      <c r="G3" s="440" t="s">
        <v>294</v>
      </c>
      <c r="H3" s="433" t="s">
        <v>430</v>
      </c>
    </row>
    <row r="4" spans="1:8" x14ac:dyDescent="0.25">
      <c r="A4" s="438"/>
      <c r="B4" s="438"/>
      <c r="C4" s="351">
        <f>Paramètres!B11</f>
        <v>0.5</v>
      </c>
      <c r="D4" s="230">
        <f>Paramètres!B12</f>
        <v>0.3</v>
      </c>
      <c r="E4" s="434"/>
      <c r="F4" s="434"/>
      <c r="G4" s="441"/>
      <c r="H4" s="434"/>
    </row>
    <row r="5" spans="1:8" x14ac:dyDescent="0.25">
      <c r="A5" s="54">
        <f>'A) Base RI'!A7</f>
        <v>5401</v>
      </c>
      <c r="B5" s="63" t="str">
        <f>'A) Base RI'!B7</f>
        <v>Aigle</v>
      </c>
      <c r="C5" s="39">
        <f>'B) D RI'!Y7</f>
        <v>2257966.5</v>
      </c>
      <c r="D5" s="19">
        <f>'B) D RI'!Z7</f>
        <v>1036709.25</v>
      </c>
      <c r="E5" s="14">
        <f>C5+D5</f>
        <v>3294675.75</v>
      </c>
      <c r="F5" s="19">
        <f>'B) D RI'!U7</f>
        <v>274204.16723456793</v>
      </c>
      <c r="G5" s="301">
        <f>E5/F5</f>
        <v>12.015410937141484</v>
      </c>
      <c r="H5" s="66">
        <f>(C5*$C$4)+(D5*$D$4)</f>
        <v>1439996.0249999999</v>
      </c>
    </row>
    <row r="6" spans="1:8" x14ac:dyDescent="0.25">
      <c r="A6" s="57">
        <f>'A) Base RI'!A8</f>
        <v>5402</v>
      </c>
      <c r="B6" s="64" t="str">
        <f>'A) Base RI'!B8</f>
        <v>Bex</v>
      </c>
      <c r="C6" s="39">
        <f>'B) D RI'!Y8</f>
        <v>1103949.5</v>
      </c>
      <c r="D6" s="19">
        <f>'B) D RI'!Z8</f>
        <v>172600.1</v>
      </c>
      <c r="E6" s="14">
        <f t="shared" ref="E6:E69" si="0">C6+D6</f>
        <v>1276549.6000000001</v>
      </c>
      <c r="F6" s="19">
        <f>'B) D RI'!U8</f>
        <v>168618.65154929578</v>
      </c>
      <c r="G6" s="301">
        <f t="shared" ref="G6:G69" si="1">E6/F6</f>
        <v>7.570631055763128</v>
      </c>
      <c r="H6" s="66">
        <f t="shared" ref="H6:H69" si="2">(C6*$C$4)+(D6*$D$4)</f>
        <v>603754.78</v>
      </c>
    </row>
    <row r="7" spans="1:8" x14ac:dyDescent="0.25">
      <c r="A7" s="57">
        <f>'A) Base RI'!A9</f>
        <v>5403</v>
      </c>
      <c r="B7" s="64" t="str">
        <f>'A) Base RI'!B9</f>
        <v>Chessel</v>
      </c>
      <c r="C7" s="39">
        <f>'B) D RI'!Y9</f>
        <v>49582.85</v>
      </c>
      <c r="D7" s="19">
        <f>'B) D RI'!Z9</f>
        <v>6233.65</v>
      </c>
      <c r="E7" s="14">
        <f t="shared" si="0"/>
        <v>55816.5</v>
      </c>
      <c r="F7" s="19">
        <f>'B) D RI'!U9</f>
        <v>8336.8572368421064</v>
      </c>
      <c r="G7" s="301">
        <f t="shared" si="1"/>
        <v>6.695148832984283</v>
      </c>
      <c r="H7" s="66">
        <f t="shared" si="2"/>
        <v>26661.52</v>
      </c>
    </row>
    <row r="8" spans="1:8" x14ac:dyDescent="0.25">
      <c r="A8" s="57">
        <f>'A) Base RI'!A10</f>
        <v>5404</v>
      </c>
      <c r="B8" s="64" t="str">
        <f>'A) Base RI'!B10</f>
        <v>Corbeyrier</v>
      </c>
      <c r="C8" s="39">
        <f>'B) D RI'!Y10</f>
        <v>78942.650000000009</v>
      </c>
      <c r="D8" s="19">
        <f>'B) D RI'!Z10</f>
        <v>17833.2</v>
      </c>
      <c r="E8" s="14">
        <f t="shared" si="0"/>
        <v>96775.85</v>
      </c>
      <c r="F8" s="19">
        <f>'B) D RI'!U10</f>
        <v>11349.824285714287</v>
      </c>
      <c r="G8" s="301">
        <f t="shared" si="1"/>
        <v>8.5266386125298101</v>
      </c>
      <c r="H8" s="66">
        <f t="shared" si="2"/>
        <v>44821.285000000003</v>
      </c>
    </row>
    <row r="9" spans="1:8" x14ac:dyDescent="0.25">
      <c r="A9" s="57">
        <f>'A) Base RI'!A11</f>
        <v>5405</v>
      </c>
      <c r="B9" s="64" t="str">
        <f>'A) Base RI'!B11</f>
        <v>Gryon</v>
      </c>
      <c r="C9" s="39">
        <f>'B) D RI'!Y11</f>
        <v>607291.4</v>
      </c>
      <c r="D9" s="19">
        <f>'B) D RI'!Z11</f>
        <v>0</v>
      </c>
      <c r="E9" s="14">
        <f t="shared" si="0"/>
        <v>607291.4</v>
      </c>
      <c r="F9" s="19">
        <f>'B) D RI'!U11</f>
        <v>64864.951911111115</v>
      </c>
      <c r="G9" s="301">
        <f t="shared" si="1"/>
        <v>9.3623965193439602</v>
      </c>
      <c r="H9" s="66">
        <f t="shared" si="2"/>
        <v>303645.7</v>
      </c>
    </row>
    <row r="10" spans="1:8" x14ac:dyDescent="0.25">
      <c r="A10" s="57">
        <f>'A) Base RI'!A12</f>
        <v>5406</v>
      </c>
      <c r="B10" s="64" t="str">
        <f>'A) Base RI'!B12</f>
        <v>Lavey-Morcles</v>
      </c>
      <c r="C10" s="39">
        <f>'B) D RI'!Y12</f>
        <v>26719.85</v>
      </c>
      <c r="D10" s="19">
        <f>'B) D RI'!Z12</f>
        <v>0</v>
      </c>
      <c r="E10" s="14">
        <f t="shared" si="0"/>
        <v>26719.85</v>
      </c>
      <c r="F10" s="19">
        <f>'B) D RI'!U12</f>
        <v>20248.886901408452</v>
      </c>
      <c r="G10" s="301">
        <f t="shared" si="1"/>
        <v>1.319571299405176</v>
      </c>
      <c r="H10" s="66">
        <f t="shared" si="2"/>
        <v>13359.924999999999</v>
      </c>
    </row>
    <row r="11" spans="1:8" x14ac:dyDescent="0.25">
      <c r="A11" s="57">
        <f>'A) Base RI'!A13</f>
        <v>5407</v>
      </c>
      <c r="B11" s="64" t="str">
        <f>'A) Base RI'!B13</f>
        <v>Leysin</v>
      </c>
      <c r="C11" s="39">
        <f>'B) D RI'!Y13</f>
        <v>515381.5</v>
      </c>
      <c r="D11" s="19">
        <f>'B) D RI'!Z13</f>
        <v>28241.95</v>
      </c>
      <c r="E11" s="14">
        <f t="shared" si="0"/>
        <v>543623.44999999995</v>
      </c>
      <c r="F11" s="19">
        <f>'B) D RI'!U13</f>
        <v>82610.97474358973</v>
      </c>
      <c r="G11" s="301">
        <f t="shared" si="1"/>
        <v>6.5805233709844693</v>
      </c>
      <c r="H11" s="66">
        <f t="shared" si="2"/>
        <v>266163.33500000002</v>
      </c>
    </row>
    <row r="12" spans="1:8" x14ac:dyDescent="0.25">
      <c r="A12" s="57">
        <f>'A) Base RI'!A14</f>
        <v>5408</v>
      </c>
      <c r="B12" s="64" t="str">
        <f>'A) Base RI'!B14</f>
        <v>Noville</v>
      </c>
      <c r="C12" s="39">
        <f>'B) D RI'!Y14</f>
        <v>242745.7</v>
      </c>
      <c r="D12" s="19">
        <f>'B) D RI'!Z14</f>
        <v>71489.75</v>
      </c>
      <c r="E12" s="14">
        <f t="shared" si="0"/>
        <v>314235.45</v>
      </c>
      <c r="F12" s="19">
        <f>'B) D RI'!U14</f>
        <v>33419.560339702759</v>
      </c>
      <c r="G12" s="301">
        <f t="shared" si="1"/>
        <v>9.4027403953212776</v>
      </c>
      <c r="H12" s="66">
        <f t="shared" si="2"/>
        <v>142819.77499999999</v>
      </c>
    </row>
    <row r="13" spans="1:8" x14ac:dyDescent="0.25">
      <c r="A13" s="57">
        <f>'A) Base RI'!A15</f>
        <v>5409</v>
      </c>
      <c r="B13" s="64" t="str">
        <f>'A) Base RI'!B15</f>
        <v>Ollon</v>
      </c>
      <c r="C13" s="39">
        <f>'B) D RI'!Y15</f>
        <v>3882167.2</v>
      </c>
      <c r="D13" s="19">
        <f>'B) D RI'!Z15</f>
        <v>34479.550000000003</v>
      </c>
      <c r="E13" s="14">
        <f t="shared" si="0"/>
        <v>3916646.75</v>
      </c>
      <c r="F13" s="19">
        <f>'B) D RI'!U15</f>
        <v>366034.73937782802</v>
      </c>
      <c r="G13" s="301">
        <f t="shared" si="1"/>
        <v>10.700205004195416</v>
      </c>
      <c r="H13" s="66">
        <f t="shared" si="2"/>
        <v>1951427.4650000001</v>
      </c>
    </row>
    <row r="14" spans="1:8" x14ac:dyDescent="0.25">
      <c r="A14" s="57">
        <f>'A) Base RI'!A16</f>
        <v>5410</v>
      </c>
      <c r="B14" s="64" t="str">
        <f>'A) Base RI'!B16</f>
        <v>Ormont-Dessous</v>
      </c>
      <c r="C14" s="39">
        <f>'B) D RI'!Y16</f>
        <v>236236.09999999998</v>
      </c>
      <c r="D14" s="19">
        <f>'B) D RI'!Z16</f>
        <v>0</v>
      </c>
      <c r="E14" s="14">
        <f t="shared" si="0"/>
        <v>236236.09999999998</v>
      </c>
      <c r="F14" s="19">
        <f>'B) D RI'!U16</f>
        <v>36452.210276008496</v>
      </c>
      <c r="G14" s="301">
        <f t="shared" si="1"/>
        <v>6.4807071563361927</v>
      </c>
      <c r="H14" s="66">
        <f t="shared" si="2"/>
        <v>118118.04999999999</v>
      </c>
    </row>
    <row r="15" spans="1:8" x14ac:dyDescent="0.25">
      <c r="A15" s="57">
        <f>'A) Base RI'!A17</f>
        <v>5411</v>
      </c>
      <c r="B15" s="64" t="str">
        <f>'A) Base RI'!B17</f>
        <v>Ormont-Dessus</v>
      </c>
      <c r="C15" s="39">
        <f>'B) D RI'!Y17</f>
        <v>464188.25</v>
      </c>
      <c r="D15" s="19">
        <f>'B) D RI'!Z17</f>
        <v>10854.5</v>
      </c>
      <c r="E15" s="14">
        <f t="shared" si="0"/>
        <v>475042.75</v>
      </c>
      <c r="F15" s="19">
        <f>'B) D RI'!U17</f>
        <v>74047.924868421047</v>
      </c>
      <c r="G15" s="301">
        <f t="shared" si="1"/>
        <v>6.4153418322542324</v>
      </c>
      <c r="H15" s="66">
        <f t="shared" si="2"/>
        <v>235350.47500000001</v>
      </c>
    </row>
    <row r="16" spans="1:8" x14ac:dyDescent="0.25">
      <c r="A16" s="57">
        <f>'A) Base RI'!A18</f>
        <v>5412</v>
      </c>
      <c r="B16" s="64" t="str">
        <f>'A) Base RI'!B18</f>
        <v>Rennaz</v>
      </c>
      <c r="C16" s="39">
        <f>'B) D RI'!Y18</f>
        <v>156028.54999999999</v>
      </c>
      <c r="D16" s="19">
        <f>'B) D RI'!Z18</f>
        <v>86684.75</v>
      </c>
      <c r="E16" s="14">
        <f t="shared" si="0"/>
        <v>242713.3</v>
      </c>
      <c r="F16" s="19">
        <f>'B) D RI'!U18</f>
        <v>26224.228148148151</v>
      </c>
      <c r="G16" s="301">
        <f t="shared" si="1"/>
        <v>9.2553076730740464</v>
      </c>
      <c r="H16" s="66">
        <f t="shared" si="2"/>
        <v>104019.7</v>
      </c>
    </row>
    <row r="17" spans="1:8" x14ac:dyDescent="0.25">
      <c r="A17" s="57">
        <f>'A) Base RI'!A19</f>
        <v>5413</v>
      </c>
      <c r="B17" s="64" t="str">
        <f>'A) Base RI'!B19</f>
        <v>Roche</v>
      </c>
      <c r="C17" s="39">
        <f>'B) D RI'!Y19</f>
        <v>238696.7</v>
      </c>
      <c r="D17" s="19">
        <f>'B) D RI'!Z19</f>
        <v>194227.4</v>
      </c>
      <c r="E17" s="14">
        <f t="shared" si="0"/>
        <v>432924.1</v>
      </c>
      <c r="F17" s="19">
        <f>'B) D RI'!U19</f>
        <v>38924.228382352943</v>
      </c>
      <c r="G17" s="301">
        <f t="shared" si="1"/>
        <v>11.122226900617882</v>
      </c>
      <c r="H17" s="66">
        <f t="shared" si="2"/>
        <v>177616.57</v>
      </c>
    </row>
    <row r="18" spans="1:8" x14ac:dyDescent="0.25">
      <c r="A18" s="57">
        <f>'A) Base RI'!A20</f>
        <v>5414</v>
      </c>
      <c r="B18" s="64" t="str">
        <f>'A) Base RI'!B20</f>
        <v>Villeneuve</v>
      </c>
      <c r="C18" s="39">
        <f>'B) D RI'!Y20</f>
        <v>916914.3</v>
      </c>
      <c r="D18" s="19">
        <f>'B) D RI'!Z20</f>
        <v>878222.3</v>
      </c>
      <c r="E18" s="14">
        <f t="shared" si="0"/>
        <v>1795136.6</v>
      </c>
      <c r="F18" s="19">
        <f>'B) D RI'!U20</f>
        <v>159863.47130434786</v>
      </c>
      <c r="G18" s="301">
        <f t="shared" si="1"/>
        <v>11.229185662948739</v>
      </c>
      <c r="H18" s="66">
        <f t="shared" si="2"/>
        <v>721923.84000000008</v>
      </c>
    </row>
    <row r="19" spans="1:8" x14ac:dyDescent="0.25">
      <c r="A19" s="57">
        <f>'A) Base RI'!A21</f>
        <v>5415</v>
      </c>
      <c r="B19" s="64" t="str">
        <f>'A) Base RI'!B21</f>
        <v>Yvorne</v>
      </c>
      <c r="C19" s="39">
        <f>'B) D RI'!Y21</f>
        <v>221585.25</v>
      </c>
      <c r="D19" s="19">
        <f>'B) D RI'!Z21</f>
        <v>37558.5</v>
      </c>
      <c r="E19" s="14">
        <f t="shared" si="0"/>
        <v>259143.75</v>
      </c>
      <c r="F19" s="19">
        <f>'B) D RI'!U21</f>
        <v>35726.744476885644</v>
      </c>
      <c r="G19" s="301">
        <f t="shared" si="1"/>
        <v>7.2534946520990697</v>
      </c>
      <c r="H19" s="66">
        <f t="shared" si="2"/>
        <v>122060.175</v>
      </c>
    </row>
    <row r="20" spans="1:8" x14ac:dyDescent="0.25">
      <c r="A20" s="57">
        <f>'A) Base RI'!A22</f>
        <v>5421</v>
      </c>
      <c r="B20" s="64" t="str">
        <f>'A) Base RI'!B22</f>
        <v>Apples</v>
      </c>
      <c r="C20" s="39">
        <f>'B) D RI'!Y22</f>
        <v>50247.5</v>
      </c>
      <c r="D20" s="19">
        <f>'B) D RI'!Z22</f>
        <v>18941.900000000001</v>
      </c>
      <c r="E20" s="14">
        <f t="shared" si="0"/>
        <v>69189.399999999994</v>
      </c>
      <c r="F20" s="19">
        <f>'B) D RI'!U22</f>
        <v>59005.563421052633</v>
      </c>
      <c r="G20" s="301">
        <f t="shared" si="1"/>
        <v>1.1725911251160746</v>
      </c>
      <c r="H20" s="66">
        <f t="shared" si="2"/>
        <v>30806.32</v>
      </c>
    </row>
    <row r="21" spans="1:8" x14ac:dyDescent="0.25">
      <c r="A21" s="57">
        <f>'A) Base RI'!A23</f>
        <v>5422</v>
      </c>
      <c r="B21" s="64" t="str">
        <f>'A) Base RI'!B23</f>
        <v>Aubonne</v>
      </c>
      <c r="C21" s="39">
        <f>'B) D RI'!Y23</f>
        <v>574343.19999999995</v>
      </c>
      <c r="D21" s="19">
        <f>'B) D RI'!Z23</f>
        <v>679640.9</v>
      </c>
      <c r="E21" s="14">
        <f t="shared" si="0"/>
        <v>1253984.1000000001</v>
      </c>
      <c r="F21" s="19">
        <f>'B) D RI'!U23</f>
        <v>218988.17661764708</v>
      </c>
      <c r="G21" s="301">
        <f t="shared" si="1"/>
        <v>5.7262639443290757</v>
      </c>
      <c r="H21" s="66">
        <f t="shared" si="2"/>
        <v>491063.87</v>
      </c>
    </row>
    <row r="22" spans="1:8" x14ac:dyDescent="0.25">
      <c r="A22" s="57">
        <f>'A) Base RI'!A24</f>
        <v>5423</v>
      </c>
      <c r="B22" s="64" t="str">
        <f>'A) Base RI'!B24</f>
        <v>Ballens</v>
      </c>
      <c r="C22" s="39">
        <f>'B) D RI'!Y24</f>
        <v>12877.099999999999</v>
      </c>
      <c r="D22" s="19">
        <f>'B) D RI'!Z24</f>
        <v>12734.2</v>
      </c>
      <c r="E22" s="14">
        <f t="shared" si="0"/>
        <v>25611.3</v>
      </c>
      <c r="F22" s="19">
        <f>'B) D RI'!U24</f>
        <v>15358.055362318841</v>
      </c>
      <c r="G22" s="301">
        <f t="shared" si="1"/>
        <v>1.6676134703119776</v>
      </c>
      <c r="H22" s="66">
        <f t="shared" si="2"/>
        <v>10258.81</v>
      </c>
    </row>
    <row r="23" spans="1:8" x14ac:dyDescent="0.25">
      <c r="A23" s="57">
        <f>'A) Base RI'!A25</f>
        <v>5424</v>
      </c>
      <c r="B23" s="64" t="str">
        <f>'A) Base RI'!B25</f>
        <v>Berolle</v>
      </c>
      <c r="C23" s="39">
        <f>'B) D RI'!Y25</f>
        <v>47281.600000000006</v>
      </c>
      <c r="D23" s="19">
        <f>'B) D RI'!Z25</f>
        <v>0</v>
      </c>
      <c r="E23" s="14">
        <f t="shared" si="0"/>
        <v>47281.600000000006</v>
      </c>
      <c r="F23" s="19">
        <f>'B) D RI'!U25</f>
        <v>9058.2428571428572</v>
      </c>
      <c r="G23" s="301">
        <f t="shared" si="1"/>
        <v>5.2197319883862692</v>
      </c>
      <c r="H23" s="66">
        <f t="shared" si="2"/>
        <v>23640.800000000003</v>
      </c>
    </row>
    <row r="24" spans="1:8" x14ac:dyDescent="0.25">
      <c r="A24" s="57">
        <f>'A) Base RI'!A26</f>
        <v>5425</v>
      </c>
      <c r="B24" s="64" t="str">
        <f>'A) Base RI'!B26</f>
        <v>Bière</v>
      </c>
      <c r="C24" s="39">
        <f>'B) D RI'!Y26</f>
        <v>346126.45</v>
      </c>
      <c r="D24" s="19">
        <f>'B) D RI'!Z26</f>
        <v>47803.7</v>
      </c>
      <c r="E24" s="14">
        <f t="shared" si="0"/>
        <v>393930.15</v>
      </c>
      <c r="F24" s="19">
        <f>'B) D RI'!U26</f>
        <v>39413.041470588236</v>
      </c>
      <c r="G24" s="301">
        <f t="shared" si="1"/>
        <v>9.9949188213238553</v>
      </c>
      <c r="H24" s="66">
        <f t="shared" si="2"/>
        <v>187404.33499999999</v>
      </c>
    </row>
    <row r="25" spans="1:8" x14ac:dyDescent="0.25">
      <c r="A25" s="57">
        <f>'A) Base RI'!A27</f>
        <v>5426</v>
      </c>
      <c r="B25" s="64" t="str">
        <f>'A) Base RI'!B27</f>
        <v>Bougy-Villars</v>
      </c>
      <c r="C25" s="39">
        <f>'B) D RI'!Y27</f>
        <v>5663620.0999999996</v>
      </c>
      <c r="D25" s="19">
        <f>'B) D RI'!Z27</f>
        <v>18980.099999999999</v>
      </c>
      <c r="E25" s="14">
        <f t="shared" si="0"/>
        <v>5682600.1999999993</v>
      </c>
      <c r="F25" s="19">
        <f>'B) D RI'!U27</f>
        <v>42567.7185483871</v>
      </c>
      <c r="G25" s="301">
        <f t="shared" si="1"/>
        <v>133.4955312096545</v>
      </c>
      <c r="H25" s="66">
        <f t="shared" si="2"/>
        <v>2837504.0799999996</v>
      </c>
    </row>
    <row r="26" spans="1:8" x14ac:dyDescent="0.25">
      <c r="A26" s="57">
        <f>'A) Base RI'!A28</f>
        <v>5427</v>
      </c>
      <c r="B26" s="64" t="str">
        <f>'A) Base RI'!B28</f>
        <v>Féchy</v>
      </c>
      <c r="C26" s="39">
        <f>'B) D RI'!Y28</f>
        <v>345092.69999999995</v>
      </c>
      <c r="D26" s="19">
        <f>'B) D RI'!Z28</f>
        <v>9672.0499999999993</v>
      </c>
      <c r="E26" s="14">
        <f t="shared" si="0"/>
        <v>354764.74999999994</v>
      </c>
      <c r="F26" s="19">
        <f>'B) D RI'!U28</f>
        <v>68786.678798076915</v>
      </c>
      <c r="G26" s="301">
        <f t="shared" si="1"/>
        <v>5.1574629884575582</v>
      </c>
      <c r="H26" s="66">
        <f t="shared" si="2"/>
        <v>175447.96499999997</v>
      </c>
    </row>
    <row r="27" spans="1:8" x14ac:dyDescent="0.25">
      <c r="A27" s="57">
        <f>'A) Base RI'!A29</f>
        <v>5428</v>
      </c>
      <c r="B27" s="64" t="str">
        <f>'A) Base RI'!B29</f>
        <v>Gimel</v>
      </c>
      <c r="C27" s="39">
        <f>'B) D RI'!Y29</f>
        <v>513005.14999999997</v>
      </c>
      <c r="D27" s="19">
        <f>'B) D RI'!Z29</f>
        <v>194411.7</v>
      </c>
      <c r="E27" s="14">
        <f t="shared" si="0"/>
        <v>707416.85</v>
      </c>
      <c r="F27" s="19">
        <f>'B) D RI'!U29</f>
        <v>58004.622727272719</v>
      </c>
      <c r="G27" s="301">
        <f t="shared" si="1"/>
        <v>12.195870203761974</v>
      </c>
      <c r="H27" s="66">
        <f t="shared" si="2"/>
        <v>314826.08499999996</v>
      </c>
    </row>
    <row r="28" spans="1:8" x14ac:dyDescent="0.25">
      <c r="A28" s="57">
        <f>'A) Base RI'!A30</f>
        <v>5429</v>
      </c>
      <c r="B28" s="64" t="str">
        <f>'A) Base RI'!B30</f>
        <v>Longirod</v>
      </c>
      <c r="C28" s="39">
        <f>'B) D RI'!Y30</f>
        <v>167028.95000000001</v>
      </c>
      <c r="D28" s="19">
        <f>'B) D RI'!Z30</f>
        <v>0</v>
      </c>
      <c r="E28" s="14">
        <f t="shared" si="0"/>
        <v>167028.95000000001</v>
      </c>
      <c r="F28" s="19">
        <f>'B) D RI'!U30</f>
        <v>12171.349506172839</v>
      </c>
      <c r="G28" s="301">
        <f t="shared" si="1"/>
        <v>13.72312494315354</v>
      </c>
      <c r="H28" s="66">
        <f t="shared" si="2"/>
        <v>83514.475000000006</v>
      </c>
    </row>
    <row r="29" spans="1:8" x14ac:dyDescent="0.25">
      <c r="A29" s="57">
        <f>'A) Base RI'!A31</f>
        <v>5430</v>
      </c>
      <c r="B29" s="64" t="str">
        <f>'A) Base RI'!B31</f>
        <v>Marchissy</v>
      </c>
      <c r="C29" s="39">
        <f>'B) D RI'!Y31</f>
        <v>89776.75</v>
      </c>
      <c r="D29" s="19">
        <f>'B) D RI'!Z31</f>
        <v>9030.9500000000007</v>
      </c>
      <c r="E29" s="14">
        <f t="shared" si="0"/>
        <v>98807.7</v>
      </c>
      <c r="F29" s="19">
        <f>'B) D RI'!U31</f>
        <v>10573.165189873416</v>
      </c>
      <c r="G29" s="301">
        <f t="shared" si="1"/>
        <v>9.3451391542273772</v>
      </c>
      <c r="H29" s="66">
        <f t="shared" si="2"/>
        <v>47597.66</v>
      </c>
    </row>
    <row r="30" spans="1:8" x14ac:dyDescent="0.25">
      <c r="A30" s="57">
        <f>'A) Base RI'!A32</f>
        <v>5431</v>
      </c>
      <c r="B30" s="64" t="str">
        <f>'A) Base RI'!B32</f>
        <v>Mollens</v>
      </c>
      <c r="C30" s="39">
        <f>'B) D RI'!Y32</f>
        <v>49779.199999999997</v>
      </c>
      <c r="D30" s="19">
        <f>'B) D RI'!Z32</f>
        <v>0</v>
      </c>
      <c r="E30" s="14">
        <f t="shared" si="0"/>
        <v>49779.199999999997</v>
      </c>
      <c r="F30" s="19">
        <f>'B) D RI'!U32</f>
        <v>11206.031081081082</v>
      </c>
      <c r="G30" s="301">
        <f t="shared" si="1"/>
        <v>4.4421793621509069</v>
      </c>
      <c r="H30" s="66">
        <f t="shared" si="2"/>
        <v>24889.599999999999</v>
      </c>
    </row>
    <row r="31" spans="1:8" x14ac:dyDescent="0.25">
      <c r="A31" s="57">
        <f>'A) Base RI'!A33</f>
        <v>5432</v>
      </c>
      <c r="B31" s="64" t="str">
        <f>'A) Base RI'!B33</f>
        <v>Montherod</v>
      </c>
      <c r="C31" s="39">
        <f>'B) D RI'!Y33</f>
        <v>110662.85</v>
      </c>
      <c r="D31" s="19">
        <f>'B) D RI'!Z33</f>
        <v>11765.7</v>
      </c>
      <c r="E31" s="14">
        <f t="shared" si="0"/>
        <v>122428.55</v>
      </c>
      <c r="F31" s="19">
        <f>'B) D RI'!U33</f>
        <v>17725.419230769232</v>
      </c>
      <c r="G31" s="301">
        <f t="shared" si="1"/>
        <v>6.9069480617687455</v>
      </c>
      <c r="H31" s="66">
        <f t="shared" si="2"/>
        <v>58861.135000000002</v>
      </c>
    </row>
    <row r="32" spans="1:8" x14ac:dyDescent="0.25">
      <c r="A32" s="57">
        <f>'A) Base RI'!A34</f>
        <v>5434</v>
      </c>
      <c r="B32" s="64" t="str">
        <f>'A) Base RI'!B34</f>
        <v>Saint-George</v>
      </c>
      <c r="C32" s="39">
        <f>'B) D RI'!Y34</f>
        <v>186889.65</v>
      </c>
      <c r="D32" s="19">
        <f>'B) D RI'!Z34</f>
        <v>35108.800000000003</v>
      </c>
      <c r="E32" s="14">
        <f t="shared" si="0"/>
        <v>221998.45</v>
      </c>
      <c r="F32" s="19">
        <f>'B) D RI'!U34</f>
        <v>35895.731094890507</v>
      </c>
      <c r="G32" s="301">
        <f t="shared" si="1"/>
        <v>6.1845362450801247</v>
      </c>
      <c r="H32" s="66">
        <f t="shared" si="2"/>
        <v>103977.465</v>
      </c>
    </row>
    <row r="33" spans="1:8" x14ac:dyDescent="0.25">
      <c r="A33" s="57">
        <f>'A) Base RI'!A35</f>
        <v>5435</v>
      </c>
      <c r="B33" s="64" t="str">
        <f>'A) Base RI'!B35</f>
        <v>Saint-Livres</v>
      </c>
      <c r="C33" s="39">
        <f>'B) D RI'!Y35</f>
        <v>18960.5</v>
      </c>
      <c r="D33" s="19">
        <f>'B) D RI'!Z35</f>
        <v>1994.1</v>
      </c>
      <c r="E33" s="14">
        <f t="shared" si="0"/>
        <v>20954.599999999999</v>
      </c>
      <c r="F33" s="19">
        <f>'B) D RI'!U35</f>
        <v>22398.12956521739</v>
      </c>
      <c r="G33" s="301">
        <f t="shared" si="1"/>
        <v>0.93555133427484571</v>
      </c>
      <c r="H33" s="66">
        <f t="shared" si="2"/>
        <v>10078.48</v>
      </c>
    </row>
    <row r="34" spans="1:8" x14ac:dyDescent="0.25">
      <c r="A34" s="57">
        <f>'A) Base RI'!A36</f>
        <v>5436</v>
      </c>
      <c r="B34" s="64" t="str">
        <f>'A) Base RI'!B36</f>
        <v>Saint-Oyens</v>
      </c>
      <c r="C34" s="39">
        <f>'B) D RI'!Y36</f>
        <v>64524.85</v>
      </c>
      <c r="D34" s="19">
        <f>'B) D RI'!Z36</f>
        <v>0</v>
      </c>
      <c r="E34" s="14">
        <f t="shared" si="0"/>
        <v>64524.85</v>
      </c>
      <c r="F34" s="19">
        <f>'B) D RI'!U36</f>
        <v>10474.604814814815</v>
      </c>
      <c r="G34" s="301">
        <f t="shared" si="1"/>
        <v>6.1601226147204065</v>
      </c>
      <c r="H34" s="66">
        <f t="shared" si="2"/>
        <v>32262.424999999999</v>
      </c>
    </row>
    <row r="35" spans="1:8" x14ac:dyDescent="0.25">
      <c r="A35" s="57">
        <f>'A) Base RI'!A37</f>
        <v>5437</v>
      </c>
      <c r="B35" s="64" t="str">
        <f>'A) Base RI'!B37</f>
        <v>Saubraz</v>
      </c>
      <c r="C35" s="39">
        <f>'B) D RI'!Y37</f>
        <v>102752.50000000001</v>
      </c>
      <c r="D35" s="19">
        <f>'B) D RI'!Z37</f>
        <v>965.2</v>
      </c>
      <c r="E35" s="14">
        <f t="shared" si="0"/>
        <v>103717.70000000001</v>
      </c>
      <c r="F35" s="19">
        <f>'B) D RI'!U37</f>
        <v>10138.793125</v>
      </c>
      <c r="G35" s="301">
        <f t="shared" si="1"/>
        <v>10.229787581349827</v>
      </c>
      <c r="H35" s="66">
        <f t="shared" si="2"/>
        <v>51665.810000000005</v>
      </c>
    </row>
    <row r="36" spans="1:8" x14ac:dyDescent="0.25">
      <c r="A36" s="57">
        <f>'A) Base RI'!A38</f>
        <v>5451</v>
      </c>
      <c r="B36" s="64" t="str">
        <f>'A) Base RI'!B38</f>
        <v>Avenches</v>
      </c>
      <c r="C36" s="39">
        <f>'B) D RI'!Y38</f>
        <v>835747.25</v>
      </c>
      <c r="D36" s="19">
        <f>'B) D RI'!Z38</f>
        <v>558913.6</v>
      </c>
      <c r="E36" s="14">
        <f t="shared" si="0"/>
        <v>1394660.85</v>
      </c>
      <c r="F36" s="19">
        <f>'B) D RI'!U38</f>
        <v>109207.82382352941</v>
      </c>
      <c r="G36" s="301">
        <f t="shared" si="1"/>
        <v>12.770704526203671</v>
      </c>
      <c r="H36" s="66">
        <f t="shared" si="2"/>
        <v>585547.70499999996</v>
      </c>
    </row>
    <row r="37" spans="1:8" x14ac:dyDescent="0.25">
      <c r="A37" s="57">
        <f>'A) Base RI'!A39</f>
        <v>5456</v>
      </c>
      <c r="B37" s="64" t="str">
        <f>'A) Base RI'!B39</f>
        <v>Cudrefin</v>
      </c>
      <c r="C37" s="39">
        <f>'B) D RI'!Y39</f>
        <v>171460.15</v>
      </c>
      <c r="D37" s="19">
        <f>'B) D RI'!Z39</f>
        <v>3697.85</v>
      </c>
      <c r="E37" s="14">
        <f t="shared" si="0"/>
        <v>175158</v>
      </c>
      <c r="F37" s="19">
        <f>'B) D RI'!U39</f>
        <v>51373.818644067804</v>
      </c>
      <c r="G37" s="301">
        <f t="shared" si="1"/>
        <v>3.4094798600342258</v>
      </c>
      <c r="H37" s="66">
        <f t="shared" si="2"/>
        <v>86839.43</v>
      </c>
    </row>
    <row r="38" spans="1:8" x14ac:dyDescent="0.25">
      <c r="A38" s="57">
        <f>'A) Base RI'!A40</f>
        <v>5458</v>
      </c>
      <c r="B38" s="64" t="str">
        <f>'A) Base RI'!B40</f>
        <v>Faoug</v>
      </c>
      <c r="C38" s="39">
        <f>'B) D RI'!Y40</f>
        <v>147759.45000000001</v>
      </c>
      <c r="D38" s="19">
        <f>'B) D RI'!Z40</f>
        <v>0</v>
      </c>
      <c r="E38" s="14">
        <f t="shared" si="0"/>
        <v>147759.45000000001</v>
      </c>
      <c r="F38" s="19">
        <f>'B) D RI'!U40</f>
        <v>31692.092968750003</v>
      </c>
      <c r="G38" s="301">
        <f t="shared" si="1"/>
        <v>4.6623443313036557</v>
      </c>
      <c r="H38" s="66">
        <f t="shared" si="2"/>
        <v>73879.725000000006</v>
      </c>
    </row>
    <row r="39" spans="1:8" x14ac:dyDescent="0.25">
      <c r="A39" s="57">
        <f>'A) Base RI'!A41</f>
        <v>5464</v>
      </c>
      <c r="B39" s="64" t="str">
        <f>'A) Base RI'!B41</f>
        <v>Vully-les-Lacs</v>
      </c>
      <c r="C39" s="39">
        <f>'B) D RI'!Y41</f>
        <v>1063462.8999999999</v>
      </c>
      <c r="D39" s="19">
        <f>'B) D RI'!Z41</f>
        <v>0</v>
      </c>
      <c r="E39" s="14">
        <f t="shared" si="0"/>
        <v>1063462.8999999999</v>
      </c>
      <c r="F39" s="19">
        <f>'B) D RI'!U41</f>
        <v>96310.385124378095</v>
      </c>
      <c r="G39" s="301">
        <f t="shared" si="1"/>
        <v>11.042037664231248</v>
      </c>
      <c r="H39" s="66">
        <f t="shared" si="2"/>
        <v>531731.44999999995</v>
      </c>
    </row>
    <row r="40" spans="1:8" x14ac:dyDescent="0.25">
      <c r="A40" s="57">
        <f>'A) Base RI'!A42</f>
        <v>5471</v>
      </c>
      <c r="B40" s="64" t="str">
        <f>'A) Base RI'!B42</f>
        <v>Bettens</v>
      </c>
      <c r="C40" s="39">
        <f>'B) D RI'!Y42</f>
        <v>55688.45</v>
      </c>
      <c r="D40" s="19">
        <f>'B) D RI'!Z42</f>
        <v>0</v>
      </c>
      <c r="E40" s="14">
        <f t="shared" si="0"/>
        <v>55688.45</v>
      </c>
      <c r="F40" s="19">
        <f>'B) D RI'!U42</f>
        <v>16449.086587301586</v>
      </c>
      <c r="G40" s="301">
        <f t="shared" si="1"/>
        <v>3.3855040949806008</v>
      </c>
      <c r="H40" s="66">
        <f t="shared" si="2"/>
        <v>27844.224999999999</v>
      </c>
    </row>
    <row r="41" spans="1:8" x14ac:dyDescent="0.25">
      <c r="A41" s="57">
        <f>'A) Base RI'!A43</f>
        <v>5472</v>
      </c>
      <c r="B41" s="64" t="str">
        <f>'A) Base RI'!B43</f>
        <v>Bournens</v>
      </c>
      <c r="C41" s="39">
        <f>'B) D RI'!Y43</f>
        <v>110473.45</v>
      </c>
      <c r="D41" s="19">
        <f>'B) D RI'!Z43</f>
        <v>0</v>
      </c>
      <c r="E41" s="14">
        <f t="shared" si="0"/>
        <v>110473.45</v>
      </c>
      <c r="F41" s="19">
        <f>'B) D RI'!U43</f>
        <v>14191.801124999998</v>
      </c>
      <c r="G41" s="301">
        <f t="shared" si="1"/>
        <v>7.784314973621786</v>
      </c>
      <c r="H41" s="66">
        <f t="shared" si="2"/>
        <v>55236.724999999999</v>
      </c>
    </row>
    <row r="42" spans="1:8" x14ac:dyDescent="0.25">
      <c r="A42" s="57">
        <f>'A) Base RI'!A44</f>
        <v>5473</v>
      </c>
      <c r="B42" s="64" t="str">
        <f>'A) Base RI'!B44</f>
        <v>Boussens</v>
      </c>
      <c r="C42" s="39">
        <f>'B) D RI'!Y44</f>
        <v>113864.15000000001</v>
      </c>
      <c r="D42" s="19">
        <f>'B) D RI'!Z44</f>
        <v>0</v>
      </c>
      <c r="E42" s="14">
        <f t="shared" si="0"/>
        <v>113864.15000000001</v>
      </c>
      <c r="F42" s="19">
        <f>'B) D RI'!U44</f>
        <v>32757.052898550723</v>
      </c>
      <c r="G42" s="301">
        <f t="shared" si="1"/>
        <v>3.4760193584154124</v>
      </c>
      <c r="H42" s="66">
        <f t="shared" si="2"/>
        <v>56932.075000000004</v>
      </c>
    </row>
    <row r="43" spans="1:8" x14ac:dyDescent="0.25">
      <c r="A43" s="57">
        <f>'A) Base RI'!A45</f>
        <v>5474</v>
      </c>
      <c r="B43" s="64" t="str">
        <f>'A) Base RI'!B45</f>
        <v>La Chaux (Cossonay)</v>
      </c>
      <c r="C43" s="39">
        <f>'B) D RI'!Y45</f>
        <v>102266.7</v>
      </c>
      <c r="D43" s="19">
        <f>'B) D RI'!Z45</f>
        <v>0</v>
      </c>
      <c r="E43" s="14">
        <f t="shared" si="0"/>
        <v>102266.7</v>
      </c>
      <c r="F43" s="19">
        <f>'B) D RI'!U45</f>
        <v>12924.858852813852</v>
      </c>
      <c r="G43" s="301">
        <f t="shared" si="1"/>
        <v>7.9124036219347698</v>
      </c>
      <c r="H43" s="66">
        <f t="shared" si="2"/>
        <v>51133.35</v>
      </c>
    </row>
    <row r="44" spans="1:8" x14ac:dyDescent="0.25">
      <c r="A44" s="57">
        <f>'A) Base RI'!A46</f>
        <v>5475</v>
      </c>
      <c r="B44" s="64" t="str">
        <f>'A) Base RI'!B46</f>
        <v>Chavannes-le-Veyron</v>
      </c>
      <c r="C44" s="39">
        <f>'B) D RI'!Y46</f>
        <v>68093.2</v>
      </c>
      <c r="D44" s="19">
        <f>'B) D RI'!Z46</f>
        <v>0</v>
      </c>
      <c r="E44" s="14">
        <f t="shared" si="0"/>
        <v>68093.2</v>
      </c>
      <c r="F44" s="19">
        <f>'B) D RI'!U46</f>
        <v>2672.7945454545452</v>
      </c>
      <c r="G44" s="301">
        <f t="shared" si="1"/>
        <v>25.476406376166043</v>
      </c>
      <c r="H44" s="66">
        <f t="shared" si="2"/>
        <v>34046.6</v>
      </c>
    </row>
    <row r="45" spans="1:8" x14ac:dyDescent="0.25">
      <c r="A45" s="57">
        <f>'A) Base RI'!A47</f>
        <v>5476</v>
      </c>
      <c r="B45" s="64" t="str">
        <f>'A) Base RI'!B47</f>
        <v>Chevilly</v>
      </c>
      <c r="C45" s="39">
        <f>'B) D RI'!Y47</f>
        <v>53410.899999999994</v>
      </c>
      <c r="D45" s="19">
        <f>'B) D RI'!Z47</f>
        <v>0</v>
      </c>
      <c r="E45" s="14">
        <f t="shared" si="0"/>
        <v>53410.899999999994</v>
      </c>
      <c r="F45" s="19">
        <f>'B) D RI'!U47</f>
        <v>10247.952162162162</v>
      </c>
      <c r="G45" s="301">
        <f t="shared" si="1"/>
        <v>5.211860784948386</v>
      </c>
      <c r="H45" s="66">
        <f t="shared" si="2"/>
        <v>26705.449999999997</v>
      </c>
    </row>
    <row r="46" spans="1:8" x14ac:dyDescent="0.25">
      <c r="A46" s="57">
        <f>'A) Base RI'!A48</f>
        <v>5477</v>
      </c>
      <c r="B46" s="64" t="str">
        <f>'A) Base RI'!B48</f>
        <v>Cossonay</v>
      </c>
      <c r="C46" s="39">
        <f>'B) D RI'!Y48</f>
        <v>614366.6</v>
      </c>
      <c r="D46" s="19">
        <f>'B) D RI'!Z48</f>
        <v>76748.2</v>
      </c>
      <c r="E46" s="14">
        <f t="shared" si="0"/>
        <v>691114.79999999993</v>
      </c>
      <c r="F46" s="19">
        <f>'B) D RI'!U48</f>
        <v>125937.08528138528</v>
      </c>
      <c r="G46" s="301">
        <f t="shared" si="1"/>
        <v>5.4877782700450775</v>
      </c>
      <c r="H46" s="66">
        <f t="shared" si="2"/>
        <v>330207.76</v>
      </c>
    </row>
    <row r="47" spans="1:8" x14ac:dyDescent="0.25">
      <c r="A47" s="57">
        <f>'A) Base RI'!A49</f>
        <v>5478</v>
      </c>
      <c r="B47" s="64" t="str">
        <f>'A) Base RI'!B49</f>
        <v>Cottens</v>
      </c>
      <c r="C47" s="39">
        <f>'B) D RI'!Y49</f>
        <v>20179.400000000001</v>
      </c>
      <c r="D47" s="19">
        <f>'B) D RI'!Z49</f>
        <v>0</v>
      </c>
      <c r="E47" s="14">
        <f t="shared" si="0"/>
        <v>20179.400000000001</v>
      </c>
      <c r="F47" s="19">
        <f>'B) D RI'!U49</f>
        <v>14465.317702702703</v>
      </c>
      <c r="G47" s="301">
        <f t="shared" si="1"/>
        <v>1.3950194814061829</v>
      </c>
      <c r="H47" s="66">
        <f t="shared" si="2"/>
        <v>10089.700000000001</v>
      </c>
    </row>
    <row r="48" spans="1:8" x14ac:dyDescent="0.25">
      <c r="A48" s="57">
        <f>'A) Base RI'!A50</f>
        <v>5479</v>
      </c>
      <c r="B48" s="64" t="str">
        <f>'A) Base RI'!B50</f>
        <v>Cuarnens</v>
      </c>
      <c r="C48" s="39">
        <f>'B) D RI'!Y50</f>
        <v>96903.200000000012</v>
      </c>
      <c r="D48" s="19">
        <f>'B) D RI'!Z50</f>
        <v>8132.25</v>
      </c>
      <c r="E48" s="14">
        <f t="shared" si="0"/>
        <v>105035.45000000001</v>
      </c>
      <c r="F48" s="19">
        <f>'B) D RI'!U50</f>
        <v>11562.819350649352</v>
      </c>
      <c r="G48" s="301">
        <f t="shared" si="1"/>
        <v>9.0838961342158626</v>
      </c>
      <c r="H48" s="66">
        <f t="shared" si="2"/>
        <v>50891.275000000009</v>
      </c>
    </row>
    <row r="49" spans="1:8" x14ac:dyDescent="0.25">
      <c r="A49" s="57">
        <f>'A) Base RI'!A51</f>
        <v>5480</v>
      </c>
      <c r="B49" s="64" t="str">
        <f>'A) Base RI'!B51</f>
        <v>Daillens</v>
      </c>
      <c r="C49" s="39">
        <f>'B) D RI'!Y51</f>
        <v>110626.2</v>
      </c>
      <c r="D49" s="19">
        <f>'B) D RI'!Z51</f>
        <v>137463</v>
      </c>
      <c r="E49" s="14">
        <f t="shared" si="0"/>
        <v>248089.2</v>
      </c>
      <c r="F49" s="19">
        <f>'B) D RI'!U51</f>
        <v>34852.093380281687</v>
      </c>
      <c r="G49" s="301">
        <f t="shared" si="1"/>
        <v>7.1183442926375768</v>
      </c>
      <c r="H49" s="66">
        <f t="shared" si="2"/>
        <v>96552</v>
      </c>
    </row>
    <row r="50" spans="1:8" x14ac:dyDescent="0.25">
      <c r="A50" s="57">
        <f>'A) Base RI'!A52</f>
        <v>5481</v>
      </c>
      <c r="B50" s="64" t="str">
        <f>'A) Base RI'!B52</f>
        <v>Dizy</v>
      </c>
      <c r="C50" s="39">
        <f>'B) D RI'!Y52</f>
        <v>23706.65</v>
      </c>
      <c r="D50" s="19">
        <f>'B) D RI'!Z52</f>
        <v>0</v>
      </c>
      <c r="E50" s="14">
        <f t="shared" si="0"/>
        <v>23706.65</v>
      </c>
      <c r="F50" s="19">
        <f>'B) D RI'!U52</f>
        <v>8900.2526582278479</v>
      </c>
      <c r="G50" s="301">
        <f t="shared" si="1"/>
        <v>2.6635929237451887</v>
      </c>
      <c r="H50" s="66">
        <f t="shared" si="2"/>
        <v>11853.325000000001</v>
      </c>
    </row>
    <row r="51" spans="1:8" x14ac:dyDescent="0.25">
      <c r="A51" s="57">
        <f>'A) Base RI'!A53</f>
        <v>5482</v>
      </c>
      <c r="B51" s="64" t="str">
        <f>'A) Base RI'!B53</f>
        <v>Eclépens</v>
      </c>
      <c r="C51" s="39">
        <f>'B) D RI'!Y53</f>
        <v>279831.65000000002</v>
      </c>
      <c r="D51" s="19">
        <f>'B) D RI'!Z53</f>
        <v>177330.05</v>
      </c>
      <c r="E51" s="14">
        <f t="shared" si="0"/>
        <v>457161.7</v>
      </c>
      <c r="F51" s="19">
        <f>'B) D RI'!U53</f>
        <v>26792.007391304349</v>
      </c>
      <c r="G51" s="301">
        <f t="shared" si="1"/>
        <v>17.063361222734546</v>
      </c>
      <c r="H51" s="66">
        <f t="shared" si="2"/>
        <v>193114.84</v>
      </c>
    </row>
    <row r="52" spans="1:8" x14ac:dyDescent="0.25">
      <c r="A52" s="57">
        <f>'A) Base RI'!A54</f>
        <v>5483</v>
      </c>
      <c r="B52" s="64" t="str">
        <f>'A) Base RI'!B54</f>
        <v>Ferreyres</v>
      </c>
      <c r="C52" s="39">
        <f>'B) D RI'!Y54</f>
        <v>9735</v>
      </c>
      <c r="D52" s="19">
        <f>'B) D RI'!Z54</f>
        <v>0</v>
      </c>
      <c r="E52" s="14">
        <f t="shared" si="0"/>
        <v>9735</v>
      </c>
      <c r="F52" s="19">
        <f>'B) D RI'!U54</f>
        <v>9773.8555263157887</v>
      </c>
      <c r="G52" s="301">
        <f t="shared" si="1"/>
        <v>0.99602454464247281</v>
      </c>
      <c r="H52" s="66">
        <f t="shared" si="2"/>
        <v>4867.5</v>
      </c>
    </row>
    <row r="53" spans="1:8" x14ac:dyDescent="0.25">
      <c r="A53" s="57">
        <f>'A) Base RI'!A55</f>
        <v>5484</v>
      </c>
      <c r="B53" s="64" t="str">
        <f>'A) Base RI'!B55</f>
        <v>Gollion</v>
      </c>
      <c r="C53" s="39">
        <f>'B) D RI'!Y55</f>
        <v>203292.4</v>
      </c>
      <c r="D53" s="19">
        <f>'B) D RI'!Z55</f>
        <v>29146.95</v>
      </c>
      <c r="E53" s="14">
        <f t="shared" si="0"/>
        <v>232439.35</v>
      </c>
      <c r="F53" s="19">
        <f>'B) D RI'!U55</f>
        <v>29063.721351351356</v>
      </c>
      <c r="G53" s="301">
        <f t="shared" si="1"/>
        <v>7.9975770201634013</v>
      </c>
      <c r="H53" s="66">
        <f t="shared" si="2"/>
        <v>110390.285</v>
      </c>
    </row>
    <row r="54" spans="1:8" x14ac:dyDescent="0.25">
      <c r="A54" s="57">
        <f>'A) Base RI'!A56</f>
        <v>5485</v>
      </c>
      <c r="B54" s="64" t="str">
        <f>'A) Base RI'!B56</f>
        <v>Grancy</v>
      </c>
      <c r="C54" s="39">
        <f>'B) D RI'!Y56</f>
        <v>59576.4</v>
      </c>
      <c r="D54" s="19">
        <f>'B) D RI'!Z56</f>
        <v>7760.75</v>
      </c>
      <c r="E54" s="14">
        <f t="shared" si="0"/>
        <v>67337.149999999994</v>
      </c>
      <c r="F54" s="19">
        <f>'B) D RI'!U56</f>
        <v>15073.947999999999</v>
      </c>
      <c r="G54" s="301">
        <f t="shared" si="1"/>
        <v>4.4671210223094837</v>
      </c>
      <c r="H54" s="66">
        <f t="shared" si="2"/>
        <v>32116.424999999999</v>
      </c>
    </row>
    <row r="55" spans="1:8" x14ac:dyDescent="0.25">
      <c r="A55" s="57">
        <f>'A) Base RI'!A57</f>
        <v>5486</v>
      </c>
      <c r="B55" s="64" t="str">
        <f>'A) Base RI'!B57</f>
        <v>L'Isle</v>
      </c>
      <c r="C55" s="39">
        <f>'B) D RI'!Y57</f>
        <v>162969.75</v>
      </c>
      <c r="D55" s="19">
        <f>'B) D RI'!Z57</f>
        <v>121802.3</v>
      </c>
      <c r="E55" s="14">
        <f t="shared" si="0"/>
        <v>284772.05</v>
      </c>
      <c r="F55" s="19">
        <f>'B) D RI'!U57</f>
        <v>29834.586052631581</v>
      </c>
      <c r="G55" s="301">
        <f t="shared" si="1"/>
        <v>9.5450310420808222</v>
      </c>
      <c r="H55" s="66">
        <f t="shared" si="2"/>
        <v>118025.565</v>
      </c>
    </row>
    <row r="56" spans="1:8" x14ac:dyDescent="0.25">
      <c r="A56" s="57">
        <f>'A) Base RI'!A58</f>
        <v>5487</v>
      </c>
      <c r="B56" s="64" t="str">
        <f>'A) Base RI'!B58</f>
        <v>Lussery-Villars</v>
      </c>
      <c r="C56" s="39">
        <f>'B) D RI'!Y58</f>
        <v>38455.85</v>
      </c>
      <c r="D56" s="19">
        <f>'B) D RI'!Z58</f>
        <v>3281.85</v>
      </c>
      <c r="E56" s="14">
        <f t="shared" si="0"/>
        <v>41737.699999999997</v>
      </c>
      <c r="F56" s="19">
        <f>'B) D RI'!U58</f>
        <v>13143.798970588234</v>
      </c>
      <c r="G56" s="301">
        <f t="shared" si="1"/>
        <v>3.1754670086933077</v>
      </c>
      <c r="H56" s="66">
        <f t="shared" si="2"/>
        <v>20212.48</v>
      </c>
    </row>
    <row r="57" spans="1:8" x14ac:dyDescent="0.25">
      <c r="A57" s="57">
        <f>'A) Base RI'!A59</f>
        <v>5488</v>
      </c>
      <c r="B57" s="64" t="str">
        <f>'A) Base RI'!B59</f>
        <v>Mauraz</v>
      </c>
      <c r="C57" s="39">
        <f>'B) D RI'!Y59</f>
        <v>0</v>
      </c>
      <c r="D57" s="19">
        <f>'B) D RI'!Z59</f>
        <v>0</v>
      </c>
      <c r="E57" s="14">
        <f t="shared" si="0"/>
        <v>0</v>
      </c>
      <c r="F57" s="19">
        <f>'B) D RI'!U59</f>
        <v>1604.8968918918922</v>
      </c>
      <c r="G57" s="301">
        <f t="shared" si="1"/>
        <v>0</v>
      </c>
      <c r="H57" s="66">
        <f t="shared" si="2"/>
        <v>0</v>
      </c>
    </row>
    <row r="58" spans="1:8" x14ac:dyDescent="0.25">
      <c r="A58" s="57">
        <f>'A) Base RI'!A60</f>
        <v>5489</v>
      </c>
      <c r="B58" s="64" t="str">
        <f>'A) Base RI'!B60</f>
        <v>Mex</v>
      </c>
      <c r="C58" s="39">
        <f>'B) D RI'!Y60</f>
        <v>124660.45</v>
      </c>
      <c r="D58" s="19">
        <f>'B) D RI'!Z60</f>
        <v>206830.25</v>
      </c>
      <c r="E58" s="14">
        <f t="shared" si="0"/>
        <v>331490.7</v>
      </c>
      <c r="F58" s="19">
        <f>'B) D RI'!U60</f>
        <v>46901.97049180328</v>
      </c>
      <c r="G58" s="301">
        <f t="shared" si="1"/>
        <v>7.067735033817657</v>
      </c>
      <c r="H58" s="66">
        <f t="shared" si="2"/>
        <v>124379.29999999999</v>
      </c>
    </row>
    <row r="59" spans="1:8" x14ac:dyDescent="0.25">
      <c r="A59" s="57">
        <f>'A) Base RI'!A61</f>
        <v>5490</v>
      </c>
      <c r="B59" s="64" t="str">
        <f>'A) Base RI'!B61</f>
        <v>Moiry</v>
      </c>
      <c r="C59" s="39">
        <f>'B) D RI'!Y61</f>
        <v>33261.599999999999</v>
      </c>
      <c r="D59" s="19">
        <f>'B) D RI'!Z61</f>
        <v>0</v>
      </c>
      <c r="E59" s="14">
        <f t="shared" si="0"/>
        <v>33261.599999999999</v>
      </c>
      <c r="F59" s="19">
        <f>'B) D RI'!U61</f>
        <v>7445.9272839506175</v>
      </c>
      <c r="G59" s="301">
        <f t="shared" si="1"/>
        <v>4.4670863321072147</v>
      </c>
      <c r="H59" s="66">
        <f t="shared" si="2"/>
        <v>16630.8</v>
      </c>
    </row>
    <row r="60" spans="1:8" x14ac:dyDescent="0.25">
      <c r="A60" s="57">
        <f>'A) Base RI'!A62</f>
        <v>5491</v>
      </c>
      <c r="B60" s="64" t="str">
        <f>'A) Base RI'!B62</f>
        <v>Mont-la-Ville</v>
      </c>
      <c r="C60" s="39">
        <f>'B) D RI'!Y62</f>
        <v>115738.8</v>
      </c>
      <c r="D60" s="19">
        <f>'B) D RI'!Z62</f>
        <v>875.85</v>
      </c>
      <c r="E60" s="14">
        <f t="shared" si="0"/>
        <v>116614.65000000001</v>
      </c>
      <c r="F60" s="19">
        <f>'B) D RI'!U62</f>
        <v>8756.4323684210522</v>
      </c>
      <c r="G60" s="301">
        <f t="shared" si="1"/>
        <v>13.317598434329916</v>
      </c>
      <c r="H60" s="66">
        <f t="shared" si="2"/>
        <v>58132.154999999999</v>
      </c>
    </row>
    <row r="61" spans="1:8" x14ac:dyDescent="0.25">
      <c r="A61" s="57">
        <f>'A) Base RI'!A63</f>
        <v>5492</v>
      </c>
      <c r="B61" s="64" t="str">
        <f>'A) Base RI'!B63</f>
        <v>Montricher</v>
      </c>
      <c r="C61" s="39">
        <f>'B) D RI'!Y63</f>
        <v>124585.75</v>
      </c>
      <c r="D61" s="19">
        <f>'B) D RI'!Z63</f>
        <v>1917</v>
      </c>
      <c r="E61" s="14">
        <f t="shared" si="0"/>
        <v>126502.75</v>
      </c>
      <c r="F61" s="19">
        <f>'B) D RI'!U63</f>
        <v>201844.58625000002</v>
      </c>
      <c r="G61" s="301">
        <f t="shared" si="1"/>
        <v>0.62673343065697407</v>
      </c>
      <c r="H61" s="66">
        <f t="shared" si="2"/>
        <v>62867.974999999999</v>
      </c>
    </row>
    <row r="62" spans="1:8" x14ac:dyDescent="0.25">
      <c r="A62" s="57">
        <f>'A) Base RI'!A64</f>
        <v>5493</v>
      </c>
      <c r="B62" s="64" t="str">
        <f>'A) Base RI'!B64</f>
        <v>Orny</v>
      </c>
      <c r="C62" s="39">
        <f>'B) D RI'!Y64</f>
        <v>224152.2</v>
      </c>
      <c r="D62" s="19">
        <f>'B) D RI'!Z64</f>
        <v>52227.15</v>
      </c>
      <c r="E62" s="14">
        <f t="shared" si="0"/>
        <v>276379.35000000003</v>
      </c>
      <c r="F62" s="19">
        <f>'B) D RI'!U64</f>
        <v>9079.112581664911</v>
      </c>
      <c r="G62" s="301">
        <f t="shared" si="1"/>
        <v>30.441229527007152</v>
      </c>
      <c r="H62" s="66">
        <f t="shared" si="2"/>
        <v>127744.24500000001</v>
      </c>
    </row>
    <row r="63" spans="1:8" x14ac:dyDescent="0.25">
      <c r="A63" s="57">
        <f>'A) Base RI'!A65</f>
        <v>5494</v>
      </c>
      <c r="B63" s="64" t="str">
        <f>'A) Base RI'!B65</f>
        <v>Pampigny</v>
      </c>
      <c r="C63" s="39">
        <f>'B) D RI'!Y65</f>
        <v>216399.75</v>
      </c>
      <c r="D63" s="19">
        <f>'B) D RI'!Z65</f>
        <v>21414.7</v>
      </c>
      <c r="E63" s="14">
        <f t="shared" si="0"/>
        <v>237814.45</v>
      </c>
      <c r="F63" s="19">
        <f>'B) D RI'!U65</f>
        <v>36797.992425396827</v>
      </c>
      <c r="G63" s="301">
        <f t="shared" si="1"/>
        <v>6.4627017488015976</v>
      </c>
      <c r="H63" s="66">
        <f t="shared" si="2"/>
        <v>114624.285</v>
      </c>
    </row>
    <row r="64" spans="1:8" x14ac:dyDescent="0.25">
      <c r="A64" s="57">
        <f>'A) Base RI'!A66</f>
        <v>5495</v>
      </c>
      <c r="B64" s="64" t="str">
        <f>'A) Base RI'!B66</f>
        <v>Penthalaz</v>
      </c>
      <c r="C64" s="39">
        <f>'B) D RI'!Y66</f>
        <v>230819.65000000002</v>
      </c>
      <c r="D64" s="19">
        <f>'B) D RI'!Z66</f>
        <v>168264.7</v>
      </c>
      <c r="E64" s="14">
        <f t="shared" si="0"/>
        <v>399084.35000000003</v>
      </c>
      <c r="F64" s="19">
        <f>'B) D RI'!U66</f>
        <v>99436.02810810809</v>
      </c>
      <c r="G64" s="301">
        <f t="shared" si="1"/>
        <v>4.013478390006795</v>
      </c>
      <c r="H64" s="66">
        <f t="shared" si="2"/>
        <v>165889.23500000002</v>
      </c>
    </row>
    <row r="65" spans="1:8" x14ac:dyDescent="0.25">
      <c r="A65" s="57">
        <f>'A) Base RI'!A67</f>
        <v>5496</v>
      </c>
      <c r="B65" s="64" t="str">
        <f>'A) Base RI'!B67</f>
        <v>Penthaz</v>
      </c>
      <c r="C65" s="39">
        <f>'B) D RI'!Y67</f>
        <v>109705.05</v>
      </c>
      <c r="D65" s="19">
        <f>'B) D RI'!Z67</f>
        <v>84768.55</v>
      </c>
      <c r="E65" s="14">
        <f t="shared" si="0"/>
        <v>194473.60000000001</v>
      </c>
      <c r="F65" s="19">
        <f>'B) D RI'!U67</f>
        <v>52905.64732394366</v>
      </c>
      <c r="G65" s="301">
        <f t="shared" si="1"/>
        <v>3.6758571123651396</v>
      </c>
      <c r="H65" s="66">
        <f t="shared" si="2"/>
        <v>80283.09</v>
      </c>
    </row>
    <row r="66" spans="1:8" x14ac:dyDescent="0.25">
      <c r="A66" s="57">
        <f>'A) Base RI'!A68</f>
        <v>5497</v>
      </c>
      <c r="B66" s="64" t="str">
        <f>'A) Base RI'!B68</f>
        <v>Pompaples</v>
      </c>
      <c r="C66" s="39">
        <f>'B) D RI'!Y68</f>
        <v>193091.40000000002</v>
      </c>
      <c r="D66" s="19">
        <f>'B) D RI'!Z68</f>
        <v>245491.55</v>
      </c>
      <c r="E66" s="14">
        <f t="shared" si="0"/>
        <v>438582.95</v>
      </c>
      <c r="F66" s="19">
        <f>'B) D RI'!U68</f>
        <v>22272.608181818188</v>
      </c>
      <c r="G66" s="301">
        <f t="shared" si="1"/>
        <v>19.691584677452759</v>
      </c>
      <c r="H66" s="66">
        <f t="shared" si="2"/>
        <v>170193.16500000001</v>
      </c>
    </row>
    <row r="67" spans="1:8" x14ac:dyDescent="0.25">
      <c r="A67" s="57">
        <f>'A) Base RI'!A69</f>
        <v>5498</v>
      </c>
      <c r="B67" s="64" t="str">
        <f>'A) Base RI'!B69</f>
        <v>La Sarraz</v>
      </c>
      <c r="C67" s="39">
        <f>'B) D RI'!Y69</f>
        <v>301253.25</v>
      </c>
      <c r="D67" s="19">
        <f>'B) D RI'!Z69</f>
        <v>77197.350000000006</v>
      </c>
      <c r="E67" s="14">
        <f t="shared" si="0"/>
        <v>378450.6</v>
      </c>
      <c r="F67" s="19">
        <f>'B) D RI'!U69</f>
        <v>73804.61909090908</v>
      </c>
      <c r="G67" s="301">
        <f t="shared" si="1"/>
        <v>5.1277359691246724</v>
      </c>
      <c r="H67" s="66">
        <f t="shared" si="2"/>
        <v>173785.83000000002</v>
      </c>
    </row>
    <row r="68" spans="1:8" x14ac:dyDescent="0.25">
      <c r="A68" s="57">
        <f>'A) Base RI'!A70</f>
        <v>5499</v>
      </c>
      <c r="B68" s="64" t="str">
        <f>'A) Base RI'!B70</f>
        <v>Senarclens</v>
      </c>
      <c r="C68" s="39">
        <f>'B) D RI'!Y70</f>
        <v>109428</v>
      </c>
      <c r="D68" s="19">
        <f>'B) D RI'!Z70</f>
        <v>12062.9</v>
      </c>
      <c r="E68" s="14">
        <f t="shared" si="0"/>
        <v>121490.9</v>
      </c>
      <c r="F68" s="19">
        <f>'B) D RI'!U70</f>
        <v>18585.936788321167</v>
      </c>
      <c r="G68" s="301">
        <f t="shared" si="1"/>
        <v>6.5367111372261393</v>
      </c>
      <c r="H68" s="66">
        <f t="shared" si="2"/>
        <v>58332.87</v>
      </c>
    </row>
    <row r="69" spans="1:8" x14ac:dyDescent="0.25">
      <c r="A69" s="57">
        <f>'A) Base RI'!A71</f>
        <v>5500</v>
      </c>
      <c r="B69" s="64" t="str">
        <f>'A) Base RI'!B71</f>
        <v>Sévery</v>
      </c>
      <c r="C69" s="39">
        <f>'B) D RI'!Y71</f>
        <v>11495</v>
      </c>
      <c r="D69" s="19">
        <f>'B) D RI'!Z71</f>
        <v>4855.1499999999996</v>
      </c>
      <c r="E69" s="14">
        <f t="shared" si="0"/>
        <v>16350.15</v>
      </c>
      <c r="F69" s="19">
        <f>'B) D RI'!U71</f>
        <v>8028.7526973684207</v>
      </c>
      <c r="G69" s="301">
        <f t="shared" si="1"/>
        <v>2.0364495727162053</v>
      </c>
      <c r="H69" s="66">
        <f t="shared" si="2"/>
        <v>7204.0450000000001</v>
      </c>
    </row>
    <row r="70" spans="1:8" x14ac:dyDescent="0.25">
      <c r="A70" s="57">
        <f>'A) Base RI'!A72</f>
        <v>5501</v>
      </c>
      <c r="B70" s="64" t="str">
        <f>'A) Base RI'!B72</f>
        <v>Sullens</v>
      </c>
      <c r="C70" s="39">
        <f>'B) D RI'!Y72</f>
        <v>344660.25</v>
      </c>
      <c r="D70" s="19">
        <f>'B) D RI'!Z72</f>
        <v>0</v>
      </c>
      <c r="E70" s="14">
        <f t="shared" ref="E70:E133" si="3">C70+D70</f>
        <v>344660.25</v>
      </c>
      <c r="F70" s="19">
        <f>'B) D RI'!U72</f>
        <v>35737.650142857143</v>
      </c>
      <c r="G70" s="301">
        <f t="shared" ref="G70:G133" si="4">E70/F70</f>
        <v>9.6441777403455546</v>
      </c>
      <c r="H70" s="66">
        <f t="shared" ref="H70:H133" si="5">(C70*$C$4)+(D70*$D$4)</f>
        <v>172330.125</v>
      </c>
    </row>
    <row r="71" spans="1:8" x14ac:dyDescent="0.25">
      <c r="A71" s="57">
        <f>'A) Base RI'!A73</f>
        <v>5503</v>
      </c>
      <c r="B71" s="64" t="str">
        <f>'A) Base RI'!B73</f>
        <v>Vufflens-la-Ville</v>
      </c>
      <c r="C71" s="39">
        <f>'B) D RI'!Y73</f>
        <v>565358.70000000007</v>
      </c>
      <c r="D71" s="19">
        <f>'B) D RI'!Z73</f>
        <v>107223.5</v>
      </c>
      <c r="E71" s="14">
        <f t="shared" si="3"/>
        <v>672582.20000000007</v>
      </c>
      <c r="F71" s="19">
        <f>'B) D RI'!U73</f>
        <v>64927.66542288557</v>
      </c>
      <c r="G71" s="301">
        <f t="shared" si="4"/>
        <v>10.358946307700288</v>
      </c>
      <c r="H71" s="66">
        <f t="shared" si="5"/>
        <v>314846.40000000002</v>
      </c>
    </row>
    <row r="72" spans="1:8" x14ac:dyDescent="0.25">
      <c r="A72" s="57">
        <f>'A) Base RI'!A74</f>
        <v>5511</v>
      </c>
      <c r="B72" s="64" t="str">
        <f>'A) Base RI'!B74</f>
        <v>Assens</v>
      </c>
      <c r="C72" s="39">
        <f>'B) D RI'!Y74</f>
        <v>186410.15</v>
      </c>
      <c r="D72" s="19">
        <f>'B) D RI'!Z74</f>
        <v>9371</v>
      </c>
      <c r="E72" s="14">
        <f t="shared" si="3"/>
        <v>195781.15</v>
      </c>
      <c r="F72" s="19">
        <f>'B) D RI'!U74</f>
        <v>39993.346428571429</v>
      </c>
      <c r="G72" s="301">
        <f t="shared" si="4"/>
        <v>4.8953430378642446</v>
      </c>
      <c r="H72" s="66">
        <f t="shared" si="5"/>
        <v>96016.375</v>
      </c>
    </row>
    <row r="73" spans="1:8" x14ac:dyDescent="0.25">
      <c r="A73" s="57">
        <f>'A) Base RI'!A75</f>
        <v>5512</v>
      </c>
      <c r="B73" s="64" t="str">
        <f>'A) Base RI'!B75</f>
        <v>Bercher</v>
      </c>
      <c r="C73" s="39">
        <f>'B) D RI'!Y75</f>
        <v>295342.3</v>
      </c>
      <c r="D73" s="19">
        <f>'B) D RI'!Z75</f>
        <v>25548.9</v>
      </c>
      <c r="E73" s="14">
        <f t="shared" si="3"/>
        <v>320891.2</v>
      </c>
      <c r="F73" s="19">
        <f>'B) D RI'!U75</f>
        <v>35096.262278481016</v>
      </c>
      <c r="G73" s="301">
        <f t="shared" si="4"/>
        <v>9.1431730665163116</v>
      </c>
      <c r="H73" s="66">
        <f t="shared" si="5"/>
        <v>155335.82</v>
      </c>
    </row>
    <row r="74" spans="1:8" x14ac:dyDescent="0.25">
      <c r="A74" s="57">
        <f>'A) Base RI'!A76</f>
        <v>5513</v>
      </c>
      <c r="B74" s="64" t="str">
        <f>'A) Base RI'!B76</f>
        <v>Bioley-Orjulaz</v>
      </c>
      <c r="C74" s="39">
        <f>'B) D RI'!Y76</f>
        <v>40181.899999999994</v>
      </c>
      <c r="D74" s="19">
        <f>'B) D RI'!Z76</f>
        <v>94517.85</v>
      </c>
      <c r="E74" s="14">
        <f t="shared" si="3"/>
        <v>134699.75</v>
      </c>
      <c r="F74" s="19">
        <f>'B) D RI'!U76</f>
        <v>22441.228030303031</v>
      </c>
      <c r="G74" s="301">
        <f t="shared" si="4"/>
        <v>6.0023341778850554</v>
      </c>
      <c r="H74" s="66">
        <f t="shared" si="5"/>
        <v>48446.304999999993</v>
      </c>
    </row>
    <row r="75" spans="1:8" x14ac:dyDescent="0.25">
      <c r="A75" s="57">
        <f>'A) Base RI'!A77</f>
        <v>5514</v>
      </c>
      <c r="B75" s="64" t="str">
        <f>'A) Base RI'!B77</f>
        <v>Bottens</v>
      </c>
      <c r="C75" s="39">
        <f>'B) D RI'!Y77</f>
        <v>253475.30000000002</v>
      </c>
      <c r="D75" s="19">
        <f>'B) D RI'!Z77</f>
        <v>10495.45</v>
      </c>
      <c r="E75" s="14">
        <f t="shared" si="3"/>
        <v>263970.75</v>
      </c>
      <c r="F75" s="19">
        <f>'B) D RI'!U77</f>
        <v>40579.944927536235</v>
      </c>
      <c r="G75" s="301">
        <f t="shared" si="4"/>
        <v>6.5049558463268884</v>
      </c>
      <c r="H75" s="66">
        <f t="shared" si="5"/>
        <v>129886.285</v>
      </c>
    </row>
    <row r="76" spans="1:8" x14ac:dyDescent="0.25">
      <c r="A76" s="57">
        <f>'A) Base RI'!A78</f>
        <v>5515</v>
      </c>
      <c r="B76" s="64" t="str">
        <f>'A) Base RI'!B78</f>
        <v>Bretigny-sur-Morrens</v>
      </c>
      <c r="C76" s="39">
        <f>'B) D RI'!Y78</f>
        <v>73644.049999999988</v>
      </c>
      <c r="D76" s="19">
        <f>'B) D RI'!Z78</f>
        <v>15317</v>
      </c>
      <c r="E76" s="14">
        <f t="shared" si="3"/>
        <v>88961.049999999988</v>
      </c>
      <c r="F76" s="19">
        <f>'B) D RI'!U78</f>
        <v>25654.980410958906</v>
      </c>
      <c r="G76" s="301">
        <f t="shared" si="4"/>
        <v>3.4675937605471314</v>
      </c>
      <c r="H76" s="66">
        <f t="shared" si="5"/>
        <v>41417.124999999993</v>
      </c>
    </row>
    <row r="77" spans="1:8" x14ac:dyDescent="0.25">
      <c r="A77" s="57">
        <f>'A) Base RI'!A79</f>
        <v>5516</v>
      </c>
      <c r="B77" s="64" t="str">
        <f>'A) Base RI'!B79</f>
        <v>Cugy</v>
      </c>
      <c r="C77" s="39">
        <f>'B) D RI'!Y79</f>
        <v>409342.15</v>
      </c>
      <c r="D77" s="19">
        <f>'B) D RI'!Z79</f>
        <v>113660.65</v>
      </c>
      <c r="E77" s="14">
        <f t="shared" si="3"/>
        <v>523002.80000000005</v>
      </c>
      <c r="F77" s="19">
        <f>'B) D RI'!U79</f>
        <v>107712.55485714282</v>
      </c>
      <c r="G77" s="301">
        <f t="shared" si="4"/>
        <v>4.8555416840093431</v>
      </c>
      <c r="H77" s="66">
        <f t="shared" si="5"/>
        <v>238769.27000000002</v>
      </c>
    </row>
    <row r="78" spans="1:8" x14ac:dyDescent="0.25">
      <c r="A78" s="57">
        <f>'A) Base RI'!A80</f>
        <v>5518</v>
      </c>
      <c r="B78" s="64" t="str">
        <f>'A) Base RI'!B80</f>
        <v>Echallens</v>
      </c>
      <c r="C78" s="39">
        <f>'B) D RI'!Y80</f>
        <v>1273515.8500000001</v>
      </c>
      <c r="D78" s="19">
        <f>'B) D RI'!Z80</f>
        <v>194399.35</v>
      </c>
      <c r="E78" s="14">
        <f t="shared" si="3"/>
        <v>1467915.2000000002</v>
      </c>
      <c r="F78" s="19">
        <f>'B) D RI'!U80</f>
        <v>187267.45324324328</v>
      </c>
      <c r="G78" s="301">
        <f t="shared" si="4"/>
        <v>7.8386028889564319</v>
      </c>
      <c r="H78" s="66">
        <f t="shared" si="5"/>
        <v>695077.7300000001</v>
      </c>
    </row>
    <row r="79" spans="1:8" x14ac:dyDescent="0.25">
      <c r="A79" s="57">
        <f>'A) Base RI'!A81</f>
        <v>5520</v>
      </c>
      <c r="B79" s="64" t="str">
        <f>'A) Base RI'!B81</f>
        <v>Essertines-sur-Yverdon</v>
      </c>
      <c r="C79" s="39">
        <f>'B) D RI'!Y81</f>
        <v>115422.1</v>
      </c>
      <c r="D79" s="19">
        <f>'B) D RI'!Z81</f>
        <v>9444.85</v>
      </c>
      <c r="E79" s="14">
        <f t="shared" si="3"/>
        <v>124866.95000000001</v>
      </c>
      <c r="F79" s="19">
        <f>'B) D RI'!U81</f>
        <v>28096.496575342466</v>
      </c>
      <c r="G79" s="301">
        <f t="shared" si="4"/>
        <v>4.4442177929608304</v>
      </c>
      <c r="H79" s="66">
        <f t="shared" si="5"/>
        <v>60544.505000000005</v>
      </c>
    </row>
    <row r="80" spans="1:8" x14ac:dyDescent="0.25">
      <c r="A80" s="57">
        <f>'A) Base RI'!A82</f>
        <v>5521</v>
      </c>
      <c r="B80" s="64" t="str">
        <f>'A) Base RI'!B82</f>
        <v>Etagnières</v>
      </c>
      <c r="C80" s="39">
        <f>'B) D RI'!Y82</f>
        <v>83605</v>
      </c>
      <c r="D80" s="19">
        <f>'B) D RI'!Z82</f>
        <v>43025.9</v>
      </c>
      <c r="E80" s="14">
        <f t="shared" si="3"/>
        <v>126630.9</v>
      </c>
      <c r="F80" s="19">
        <f>'B) D RI'!U82</f>
        <v>40658.047260273968</v>
      </c>
      <c r="G80" s="301">
        <f t="shared" si="4"/>
        <v>3.1145347239469641</v>
      </c>
      <c r="H80" s="66">
        <f t="shared" si="5"/>
        <v>54710.270000000004</v>
      </c>
    </row>
    <row r="81" spans="1:8" x14ac:dyDescent="0.25">
      <c r="A81" s="57">
        <f>'A) Base RI'!A83</f>
        <v>5522</v>
      </c>
      <c r="B81" s="64" t="str">
        <f>'A) Base RI'!B83</f>
        <v>Fey</v>
      </c>
      <c r="C81" s="39">
        <f>'B) D RI'!Y83</f>
        <v>151314.45000000001</v>
      </c>
      <c r="D81" s="19">
        <f>'B) D RI'!Z83</f>
        <v>9692.35</v>
      </c>
      <c r="E81" s="14">
        <f t="shared" si="3"/>
        <v>161006.80000000002</v>
      </c>
      <c r="F81" s="19">
        <f>'B) D RI'!U83</f>
        <v>19109.159333333333</v>
      </c>
      <c r="G81" s="301">
        <f t="shared" si="4"/>
        <v>8.4256349110630691</v>
      </c>
      <c r="H81" s="66">
        <f t="shared" si="5"/>
        <v>78564.930000000008</v>
      </c>
    </row>
    <row r="82" spans="1:8" x14ac:dyDescent="0.25">
      <c r="A82" s="57">
        <f>'A) Base RI'!A84</f>
        <v>5523</v>
      </c>
      <c r="B82" s="64" t="str">
        <f>'A) Base RI'!B84</f>
        <v>Froideville</v>
      </c>
      <c r="C82" s="39">
        <f>'B) D RI'!Y84</f>
        <v>605293.44999999995</v>
      </c>
      <c r="D82" s="19">
        <f>'B) D RI'!Z84</f>
        <v>2731.4</v>
      </c>
      <c r="E82" s="14">
        <f t="shared" si="3"/>
        <v>608024.85</v>
      </c>
      <c r="F82" s="19">
        <f>'B) D RI'!U84</f>
        <v>77198.057236842113</v>
      </c>
      <c r="G82" s="301">
        <f t="shared" si="4"/>
        <v>7.8761677659140021</v>
      </c>
      <c r="H82" s="66">
        <f t="shared" si="5"/>
        <v>303466.14499999996</v>
      </c>
    </row>
    <row r="83" spans="1:8" x14ac:dyDescent="0.25">
      <c r="A83" s="57">
        <f>'A) Base RI'!A85</f>
        <v>5527</v>
      </c>
      <c r="B83" s="64" t="str">
        <f>'A) Base RI'!B85</f>
        <v>Morrens</v>
      </c>
      <c r="C83" s="39">
        <f>'B) D RI'!Y85</f>
        <v>65820.800000000003</v>
      </c>
      <c r="D83" s="19">
        <f>'B) D RI'!Z85</f>
        <v>12170</v>
      </c>
      <c r="E83" s="14">
        <f t="shared" si="3"/>
        <v>77990.8</v>
      </c>
      <c r="F83" s="19">
        <f>'B) D RI'!U85</f>
        <v>37560.717323943667</v>
      </c>
      <c r="G83" s="301">
        <f t="shared" si="4"/>
        <v>2.0763927197493524</v>
      </c>
      <c r="H83" s="66">
        <f t="shared" si="5"/>
        <v>36561.4</v>
      </c>
    </row>
    <row r="84" spans="1:8" x14ac:dyDescent="0.25">
      <c r="A84" s="57">
        <f>'A) Base RI'!A86</f>
        <v>5529</v>
      </c>
      <c r="B84" s="64" t="str">
        <f>'A) Base RI'!B86</f>
        <v>Oulens-sous-Echallens</v>
      </c>
      <c r="C84" s="39">
        <f>'B) D RI'!Y86</f>
        <v>74163.100000000006</v>
      </c>
      <c r="D84" s="19">
        <f>'B) D RI'!Z86</f>
        <v>0</v>
      </c>
      <c r="E84" s="14">
        <f t="shared" si="3"/>
        <v>74163.100000000006</v>
      </c>
      <c r="F84" s="19">
        <f>'B) D RI'!U86</f>
        <v>19874.862394366199</v>
      </c>
      <c r="G84" s="301">
        <f t="shared" si="4"/>
        <v>3.7315025648188915</v>
      </c>
      <c r="H84" s="66">
        <f t="shared" si="5"/>
        <v>37081.550000000003</v>
      </c>
    </row>
    <row r="85" spans="1:8" x14ac:dyDescent="0.25">
      <c r="A85" s="57">
        <f>'A) Base RI'!A87</f>
        <v>5530</v>
      </c>
      <c r="B85" s="64" t="str">
        <f>'A) Base RI'!B87</f>
        <v>Pailly</v>
      </c>
      <c r="C85" s="39">
        <f>'B) D RI'!Y87</f>
        <v>11851.5</v>
      </c>
      <c r="D85" s="19">
        <f>'B) D RI'!Z87</f>
        <v>0</v>
      </c>
      <c r="E85" s="14">
        <f t="shared" si="3"/>
        <v>11851.5</v>
      </c>
      <c r="F85" s="19">
        <f>'B) D RI'!U87</f>
        <v>15272.027655913982</v>
      </c>
      <c r="G85" s="301">
        <f t="shared" si="4"/>
        <v>0.77602661984511223</v>
      </c>
      <c r="H85" s="66">
        <f t="shared" si="5"/>
        <v>5925.75</v>
      </c>
    </row>
    <row r="86" spans="1:8" x14ac:dyDescent="0.25">
      <c r="A86" s="57">
        <f>'A) Base RI'!A88</f>
        <v>5531</v>
      </c>
      <c r="B86" s="64" t="str">
        <f>'A) Base RI'!B88</f>
        <v>Penthéréaz</v>
      </c>
      <c r="C86" s="39">
        <f>'B) D RI'!Y88</f>
        <v>40591.25</v>
      </c>
      <c r="D86" s="19">
        <f>'B) D RI'!Z88</f>
        <v>26264.9</v>
      </c>
      <c r="E86" s="14">
        <f t="shared" si="3"/>
        <v>66856.149999999994</v>
      </c>
      <c r="F86" s="19">
        <f>'B) D RI'!U88</f>
        <v>12101.700128205126</v>
      </c>
      <c r="G86" s="301">
        <f t="shared" si="4"/>
        <v>5.5245254213645616</v>
      </c>
      <c r="H86" s="66">
        <f t="shared" si="5"/>
        <v>28175.095000000001</v>
      </c>
    </row>
    <row r="87" spans="1:8" x14ac:dyDescent="0.25">
      <c r="A87" s="57">
        <f>'A) Base RI'!A89</f>
        <v>5533</v>
      </c>
      <c r="B87" s="64" t="str">
        <f>'A) Base RI'!B89</f>
        <v>Poliez-Pittet</v>
      </c>
      <c r="C87" s="39">
        <f>'B) D RI'!Y89</f>
        <v>49055.65</v>
      </c>
      <c r="D87" s="19">
        <f>'B) D RI'!Z89</f>
        <v>0</v>
      </c>
      <c r="E87" s="14">
        <f t="shared" si="3"/>
        <v>49055.65</v>
      </c>
      <c r="F87" s="19">
        <f>'B) D RI'!U89</f>
        <v>27045.170985915491</v>
      </c>
      <c r="G87" s="301">
        <f t="shared" si="4"/>
        <v>1.8138413702596692</v>
      </c>
      <c r="H87" s="66">
        <f t="shared" si="5"/>
        <v>24527.825000000001</v>
      </c>
    </row>
    <row r="88" spans="1:8" x14ac:dyDescent="0.25">
      <c r="A88" s="57">
        <f>'A) Base RI'!A90</f>
        <v>5534</v>
      </c>
      <c r="B88" s="64" t="str">
        <f>'A) Base RI'!B90</f>
        <v>Rueyres</v>
      </c>
      <c r="C88" s="39">
        <f>'B) D RI'!Y90</f>
        <v>270515.45</v>
      </c>
      <c r="D88" s="19">
        <f>'B) D RI'!Z90</f>
        <v>23141.9</v>
      </c>
      <c r="E88" s="14">
        <f t="shared" si="3"/>
        <v>293657.35000000003</v>
      </c>
      <c r="F88" s="19">
        <f>'B) D RI'!U90</f>
        <v>10934.157945205479</v>
      </c>
      <c r="G88" s="301">
        <f t="shared" si="4"/>
        <v>26.856878368833687</v>
      </c>
      <c r="H88" s="66">
        <f t="shared" si="5"/>
        <v>142200.29500000001</v>
      </c>
    </row>
    <row r="89" spans="1:8" x14ac:dyDescent="0.25">
      <c r="A89" s="57">
        <f>'A) Base RI'!A91</f>
        <v>5535</v>
      </c>
      <c r="B89" s="64" t="str">
        <f>'A) Base RI'!B91</f>
        <v>Saint-Barthélemy</v>
      </c>
      <c r="C89" s="39">
        <f>'B) D RI'!Y91</f>
        <v>24638.1</v>
      </c>
      <c r="D89" s="19">
        <f>'B) D RI'!Z91</f>
        <v>29288.9</v>
      </c>
      <c r="E89" s="14">
        <f t="shared" si="3"/>
        <v>53927</v>
      </c>
      <c r="F89" s="19">
        <f>'B) D RI'!U91</f>
        <v>20697.547200000001</v>
      </c>
      <c r="G89" s="301">
        <f t="shared" si="4"/>
        <v>2.6054778123660953</v>
      </c>
      <c r="H89" s="66">
        <f t="shared" si="5"/>
        <v>21105.72</v>
      </c>
    </row>
    <row r="90" spans="1:8" x14ac:dyDescent="0.25">
      <c r="A90" s="57">
        <f>'A) Base RI'!A92</f>
        <v>5537</v>
      </c>
      <c r="B90" s="64" t="str">
        <f>'A) Base RI'!B92</f>
        <v>Villars-le-Terroir</v>
      </c>
      <c r="C90" s="39">
        <f>'B) D RI'!Y92</f>
        <v>116712.45000000001</v>
      </c>
      <c r="D90" s="19">
        <f>'B) D RI'!Z92</f>
        <v>191.15</v>
      </c>
      <c r="E90" s="14">
        <f t="shared" si="3"/>
        <v>116903.6</v>
      </c>
      <c r="F90" s="19">
        <f>'B) D RI'!U92</f>
        <v>30041.138287671231</v>
      </c>
      <c r="G90" s="301">
        <f t="shared" si="4"/>
        <v>3.8914504131148986</v>
      </c>
      <c r="H90" s="66">
        <f t="shared" si="5"/>
        <v>58413.570000000007</v>
      </c>
    </row>
    <row r="91" spans="1:8" x14ac:dyDescent="0.25">
      <c r="A91" s="57">
        <f>'A) Base RI'!A93</f>
        <v>5539</v>
      </c>
      <c r="B91" s="64" t="str">
        <f>'A) Base RI'!B93</f>
        <v>Vuarrens</v>
      </c>
      <c r="C91" s="39">
        <f>'B) D RI'!Y93</f>
        <v>83969.05</v>
      </c>
      <c r="D91" s="19">
        <f>'B) D RI'!Z93</f>
        <v>24256.6</v>
      </c>
      <c r="E91" s="14">
        <f t="shared" si="3"/>
        <v>108225.65</v>
      </c>
      <c r="F91" s="19">
        <f>'B) D RI'!U93</f>
        <v>22727.031566666661</v>
      </c>
      <c r="G91" s="301">
        <f t="shared" si="4"/>
        <v>4.7619791296780116</v>
      </c>
      <c r="H91" s="66">
        <f t="shared" si="5"/>
        <v>49261.505000000005</v>
      </c>
    </row>
    <row r="92" spans="1:8" x14ac:dyDescent="0.25">
      <c r="A92" s="57">
        <f>'A) Base RI'!A94</f>
        <v>5540</v>
      </c>
      <c r="B92" s="64" t="str">
        <f>'A) Base RI'!B94</f>
        <v>Montilliez</v>
      </c>
      <c r="C92" s="39">
        <f>'B) D RI'!Y94</f>
        <v>275470.2</v>
      </c>
      <c r="D92" s="19">
        <f>'B) D RI'!Z94</f>
        <v>6178</v>
      </c>
      <c r="E92" s="14">
        <f t="shared" si="3"/>
        <v>281648.2</v>
      </c>
      <c r="F92" s="19">
        <f>'B) D RI'!U94</f>
        <v>54875.674391891895</v>
      </c>
      <c r="G92" s="301">
        <f t="shared" si="4"/>
        <v>5.1324781539562219</v>
      </c>
      <c r="H92" s="66">
        <f t="shared" si="5"/>
        <v>139588.5</v>
      </c>
    </row>
    <row r="93" spans="1:8" x14ac:dyDescent="0.25">
      <c r="A93" s="57">
        <f>'A) Base RI'!A95</f>
        <v>5541</v>
      </c>
      <c r="B93" s="64" t="str">
        <f>'A) Base RI'!B95</f>
        <v>Goumoëns</v>
      </c>
      <c r="C93" s="39">
        <f>'B) D RI'!Y95</f>
        <v>352593.25</v>
      </c>
      <c r="D93" s="19">
        <f>'B) D RI'!Z95</f>
        <v>4809.55</v>
      </c>
      <c r="E93" s="14">
        <f t="shared" si="3"/>
        <v>357402.8</v>
      </c>
      <c r="F93" s="19">
        <f>'B) D RI'!U95</f>
        <v>32498.070519480509</v>
      </c>
      <c r="G93" s="301">
        <f t="shared" si="4"/>
        <v>10.997662146919151</v>
      </c>
      <c r="H93" s="66">
        <f t="shared" si="5"/>
        <v>177739.49</v>
      </c>
    </row>
    <row r="94" spans="1:8" x14ac:dyDescent="0.25">
      <c r="A94" s="57">
        <f>'A) Base RI'!A96</f>
        <v>5551</v>
      </c>
      <c r="B94" s="64" t="str">
        <f>'A) Base RI'!B96</f>
        <v>Bonvillars</v>
      </c>
      <c r="C94" s="39">
        <f>'B) D RI'!Y96</f>
        <v>34314.5</v>
      </c>
      <c r="D94" s="19">
        <f>'B) D RI'!Z96</f>
        <v>10139.85</v>
      </c>
      <c r="E94" s="14">
        <f t="shared" si="3"/>
        <v>44454.35</v>
      </c>
      <c r="F94" s="19">
        <f>'B) D RI'!U96</f>
        <v>19291.965896103895</v>
      </c>
      <c r="G94" s="301">
        <f t="shared" si="4"/>
        <v>2.3042934162027402</v>
      </c>
      <c r="H94" s="66">
        <f t="shared" si="5"/>
        <v>20199.205000000002</v>
      </c>
    </row>
    <row r="95" spans="1:8" x14ac:dyDescent="0.25">
      <c r="A95" s="57">
        <f>'A) Base RI'!A97</f>
        <v>5552</v>
      </c>
      <c r="B95" s="64" t="str">
        <f>'A) Base RI'!B97</f>
        <v>Bullet</v>
      </c>
      <c r="C95" s="39">
        <f>'B) D RI'!Y97</f>
        <v>160465.9</v>
      </c>
      <c r="D95" s="19">
        <f>'B) D RI'!Z97</f>
        <v>41288.050000000003</v>
      </c>
      <c r="E95" s="14">
        <f t="shared" si="3"/>
        <v>201753.95</v>
      </c>
      <c r="F95" s="19">
        <f>'B) D RI'!U97</f>
        <v>15735.537571428569</v>
      </c>
      <c r="G95" s="301">
        <f t="shared" si="4"/>
        <v>12.821547982340938</v>
      </c>
      <c r="H95" s="66">
        <f t="shared" si="5"/>
        <v>92619.364999999991</v>
      </c>
    </row>
    <row r="96" spans="1:8" x14ac:dyDescent="0.25">
      <c r="A96" s="57">
        <f>'A) Base RI'!A98</f>
        <v>5553</v>
      </c>
      <c r="B96" s="64" t="str">
        <f>'A) Base RI'!B98</f>
        <v>Champagne</v>
      </c>
      <c r="C96" s="39">
        <f>'B) D RI'!Y98</f>
        <v>284256.90000000002</v>
      </c>
      <c r="D96" s="19">
        <f>'B) D RI'!Z98</f>
        <v>73437.649999999994</v>
      </c>
      <c r="E96" s="14">
        <f t="shared" si="3"/>
        <v>357694.55000000005</v>
      </c>
      <c r="F96" s="19">
        <f>'B) D RI'!U98</f>
        <v>33369.783650793652</v>
      </c>
      <c r="G96" s="301">
        <f t="shared" si="4"/>
        <v>10.719115045610815</v>
      </c>
      <c r="H96" s="66">
        <f t="shared" si="5"/>
        <v>164159.745</v>
      </c>
    </row>
    <row r="97" spans="1:8" x14ac:dyDescent="0.25">
      <c r="A97" s="57">
        <f>'A) Base RI'!A99</f>
        <v>5554</v>
      </c>
      <c r="B97" s="64" t="str">
        <f>'A) Base RI'!B99</f>
        <v>Concise</v>
      </c>
      <c r="C97" s="39">
        <f>'B) D RI'!Y99</f>
        <v>152608.75</v>
      </c>
      <c r="D97" s="19">
        <f>'B) D RI'!Z99</f>
        <v>2250.0500000000002</v>
      </c>
      <c r="E97" s="14">
        <f t="shared" si="3"/>
        <v>154858.79999999999</v>
      </c>
      <c r="F97" s="19">
        <f>'B) D RI'!U99</f>
        <v>28986.7088</v>
      </c>
      <c r="G97" s="301">
        <f t="shared" si="4"/>
        <v>5.3424071379914642</v>
      </c>
      <c r="H97" s="66">
        <f t="shared" si="5"/>
        <v>76979.39</v>
      </c>
    </row>
    <row r="98" spans="1:8" x14ac:dyDescent="0.25">
      <c r="A98" s="57">
        <f>'A) Base RI'!A100</f>
        <v>5555</v>
      </c>
      <c r="B98" s="64" t="str">
        <f>'A) Base RI'!B100</f>
        <v>Corcelles-près-Concise</v>
      </c>
      <c r="C98" s="39">
        <f>'B) D RI'!Y100</f>
        <v>77973.149999999994</v>
      </c>
      <c r="D98" s="19">
        <f>'B) D RI'!Z100</f>
        <v>7907.7</v>
      </c>
      <c r="E98" s="14">
        <f t="shared" si="3"/>
        <v>85880.849999999991</v>
      </c>
      <c r="F98" s="19">
        <f>'B) D RI'!U100</f>
        <v>11040.372394366199</v>
      </c>
      <c r="G98" s="301">
        <f t="shared" si="4"/>
        <v>7.7788001103861504</v>
      </c>
      <c r="H98" s="66">
        <f t="shared" si="5"/>
        <v>41358.884999999995</v>
      </c>
    </row>
    <row r="99" spans="1:8" x14ac:dyDescent="0.25">
      <c r="A99" s="57">
        <f>'A) Base RI'!A101</f>
        <v>5556</v>
      </c>
      <c r="B99" s="64" t="str">
        <f>'A) Base RI'!B101</f>
        <v>Fiez</v>
      </c>
      <c r="C99" s="39">
        <f>'B) D RI'!Y101</f>
        <v>49851.8</v>
      </c>
      <c r="D99" s="19">
        <f>'B) D RI'!Z101</f>
        <v>0</v>
      </c>
      <c r="E99" s="14">
        <f t="shared" si="3"/>
        <v>49851.8</v>
      </c>
      <c r="F99" s="19">
        <f>'B) D RI'!U101</f>
        <v>12472.754202898552</v>
      </c>
      <c r="G99" s="301">
        <f t="shared" si="4"/>
        <v>3.9968558017775182</v>
      </c>
      <c r="H99" s="66">
        <f t="shared" si="5"/>
        <v>24925.9</v>
      </c>
    </row>
    <row r="100" spans="1:8" x14ac:dyDescent="0.25">
      <c r="A100" s="57">
        <f>'A) Base RI'!A102</f>
        <v>5557</v>
      </c>
      <c r="B100" s="64" t="str">
        <f>'A) Base RI'!B102</f>
        <v>Fontaines-sur-Grandson</v>
      </c>
      <c r="C100" s="39">
        <f>'B) D RI'!Y102</f>
        <v>34468.85</v>
      </c>
      <c r="D100" s="19">
        <f>'B) D RI'!Z102</f>
        <v>1148.05</v>
      </c>
      <c r="E100" s="14">
        <f t="shared" si="3"/>
        <v>35616.9</v>
      </c>
      <c r="F100" s="19">
        <f>'B) D RI'!U102</f>
        <v>4030.2872463768117</v>
      </c>
      <c r="G100" s="301">
        <f t="shared" si="4"/>
        <v>8.837310549519577</v>
      </c>
      <c r="H100" s="66">
        <f t="shared" si="5"/>
        <v>17578.84</v>
      </c>
    </row>
    <row r="101" spans="1:8" x14ac:dyDescent="0.25">
      <c r="A101" s="57">
        <f>'A) Base RI'!A103</f>
        <v>5559</v>
      </c>
      <c r="B101" s="64" t="str">
        <f>'A) Base RI'!B103</f>
        <v>Giez</v>
      </c>
      <c r="C101" s="39">
        <f>'B) D RI'!Y103</f>
        <v>323547.34999999998</v>
      </c>
      <c r="D101" s="19">
        <f>'B) D RI'!Z103</f>
        <v>19419.5</v>
      </c>
      <c r="E101" s="14">
        <f t="shared" si="3"/>
        <v>342966.85</v>
      </c>
      <c r="F101" s="19">
        <f>'B) D RI'!U103</f>
        <v>18149.138484848489</v>
      </c>
      <c r="G101" s="301">
        <f t="shared" si="4"/>
        <v>18.897142158363067</v>
      </c>
      <c r="H101" s="66">
        <f t="shared" si="5"/>
        <v>167599.52499999999</v>
      </c>
    </row>
    <row r="102" spans="1:8" x14ac:dyDescent="0.25">
      <c r="A102" s="57">
        <f>'A) Base RI'!A104</f>
        <v>5560</v>
      </c>
      <c r="B102" s="64" t="str">
        <f>'A) Base RI'!B104</f>
        <v>Grandevent</v>
      </c>
      <c r="C102" s="39">
        <f>'B) D RI'!Y104</f>
        <v>11872.900000000001</v>
      </c>
      <c r="D102" s="19">
        <f>'B) D RI'!Z104</f>
        <v>0</v>
      </c>
      <c r="E102" s="14">
        <f t="shared" si="3"/>
        <v>11872.900000000001</v>
      </c>
      <c r="F102" s="19">
        <f>'B) D RI'!U104</f>
        <v>6446.6273529411765</v>
      </c>
      <c r="G102" s="301">
        <f t="shared" si="4"/>
        <v>1.8417227101832045</v>
      </c>
      <c r="H102" s="66">
        <f t="shared" si="5"/>
        <v>5936.4500000000007</v>
      </c>
    </row>
    <row r="103" spans="1:8" x14ac:dyDescent="0.25">
      <c r="A103" s="57">
        <f>'A) Base RI'!A105</f>
        <v>5561</v>
      </c>
      <c r="B103" s="64" t="str">
        <f>'A) Base RI'!B105</f>
        <v>Grandson</v>
      </c>
      <c r="C103" s="39">
        <f>'B) D RI'!Y105</f>
        <v>662662.05000000005</v>
      </c>
      <c r="D103" s="19">
        <f>'B) D RI'!Z105</f>
        <v>366017.15</v>
      </c>
      <c r="E103" s="14">
        <f t="shared" si="3"/>
        <v>1028679.2000000001</v>
      </c>
      <c r="F103" s="19">
        <f>'B) D RI'!U105</f>
        <v>115170.40130434782</v>
      </c>
      <c r="G103" s="301">
        <f t="shared" si="4"/>
        <v>8.9318018201710156</v>
      </c>
      <c r="H103" s="66">
        <f t="shared" si="5"/>
        <v>441136.17000000004</v>
      </c>
    </row>
    <row r="104" spans="1:8" x14ac:dyDescent="0.25">
      <c r="A104" s="57">
        <f>'A) Base RI'!A106</f>
        <v>5562</v>
      </c>
      <c r="B104" s="64" t="str">
        <f>'A) Base RI'!B106</f>
        <v>Mauborget</v>
      </c>
      <c r="C104" s="39">
        <f>'B) D RI'!Y106</f>
        <v>16048.9</v>
      </c>
      <c r="D104" s="19">
        <f>'B) D RI'!Z106</f>
        <v>0</v>
      </c>
      <c r="E104" s="14">
        <f t="shared" si="3"/>
        <v>16048.9</v>
      </c>
      <c r="F104" s="19">
        <f>'B) D RI'!U106</f>
        <v>3662.5545714285713</v>
      </c>
      <c r="G104" s="301">
        <f t="shared" si="4"/>
        <v>4.3818869281011592</v>
      </c>
      <c r="H104" s="66">
        <f t="shared" si="5"/>
        <v>8024.45</v>
      </c>
    </row>
    <row r="105" spans="1:8" x14ac:dyDescent="0.25">
      <c r="A105" s="57">
        <f>'A) Base RI'!A107</f>
        <v>5563</v>
      </c>
      <c r="B105" s="64" t="str">
        <f>'A) Base RI'!B107</f>
        <v>Mutrux</v>
      </c>
      <c r="C105" s="39">
        <f>'B) D RI'!Y107</f>
        <v>26831.75</v>
      </c>
      <c r="D105" s="19">
        <f>'B) D RI'!Z107</f>
        <v>0</v>
      </c>
      <c r="E105" s="14">
        <f t="shared" si="3"/>
        <v>26831.75</v>
      </c>
      <c r="F105" s="19">
        <f>'B) D RI'!U107</f>
        <v>4275.1686624203812</v>
      </c>
      <c r="G105" s="301">
        <f t="shared" si="4"/>
        <v>6.2761851329648453</v>
      </c>
      <c r="H105" s="66">
        <f t="shared" si="5"/>
        <v>13415.875</v>
      </c>
    </row>
    <row r="106" spans="1:8" x14ac:dyDescent="0.25">
      <c r="A106" s="57">
        <f>'A) Base RI'!A108</f>
        <v>5564</v>
      </c>
      <c r="B106" s="64" t="str">
        <f>'A) Base RI'!B108</f>
        <v>Novalles</v>
      </c>
      <c r="C106" s="39">
        <f>'B) D RI'!Y108</f>
        <v>29940.25</v>
      </c>
      <c r="D106" s="19">
        <f>'B) D RI'!Z108</f>
        <v>0</v>
      </c>
      <c r="E106" s="14">
        <f t="shared" si="3"/>
        <v>29940.25</v>
      </c>
      <c r="F106" s="19">
        <f>'B) D RI'!U108</f>
        <v>2063.0078618421053</v>
      </c>
      <c r="G106" s="301">
        <f t="shared" si="4"/>
        <v>14.51291124662302</v>
      </c>
      <c r="H106" s="66">
        <f t="shared" si="5"/>
        <v>14970.125</v>
      </c>
    </row>
    <row r="107" spans="1:8" x14ac:dyDescent="0.25">
      <c r="A107" s="57">
        <f>'A) Base RI'!A109</f>
        <v>5565</v>
      </c>
      <c r="B107" s="64" t="str">
        <f>'A) Base RI'!B109</f>
        <v>Onnens</v>
      </c>
      <c r="C107" s="39">
        <f>'B) D RI'!Y109</f>
        <v>19983.5</v>
      </c>
      <c r="D107" s="19">
        <f>'B) D RI'!Z109</f>
        <v>25568.9</v>
      </c>
      <c r="E107" s="14">
        <f t="shared" si="3"/>
        <v>45552.4</v>
      </c>
      <c r="F107" s="19">
        <f>'B) D RI'!U109</f>
        <v>17902.806410256413</v>
      </c>
      <c r="G107" s="301">
        <f t="shared" si="4"/>
        <v>2.544427893377839</v>
      </c>
      <c r="H107" s="66">
        <f t="shared" si="5"/>
        <v>17662.419999999998</v>
      </c>
    </row>
    <row r="108" spans="1:8" x14ac:dyDescent="0.25">
      <c r="A108" s="57">
        <f>'A) Base RI'!A110</f>
        <v>5566</v>
      </c>
      <c r="B108" s="64" t="str">
        <f>'A) Base RI'!B110</f>
        <v>Provence</v>
      </c>
      <c r="C108" s="39">
        <f>'B) D RI'!Y110</f>
        <v>49982.55</v>
      </c>
      <c r="D108" s="19">
        <f>'B) D RI'!Z110</f>
        <v>75885.149999999994</v>
      </c>
      <c r="E108" s="14">
        <f t="shared" si="3"/>
        <v>125867.7</v>
      </c>
      <c r="F108" s="19">
        <f>'B) D RI'!U110</f>
        <v>8605.0976954732487</v>
      </c>
      <c r="G108" s="301">
        <f t="shared" si="4"/>
        <v>14.627108773699719</v>
      </c>
      <c r="H108" s="66">
        <f t="shared" si="5"/>
        <v>47756.82</v>
      </c>
    </row>
    <row r="109" spans="1:8" x14ac:dyDescent="0.25">
      <c r="A109" s="57">
        <f>'A) Base RI'!A111</f>
        <v>5568</v>
      </c>
      <c r="B109" s="64" t="str">
        <f>'A) Base RI'!B111</f>
        <v>Sainte-Croix</v>
      </c>
      <c r="C109" s="39">
        <f>'B) D RI'!Y111</f>
        <v>568074.69999999995</v>
      </c>
      <c r="D109" s="19">
        <f>'B) D RI'!Z111</f>
        <v>1980595.05</v>
      </c>
      <c r="E109" s="14">
        <f t="shared" si="3"/>
        <v>2548669.75</v>
      </c>
      <c r="F109" s="19">
        <f>'B) D RI'!U111</f>
        <v>96229.339714285714</v>
      </c>
      <c r="G109" s="301">
        <f t="shared" si="4"/>
        <v>26.485370860563407</v>
      </c>
      <c r="H109" s="66">
        <f t="shared" si="5"/>
        <v>878215.86499999999</v>
      </c>
    </row>
    <row r="110" spans="1:8" x14ac:dyDescent="0.25">
      <c r="A110" s="57">
        <f>'A) Base RI'!A112</f>
        <v>5571</v>
      </c>
      <c r="B110" s="64" t="str">
        <f>'A) Base RI'!B112</f>
        <v>Tévenon</v>
      </c>
      <c r="C110" s="39">
        <f>'B) D RI'!Y112</f>
        <v>359901.65</v>
      </c>
      <c r="D110" s="19">
        <f>'B) D RI'!Z112</f>
        <v>60704.55</v>
      </c>
      <c r="E110" s="14">
        <f t="shared" si="3"/>
        <v>420606.2</v>
      </c>
      <c r="F110" s="19">
        <f>'B) D RI'!U112</f>
        <v>20963.465799086756</v>
      </c>
      <c r="G110" s="301">
        <f t="shared" si="4"/>
        <v>20.063772089552248</v>
      </c>
      <c r="H110" s="66">
        <f t="shared" si="5"/>
        <v>198162.19</v>
      </c>
    </row>
    <row r="111" spans="1:8" x14ac:dyDescent="0.25">
      <c r="A111" s="57">
        <f>'A) Base RI'!A113</f>
        <v>5581</v>
      </c>
      <c r="B111" s="64" t="str">
        <f>'A) Base RI'!B113</f>
        <v>Belmont-sur-Lausanne</v>
      </c>
      <c r="C111" s="39">
        <f>'B) D RI'!Y113</f>
        <v>646547.6</v>
      </c>
      <c r="D111" s="19">
        <f>'B) D RI'!Z113</f>
        <v>0</v>
      </c>
      <c r="E111" s="14">
        <f t="shared" si="3"/>
        <v>646547.6</v>
      </c>
      <c r="F111" s="19">
        <f>'B) D RI'!U113</f>
        <v>187042.91923261393</v>
      </c>
      <c r="G111" s="301">
        <f t="shared" si="4"/>
        <v>3.4566804381187399</v>
      </c>
      <c r="H111" s="66">
        <f t="shared" si="5"/>
        <v>323273.8</v>
      </c>
    </row>
    <row r="112" spans="1:8" x14ac:dyDescent="0.25">
      <c r="A112" s="57">
        <f>'A) Base RI'!A114</f>
        <v>5582</v>
      </c>
      <c r="B112" s="64" t="str">
        <f>'A) Base RI'!B114</f>
        <v>Cheseaux-sur-Lausanne</v>
      </c>
      <c r="C112" s="39">
        <f>'B) D RI'!Y114</f>
        <v>544526.94999999995</v>
      </c>
      <c r="D112" s="19">
        <f>'B) D RI'!Z114</f>
        <v>594174.44999999995</v>
      </c>
      <c r="E112" s="14">
        <f t="shared" si="3"/>
        <v>1138701.3999999999</v>
      </c>
      <c r="F112" s="19">
        <f>'B) D RI'!U114</f>
        <v>203617.184295302</v>
      </c>
      <c r="G112" s="301">
        <f t="shared" si="4"/>
        <v>5.5923639448258147</v>
      </c>
      <c r="H112" s="66">
        <f t="shared" si="5"/>
        <v>450515.80999999994</v>
      </c>
    </row>
    <row r="113" spans="1:8" x14ac:dyDescent="0.25">
      <c r="A113" s="57">
        <f>'A) Base RI'!A115</f>
        <v>5583</v>
      </c>
      <c r="B113" s="64" t="str">
        <f>'A) Base RI'!B115</f>
        <v>Crissier</v>
      </c>
      <c r="C113" s="39">
        <f>'B) D RI'!Y115</f>
        <v>767302.15</v>
      </c>
      <c r="D113" s="19">
        <f>'B) D RI'!Z115</f>
        <v>1524139.45</v>
      </c>
      <c r="E113" s="14">
        <f t="shared" si="3"/>
        <v>2291441.6</v>
      </c>
      <c r="F113" s="19">
        <f>'B) D RI'!U115</f>
        <v>311741.22092307697</v>
      </c>
      <c r="G113" s="301">
        <f t="shared" si="4"/>
        <v>7.3504607225664902</v>
      </c>
      <c r="H113" s="66">
        <f t="shared" si="5"/>
        <v>840892.90999999992</v>
      </c>
    </row>
    <row r="114" spans="1:8" x14ac:dyDescent="0.25">
      <c r="A114" s="57">
        <f>'A) Base RI'!A116</f>
        <v>5584</v>
      </c>
      <c r="B114" s="64" t="str">
        <f>'A) Base RI'!B116</f>
        <v>Epalinges</v>
      </c>
      <c r="C114" s="39">
        <f>'B) D RI'!Y116</f>
        <v>4411165.6499999994</v>
      </c>
      <c r="D114" s="19">
        <f>'B) D RI'!Z116</f>
        <v>192165.8</v>
      </c>
      <c r="E114" s="14">
        <f t="shared" si="3"/>
        <v>4603331.4499999993</v>
      </c>
      <c r="F114" s="19">
        <f>'B) D RI'!U116</f>
        <v>455692.51</v>
      </c>
      <c r="G114" s="301">
        <f t="shared" si="4"/>
        <v>10.101836982135167</v>
      </c>
      <c r="H114" s="66">
        <f t="shared" si="5"/>
        <v>2263232.5649999999</v>
      </c>
    </row>
    <row r="115" spans="1:8" x14ac:dyDescent="0.25">
      <c r="A115" s="57">
        <f>'A) Base RI'!A117</f>
        <v>5585</v>
      </c>
      <c r="B115" s="64" t="str">
        <f>'A) Base RI'!B117</f>
        <v>Jouxtens-Mézery</v>
      </c>
      <c r="C115" s="39">
        <f>'B) D RI'!Y117</f>
        <v>1225154.55</v>
      </c>
      <c r="D115" s="19">
        <f>'B) D RI'!Z117</f>
        <v>2901.35</v>
      </c>
      <c r="E115" s="14">
        <f t="shared" si="3"/>
        <v>1228055.9000000001</v>
      </c>
      <c r="F115" s="19">
        <f>'B) D RI'!U117</f>
        <v>201546.16339622639</v>
      </c>
      <c r="G115" s="301">
        <f t="shared" si="4"/>
        <v>6.0931742847703019</v>
      </c>
      <c r="H115" s="66">
        <f t="shared" si="5"/>
        <v>613447.68000000005</v>
      </c>
    </row>
    <row r="116" spans="1:8" x14ac:dyDescent="0.25">
      <c r="A116" s="57">
        <f>'A) Base RI'!A118</f>
        <v>5586</v>
      </c>
      <c r="B116" s="64" t="str">
        <f>'A) Base RI'!B118</f>
        <v>Lausanne</v>
      </c>
      <c r="C116" s="39">
        <f>'B) D RI'!Y118</f>
        <v>24882871.449999999</v>
      </c>
      <c r="D116" s="19">
        <f>'B) D RI'!Z118</f>
        <v>10836314.949999999</v>
      </c>
      <c r="E116" s="14">
        <f t="shared" si="3"/>
        <v>35719186.399999999</v>
      </c>
      <c r="F116" s="19">
        <f>'B) D RI'!U118</f>
        <v>6075429.3645991571</v>
      </c>
      <c r="G116" s="301">
        <f t="shared" si="4"/>
        <v>5.8792859329633025</v>
      </c>
      <c r="H116" s="66">
        <f t="shared" si="5"/>
        <v>15692330.209999999</v>
      </c>
    </row>
    <row r="117" spans="1:8" x14ac:dyDescent="0.25">
      <c r="A117" s="57">
        <f>'A) Base RI'!A119</f>
        <v>5587</v>
      </c>
      <c r="B117" s="64" t="str">
        <f>'A) Base RI'!B119</f>
        <v>Le Mont-sur-Lausanne</v>
      </c>
      <c r="C117" s="39">
        <f>'B) D RI'!Y119</f>
        <v>1922893.75</v>
      </c>
      <c r="D117" s="19">
        <f>'B) D RI'!Z119</f>
        <v>462043.85</v>
      </c>
      <c r="E117" s="14">
        <f t="shared" si="3"/>
        <v>2384937.6</v>
      </c>
      <c r="F117" s="19">
        <f>'B) D RI'!U119</f>
        <v>413343.80273333337</v>
      </c>
      <c r="G117" s="301">
        <f t="shared" si="4"/>
        <v>5.7698641765741687</v>
      </c>
      <c r="H117" s="66">
        <f t="shared" si="5"/>
        <v>1100060.03</v>
      </c>
    </row>
    <row r="118" spans="1:8" x14ac:dyDescent="0.25">
      <c r="A118" s="57">
        <f>'A) Base RI'!A120</f>
        <v>5588</v>
      </c>
      <c r="B118" s="64" t="str">
        <f>'A) Base RI'!B120</f>
        <v>Paudex</v>
      </c>
      <c r="C118" s="39">
        <f>'B) D RI'!Y120</f>
        <v>548544.94999999995</v>
      </c>
      <c r="D118" s="19">
        <f>'B) D RI'!Z120</f>
        <v>20109.5</v>
      </c>
      <c r="E118" s="14">
        <f t="shared" si="3"/>
        <v>568654.44999999995</v>
      </c>
      <c r="F118" s="19">
        <f>'B) D RI'!U120</f>
        <v>160000.57716608592</v>
      </c>
      <c r="G118" s="301">
        <f t="shared" si="4"/>
        <v>3.5540774919187808</v>
      </c>
      <c r="H118" s="66">
        <f t="shared" si="5"/>
        <v>280305.32499999995</v>
      </c>
    </row>
    <row r="119" spans="1:8" x14ac:dyDescent="0.25">
      <c r="A119" s="57">
        <f>'A) Base RI'!A121</f>
        <v>5589</v>
      </c>
      <c r="B119" s="64" t="str">
        <f>'A) Base RI'!B121</f>
        <v>Prilly</v>
      </c>
      <c r="C119" s="39">
        <f>'B) D RI'!Y121</f>
        <v>2462250.35</v>
      </c>
      <c r="D119" s="19">
        <f>'B) D RI'!Z121</f>
        <v>1188811.95</v>
      </c>
      <c r="E119" s="14">
        <f t="shared" si="3"/>
        <v>3651062.3</v>
      </c>
      <c r="F119" s="19">
        <f>'B) D RI'!U121</f>
        <v>437574.2323809524</v>
      </c>
      <c r="G119" s="301">
        <f t="shared" si="4"/>
        <v>8.3438695193125145</v>
      </c>
      <c r="H119" s="66">
        <f t="shared" si="5"/>
        <v>1587768.76</v>
      </c>
    </row>
    <row r="120" spans="1:8" x14ac:dyDescent="0.25">
      <c r="A120" s="57">
        <f>'A) Base RI'!A122</f>
        <v>5590</v>
      </c>
      <c r="B120" s="64" t="str">
        <f>'A) Base RI'!B122</f>
        <v>Pully</v>
      </c>
      <c r="C120" s="39">
        <f>'B) D RI'!Y122</f>
        <v>7820594.4499999993</v>
      </c>
      <c r="D120" s="19">
        <f>'B) D RI'!Z122</f>
        <v>130183.05</v>
      </c>
      <c r="E120" s="14">
        <f t="shared" si="3"/>
        <v>7950777.4999999991</v>
      </c>
      <c r="F120" s="19">
        <f>'B) D RI'!U122</f>
        <v>1422298.2200936768</v>
      </c>
      <c r="G120" s="301">
        <f t="shared" si="4"/>
        <v>5.5900917175276623</v>
      </c>
      <c r="H120" s="66">
        <f t="shared" si="5"/>
        <v>3949352.1399999997</v>
      </c>
    </row>
    <row r="121" spans="1:8" x14ac:dyDescent="0.25">
      <c r="A121" s="57">
        <f>'A) Base RI'!A123</f>
        <v>5591</v>
      </c>
      <c r="B121" s="64" t="str">
        <f>'A) Base RI'!B123</f>
        <v>Renens</v>
      </c>
      <c r="C121" s="39">
        <f>'B) D RI'!Y123</f>
        <v>2177827.0499999998</v>
      </c>
      <c r="D121" s="19">
        <f>'B) D RI'!Z123</f>
        <v>2005010.75</v>
      </c>
      <c r="E121" s="14">
        <f t="shared" si="3"/>
        <v>4182837.8</v>
      </c>
      <c r="F121" s="19">
        <f>'B) D RI'!U123</f>
        <v>529647.11015468603</v>
      </c>
      <c r="G121" s="301">
        <f t="shared" si="4"/>
        <v>7.8974051208896086</v>
      </c>
      <c r="H121" s="66">
        <f t="shared" si="5"/>
        <v>1690416.75</v>
      </c>
    </row>
    <row r="122" spans="1:8" x14ac:dyDescent="0.25">
      <c r="A122" s="57">
        <f>'A) Base RI'!A124</f>
        <v>5592</v>
      </c>
      <c r="B122" s="64" t="str">
        <f>'A) Base RI'!B124</f>
        <v>Romanel-sur-Lausanne</v>
      </c>
      <c r="C122" s="39">
        <f>'B) D RI'!Y124</f>
        <v>272372.84999999998</v>
      </c>
      <c r="D122" s="19">
        <f>'B) D RI'!Z124</f>
        <v>200675.95</v>
      </c>
      <c r="E122" s="14">
        <f t="shared" si="3"/>
        <v>473048.8</v>
      </c>
      <c r="F122" s="19">
        <f>'B) D RI'!U124</f>
        <v>116555.94314285714</v>
      </c>
      <c r="G122" s="301">
        <f t="shared" si="4"/>
        <v>4.0585558080054858</v>
      </c>
      <c r="H122" s="66">
        <f t="shared" si="5"/>
        <v>196389.21</v>
      </c>
    </row>
    <row r="123" spans="1:8" x14ac:dyDescent="0.25">
      <c r="A123" s="57">
        <f>'A) Base RI'!A125</f>
        <v>5601</v>
      </c>
      <c r="B123" s="64" t="str">
        <f>'A) Base RI'!B125</f>
        <v>Chexbres</v>
      </c>
      <c r="C123" s="39">
        <f>'B) D RI'!Y125</f>
        <v>525657.15</v>
      </c>
      <c r="D123" s="19">
        <f>'B) D RI'!Z125</f>
        <v>49184.1</v>
      </c>
      <c r="E123" s="14">
        <f t="shared" si="3"/>
        <v>574841.25</v>
      </c>
      <c r="F123" s="19">
        <f>'B) D RI'!U125</f>
        <v>99746.160000000018</v>
      </c>
      <c r="G123" s="301">
        <f t="shared" si="4"/>
        <v>5.7630414043006759</v>
      </c>
      <c r="H123" s="66">
        <f t="shared" si="5"/>
        <v>277583.80499999999</v>
      </c>
    </row>
    <row r="124" spans="1:8" x14ac:dyDescent="0.25">
      <c r="A124" s="57">
        <f>'A) Base RI'!A126</f>
        <v>5604</v>
      </c>
      <c r="B124" s="64" t="str">
        <f>'A) Base RI'!B126</f>
        <v>Forel (Lavaux)</v>
      </c>
      <c r="C124" s="39">
        <f>'B) D RI'!Y126</f>
        <v>290197.45</v>
      </c>
      <c r="D124" s="19">
        <f>'B) D RI'!Z126</f>
        <v>17419.25</v>
      </c>
      <c r="E124" s="14">
        <f t="shared" si="3"/>
        <v>307616.7</v>
      </c>
      <c r="F124" s="19">
        <f>'B) D RI'!U126</f>
        <v>71240.347352941171</v>
      </c>
      <c r="G124" s="301">
        <f t="shared" si="4"/>
        <v>4.3180123543754734</v>
      </c>
      <c r="H124" s="66">
        <f t="shared" si="5"/>
        <v>150324.5</v>
      </c>
    </row>
    <row r="125" spans="1:8" x14ac:dyDescent="0.25">
      <c r="A125" s="57">
        <f>'A) Base RI'!A127</f>
        <v>5606</v>
      </c>
      <c r="B125" s="64" t="str">
        <f>'A) Base RI'!B127</f>
        <v>Lutry</v>
      </c>
      <c r="C125" s="39">
        <f>'B) D RI'!Y127</f>
        <v>6558401.7000000011</v>
      </c>
      <c r="D125" s="19">
        <f>'B) D RI'!Z127</f>
        <v>101231.4</v>
      </c>
      <c r="E125" s="14">
        <f t="shared" si="3"/>
        <v>6659633.1000000015</v>
      </c>
      <c r="F125" s="19">
        <f>'B) D RI'!U127</f>
        <v>770648.37755469768</v>
      </c>
      <c r="G125" s="301">
        <f t="shared" si="4"/>
        <v>8.6415975092704667</v>
      </c>
      <c r="H125" s="66">
        <f t="shared" si="5"/>
        <v>3309570.2700000005</v>
      </c>
    </row>
    <row r="126" spans="1:8" x14ac:dyDescent="0.25">
      <c r="A126" s="57">
        <f>'A) Base RI'!A128</f>
        <v>5607</v>
      </c>
      <c r="B126" s="64" t="str">
        <f>'A) Base RI'!B128</f>
        <v>Puidoux</v>
      </c>
      <c r="C126" s="39">
        <f>'B) D RI'!Y128</f>
        <v>767132.35</v>
      </c>
      <c r="D126" s="19">
        <f>'B) D RI'!Z128</f>
        <v>153618.65</v>
      </c>
      <c r="E126" s="14">
        <f t="shared" si="3"/>
        <v>920751</v>
      </c>
      <c r="F126" s="19">
        <f>'B) D RI'!U128</f>
        <v>97147.534937888209</v>
      </c>
      <c r="G126" s="301">
        <f t="shared" si="4"/>
        <v>9.47786272280287</v>
      </c>
      <c r="H126" s="66">
        <f t="shared" si="5"/>
        <v>429651.76999999996</v>
      </c>
    </row>
    <row r="127" spans="1:8" x14ac:dyDescent="0.25">
      <c r="A127" s="57">
        <f>'A) Base RI'!A129</f>
        <v>5609</v>
      </c>
      <c r="B127" s="64" t="str">
        <f>'A) Base RI'!B129</f>
        <v>Rivaz</v>
      </c>
      <c r="C127" s="39">
        <f>'B) D RI'!Y129</f>
        <v>75410.549999999988</v>
      </c>
      <c r="D127" s="19">
        <f>'B) D RI'!Z129</f>
        <v>0</v>
      </c>
      <c r="E127" s="14">
        <f t="shared" si="3"/>
        <v>75410.549999999988</v>
      </c>
      <c r="F127" s="19">
        <f>'B) D RI'!U129</f>
        <v>16888.91165354331</v>
      </c>
      <c r="G127" s="301">
        <f t="shared" si="4"/>
        <v>4.4650923367331838</v>
      </c>
      <c r="H127" s="66">
        <f t="shared" si="5"/>
        <v>37705.274999999994</v>
      </c>
    </row>
    <row r="128" spans="1:8" x14ac:dyDescent="0.25">
      <c r="A128" s="57">
        <f>'A) Base RI'!A130</f>
        <v>5610</v>
      </c>
      <c r="B128" s="64" t="str">
        <f>'A) Base RI'!B130</f>
        <v>St-Saphorin (Lavaux)</v>
      </c>
      <c r="C128" s="39">
        <f>'B) D RI'!Y130</f>
        <v>145394.5</v>
      </c>
      <c r="D128" s="19">
        <f>'B) D RI'!Z130</f>
        <v>0</v>
      </c>
      <c r="E128" s="14">
        <f t="shared" si="3"/>
        <v>145394.5</v>
      </c>
      <c r="F128" s="19">
        <f>'B) D RI'!U130</f>
        <v>20007.714179104478</v>
      </c>
      <c r="G128" s="301">
        <f t="shared" si="4"/>
        <v>7.2669220830756434</v>
      </c>
      <c r="H128" s="66">
        <f t="shared" si="5"/>
        <v>72697.25</v>
      </c>
    </row>
    <row r="129" spans="1:8" x14ac:dyDescent="0.25">
      <c r="A129" s="57">
        <f>'A) Base RI'!A131</f>
        <v>5611</v>
      </c>
      <c r="B129" s="64" t="str">
        <f>'A) Base RI'!B131</f>
        <v>Savigny</v>
      </c>
      <c r="C129" s="39">
        <f>'B) D RI'!Y131</f>
        <v>510493.35</v>
      </c>
      <c r="D129" s="19">
        <f>'B) D RI'!Z131</f>
        <v>135100.65</v>
      </c>
      <c r="E129" s="14">
        <f t="shared" si="3"/>
        <v>645594</v>
      </c>
      <c r="F129" s="19">
        <f>'B) D RI'!U131</f>
        <v>115537.42516908211</v>
      </c>
      <c r="G129" s="301">
        <f t="shared" si="4"/>
        <v>5.5877478579361775</v>
      </c>
      <c r="H129" s="66">
        <f t="shared" si="5"/>
        <v>295776.87</v>
      </c>
    </row>
    <row r="130" spans="1:8" x14ac:dyDescent="0.25">
      <c r="A130" s="57">
        <f>'A) Base RI'!A132</f>
        <v>5613</v>
      </c>
      <c r="B130" s="64" t="str">
        <f>'A) Base RI'!B132</f>
        <v>Bourg-en-Lavaux</v>
      </c>
      <c r="C130" s="39">
        <f>'B) D RI'!Y132</f>
        <v>1843279.55</v>
      </c>
      <c r="D130" s="19">
        <f>'B) D RI'!Z132</f>
        <v>29017</v>
      </c>
      <c r="E130" s="14">
        <f t="shared" si="3"/>
        <v>1872296.55</v>
      </c>
      <c r="F130" s="19">
        <f>'B) D RI'!U132</f>
        <v>301872.13311475411</v>
      </c>
      <c r="G130" s="301">
        <f t="shared" si="4"/>
        <v>6.2022834989152926</v>
      </c>
      <c r="H130" s="66">
        <f t="shared" si="5"/>
        <v>930344.875</v>
      </c>
    </row>
    <row r="131" spans="1:8" x14ac:dyDescent="0.25">
      <c r="A131" s="57">
        <f>'A) Base RI'!A133</f>
        <v>5621</v>
      </c>
      <c r="B131" s="64" t="str">
        <f>'A) Base RI'!B133</f>
        <v>Aclens</v>
      </c>
      <c r="C131" s="39">
        <f>'B) D RI'!Y133</f>
        <v>70687.950000000012</v>
      </c>
      <c r="D131" s="19">
        <f>'B) D RI'!Z133</f>
        <v>166682.9</v>
      </c>
      <c r="E131" s="14">
        <f t="shared" si="3"/>
        <v>237370.85</v>
      </c>
      <c r="F131" s="19">
        <f>'B) D RI'!U133</f>
        <v>26820.105850439882</v>
      </c>
      <c r="G131" s="301">
        <f t="shared" si="4"/>
        <v>8.8504814754900316</v>
      </c>
      <c r="H131" s="66">
        <f t="shared" si="5"/>
        <v>85348.845000000001</v>
      </c>
    </row>
    <row r="132" spans="1:8" x14ac:dyDescent="0.25">
      <c r="A132" s="57">
        <f>'A) Base RI'!A134</f>
        <v>5622</v>
      </c>
      <c r="B132" s="64" t="str">
        <f>'A) Base RI'!B134</f>
        <v>Bremblens</v>
      </c>
      <c r="C132" s="39">
        <f>'B) D RI'!Y134</f>
        <v>288976.90000000002</v>
      </c>
      <c r="D132" s="19">
        <f>'B) D RI'!Z134</f>
        <v>26447.75</v>
      </c>
      <c r="E132" s="14">
        <f t="shared" si="3"/>
        <v>315424.65000000002</v>
      </c>
      <c r="F132" s="19">
        <f>'B) D RI'!U134</f>
        <v>32681.756515151512</v>
      </c>
      <c r="G132" s="301">
        <f t="shared" si="4"/>
        <v>9.6513983222953996</v>
      </c>
      <c r="H132" s="66">
        <f t="shared" si="5"/>
        <v>152422.77500000002</v>
      </c>
    </row>
    <row r="133" spans="1:8" x14ac:dyDescent="0.25">
      <c r="A133" s="57">
        <f>'A) Base RI'!A135</f>
        <v>5623</v>
      </c>
      <c r="B133" s="64" t="str">
        <f>'A) Base RI'!B135</f>
        <v>Buchillon</v>
      </c>
      <c r="C133" s="39">
        <f>'B) D RI'!Y135</f>
        <v>1935327.35</v>
      </c>
      <c r="D133" s="19">
        <f>'B) D RI'!Z135</f>
        <v>942.3</v>
      </c>
      <c r="E133" s="14">
        <f t="shared" si="3"/>
        <v>1936269.6500000001</v>
      </c>
      <c r="F133" s="19">
        <f>'B) D RI'!U135</f>
        <v>82402.410188679249</v>
      </c>
      <c r="G133" s="301">
        <f t="shared" si="4"/>
        <v>23.497730777127344</v>
      </c>
      <c r="H133" s="66">
        <f t="shared" si="5"/>
        <v>967946.36499999999</v>
      </c>
    </row>
    <row r="134" spans="1:8" x14ac:dyDescent="0.25">
      <c r="A134" s="57">
        <f>'A) Base RI'!A136</f>
        <v>5624</v>
      </c>
      <c r="B134" s="64" t="str">
        <f>'A) Base RI'!B136</f>
        <v>Bussigny</v>
      </c>
      <c r="C134" s="39">
        <f>'B) D RI'!Y136</f>
        <v>1246662.05</v>
      </c>
      <c r="D134" s="19">
        <f>'B) D RI'!Z136</f>
        <v>1348175.55</v>
      </c>
      <c r="E134" s="14">
        <f t="shared" ref="E134:E197" si="6">C134+D134</f>
        <v>2594837.6</v>
      </c>
      <c r="F134" s="19">
        <f>'B) D RI'!U136</f>
        <v>334130.13322580641</v>
      </c>
      <c r="G134" s="301">
        <f t="shared" ref="G134:G197" si="7">E134/F134</f>
        <v>7.7659490778295028</v>
      </c>
      <c r="H134" s="66">
        <f t="shared" ref="H134:H197" si="8">(C134*$C$4)+(D134*$D$4)</f>
        <v>1027783.69</v>
      </c>
    </row>
    <row r="135" spans="1:8" x14ac:dyDescent="0.25">
      <c r="A135" s="57">
        <f>'A) Base RI'!A137</f>
        <v>5625</v>
      </c>
      <c r="B135" s="64" t="str">
        <f>'A) Base RI'!B137</f>
        <v>Bussy-Chardonney</v>
      </c>
      <c r="C135" s="39">
        <f>'B) D RI'!Y137</f>
        <v>113863.40000000001</v>
      </c>
      <c r="D135" s="19">
        <f>'B) D RI'!Z137</f>
        <v>0</v>
      </c>
      <c r="E135" s="14">
        <f t="shared" si="6"/>
        <v>113863.40000000001</v>
      </c>
      <c r="F135" s="19">
        <f>'B) D RI'!U137</f>
        <v>13745.926324786325</v>
      </c>
      <c r="G135" s="301">
        <f t="shared" si="7"/>
        <v>8.2834286543995397</v>
      </c>
      <c r="H135" s="66">
        <f t="shared" si="8"/>
        <v>56931.700000000004</v>
      </c>
    </row>
    <row r="136" spans="1:8" x14ac:dyDescent="0.25">
      <c r="A136" s="57">
        <f>'A) Base RI'!A138</f>
        <v>5627</v>
      </c>
      <c r="B136" s="64" t="str">
        <f>'A) Base RI'!B138</f>
        <v>Chavannes-près-Renens</v>
      </c>
      <c r="C136" s="39">
        <f>'B) D RI'!Y138</f>
        <v>519872.85</v>
      </c>
      <c r="D136" s="19">
        <f>'B) D RI'!Z138</f>
        <v>464106.9</v>
      </c>
      <c r="E136" s="14">
        <f t="shared" si="6"/>
        <v>983979.75</v>
      </c>
      <c r="F136" s="19">
        <f>'B) D RI'!U138</f>
        <v>171770.86046413501</v>
      </c>
      <c r="G136" s="301">
        <f t="shared" si="7"/>
        <v>5.7284439708878949</v>
      </c>
      <c r="H136" s="66">
        <f t="shared" si="8"/>
        <v>399168.495</v>
      </c>
    </row>
    <row r="137" spans="1:8" x14ac:dyDescent="0.25">
      <c r="A137" s="57">
        <f>'A) Base RI'!A139</f>
        <v>5628</v>
      </c>
      <c r="B137" s="64" t="str">
        <f>'A) Base RI'!B139</f>
        <v>Chigny</v>
      </c>
      <c r="C137" s="39">
        <f>'B) D RI'!Y139</f>
        <v>74474.3</v>
      </c>
      <c r="D137" s="19">
        <f>'B) D RI'!Z139</f>
        <v>18046</v>
      </c>
      <c r="E137" s="14">
        <f t="shared" si="6"/>
        <v>92520.3</v>
      </c>
      <c r="F137" s="19">
        <f>'B) D RI'!U139</f>
        <v>19361.666733870967</v>
      </c>
      <c r="G137" s="301">
        <f t="shared" si="7"/>
        <v>4.7785297243106957</v>
      </c>
      <c r="H137" s="66">
        <f t="shared" si="8"/>
        <v>42650.950000000004</v>
      </c>
    </row>
    <row r="138" spans="1:8" x14ac:dyDescent="0.25">
      <c r="A138" s="57">
        <f>'A) Base RI'!A140</f>
        <v>5629</v>
      </c>
      <c r="B138" s="64" t="str">
        <f>'A) Base RI'!B140</f>
        <v>Clarmont</v>
      </c>
      <c r="C138" s="39">
        <f>'B) D RI'!Y140</f>
        <v>82145.75</v>
      </c>
      <c r="D138" s="19">
        <f>'B) D RI'!Z140</f>
        <v>0</v>
      </c>
      <c r="E138" s="14">
        <f t="shared" si="6"/>
        <v>82145.75</v>
      </c>
      <c r="F138" s="19">
        <f>'B) D RI'!U140</f>
        <v>7536.1791999999996</v>
      </c>
      <c r="G138" s="301">
        <f t="shared" si="7"/>
        <v>10.900185335295637</v>
      </c>
      <c r="H138" s="66">
        <f t="shared" si="8"/>
        <v>41072.875</v>
      </c>
    </row>
    <row r="139" spans="1:8" x14ac:dyDescent="0.25">
      <c r="A139" s="57">
        <f>'A) Base RI'!A141</f>
        <v>5631</v>
      </c>
      <c r="B139" s="64" t="str">
        <f>'A) Base RI'!B141</f>
        <v>Denens</v>
      </c>
      <c r="C139" s="39">
        <f>'B) D RI'!Y141</f>
        <v>606142.15</v>
      </c>
      <c r="D139" s="19">
        <f>'B) D RI'!Z141</f>
        <v>0</v>
      </c>
      <c r="E139" s="14">
        <f t="shared" si="6"/>
        <v>606142.15</v>
      </c>
      <c r="F139" s="19">
        <f>'B) D RI'!U141</f>
        <v>42221.936176470583</v>
      </c>
      <c r="G139" s="301">
        <f t="shared" si="7"/>
        <v>14.35609554868757</v>
      </c>
      <c r="H139" s="66">
        <f t="shared" si="8"/>
        <v>303071.07500000001</v>
      </c>
    </row>
    <row r="140" spans="1:8" x14ac:dyDescent="0.25">
      <c r="A140" s="57">
        <f>'A) Base RI'!A142</f>
        <v>5632</v>
      </c>
      <c r="B140" s="64" t="str">
        <f>'A) Base RI'!B142</f>
        <v>Denges</v>
      </c>
      <c r="C140" s="39">
        <f>'B) D RI'!Y142</f>
        <v>303647.65000000002</v>
      </c>
      <c r="D140" s="19">
        <f>'B) D RI'!Z142</f>
        <v>120436.9</v>
      </c>
      <c r="E140" s="14">
        <f t="shared" si="6"/>
        <v>424084.55000000005</v>
      </c>
      <c r="F140" s="19">
        <f>'B) D RI'!U142</f>
        <v>67310.066612903232</v>
      </c>
      <c r="G140" s="301">
        <f t="shared" si="7"/>
        <v>6.3004624915748293</v>
      </c>
      <c r="H140" s="66">
        <f t="shared" si="8"/>
        <v>187954.89500000002</v>
      </c>
    </row>
    <row r="141" spans="1:8" x14ac:dyDescent="0.25">
      <c r="A141" s="57">
        <f>'A) Base RI'!A143</f>
        <v>5633</v>
      </c>
      <c r="B141" s="64" t="str">
        <f>'A) Base RI'!B143</f>
        <v>Echandens</v>
      </c>
      <c r="C141" s="39">
        <f>'B) D RI'!Y143</f>
        <v>519686.5</v>
      </c>
      <c r="D141" s="19">
        <f>'B) D RI'!Z143</f>
        <v>134469</v>
      </c>
      <c r="E141" s="14">
        <f t="shared" si="6"/>
        <v>654155.5</v>
      </c>
      <c r="F141" s="19">
        <f>'B) D RI'!U143</f>
        <v>139554.44612903227</v>
      </c>
      <c r="G141" s="301">
        <f t="shared" si="7"/>
        <v>4.6874572480132004</v>
      </c>
      <c r="H141" s="66">
        <f t="shared" si="8"/>
        <v>300183.95</v>
      </c>
    </row>
    <row r="142" spans="1:8" x14ac:dyDescent="0.25">
      <c r="A142" s="57">
        <f>'A) Base RI'!A144</f>
        <v>5634</v>
      </c>
      <c r="B142" s="64" t="str">
        <f>'A) Base RI'!B144</f>
        <v>Echichens</v>
      </c>
      <c r="C142" s="39">
        <f>'B) D RI'!Y144</f>
        <v>1009281.6</v>
      </c>
      <c r="D142" s="19">
        <f>'B) D RI'!Z144</f>
        <v>20791.55</v>
      </c>
      <c r="E142" s="14">
        <f t="shared" si="6"/>
        <v>1030073.15</v>
      </c>
      <c r="F142" s="19">
        <f>'B) D RI'!U144</f>
        <v>125699.21529411766</v>
      </c>
      <c r="G142" s="301">
        <f t="shared" si="7"/>
        <v>8.1947460657553073</v>
      </c>
      <c r="H142" s="66">
        <f t="shared" si="8"/>
        <v>510878.26500000001</v>
      </c>
    </row>
    <row r="143" spans="1:8" x14ac:dyDescent="0.25">
      <c r="A143" s="57">
        <f>'A) Base RI'!A145</f>
        <v>5635</v>
      </c>
      <c r="B143" s="64" t="str">
        <f>'A) Base RI'!B145</f>
        <v>Ecublens</v>
      </c>
      <c r="C143" s="39">
        <f>'B) D RI'!Y145</f>
        <v>1927973.05</v>
      </c>
      <c r="D143" s="19">
        <f>'B) D RI'!Z145</f>
        <v>1718415.3</v>
      </c>
      <c r="E143" s="14">
        <f t="shared" si="6"/>
        <v>3646388.35</v>
      </c>
      <c r="F143" s="19">
        <f>'B) D RI'!U145</f>
        <v>424543.31159592536</v>
      </c>
      <c r="G143" s="301">
        <f t="shared" si="7"/>
        <v>8.5889666623003684</v>
      </c>
      <c r="H143" s="66">
        <f t="shared" si="8"/>
        <v>1479511.115</v>
      </c>
    </row>
    <row r="144" spans="1:8" x14ac:dyDescent="0.25">
      <c r="A144" s="57">
        <f>'A) Base RI'!A146</f>
        <v>5636</v>
      </c>
      <c r="B144" s="64" t="str">
        <f>'A) Base RI'!B146</f>
        <v>Etoy</v>
      </c>
      <c r="C144" s="39">
        <f>'B) D RI'!Y146</f>
        <v>5002394.8999999994</v>
      </c>
      <c r="D144" s="19">
        <f>'B) D RI'!Z146</f>
        <v>521446.40000000002</v>
      </c>
      <c r="E144" s="14">
        <f t="shared" si="6"/>
        <v>5523841.2999999998</v>
      </c>
      <c r="F144" s="19">
        <f>'B) D RI'!U146</f>
        <v>150854.83475409835</v>
      </c>
      <c r="G144" s="301">
        <f t="shared" si="7"/>
        <v>36.616932490126445</v>
      </c>
      <c r="H144" s="66">
        <f t="shared" si="8"/>
        <v>2657631.3699999996</v>
      </c>
    </row>
    <row r="145" spans="1:8" x14ac:dyDescent="0.25">
      <c r="A145" s="57">
        <f>'A) Base RI'!A147</f>
        <v>5637</v>
      </c>
      <c r="B145" s="64" t="str">
        <f>'A) Base RI'!B147</f>
        <v>Lavigny</v>
      </c>
      <c r="C145" s="39">
        <f>'B) D RI'!Y147</f>
        <v>118001.45</v>
      </c>
      <c r="D145" s="19">
        <f>'B) D RI'!Z147</f>
        <v>265599.65000000002</v>
      </c>
      <c r="E145" s="14">
        <f t="shared" si="6"/>
        <v>383601.10000000003</v>
      </c>
      <c r="F145" s="19">
        <f>'B) D RI'!U147</f>
        <v>35788.809619686814</v>
      </c>
      <c r="G145" s="301">
        <f t="shared" si="7"/>
        <v>10.718464907784684</v>
      </c>
      <c r="H145" s="66">
        <f t="shared" si="8"/>
        <v>138680.62</v>
      </c>
    </row>
    <row r="146" spans="1:8" x14ac:dyDescent="0.25">
      <c r="A146" s="57">
        <f>'A) Base RI'!A148</f>
        <v>5638</v>
      </c>
      <c r="B146" s="64" t="str">
        <f>'A) Base RI'!B148</f>
        <v>Lonay</v>
      </c>
      <c r="C146" s="39">
        <f>'B) D RI'!Y148</f>
        <v>2693906.55</v>
      </c>
      <c r="D146" s="19">
        <f>'B) D RI'!Z148</f>
        <v>173908.2</v>
      </c>
      <c r="E146" s="14">
        <f t="shared" si="6"/>
        <v>2867814.75</v>
      </c>
      <c r="F146" s="19">
        <f>'B) D RI'!U148</f>
        <v>150874.30218181817</v>
      </c>
      <c r="G146" s="301">
        <f t="shared" si="7"/>
        <v>19.007973581504988</v>
      </c>
      <c r="H146" s="66">
        <f t="shared" si="8"/>
        <v>1399125.7349999999</v>
      </c>
    </row>
    <row r="147" spans="1:8" x14ac:dyDescent="0.25">
      <c r="A147" s="57">
        <f>'A) Base RI'!A149</f>
        <v>5639</v>
      </c>
      <c r="B147" s="64" t="str">
        <f>'A) Base RI'!B149</f>
        <v>Lully</v>
      </c>
      <c r="C147" s="39">
        <f>'B) D RI'!Y149</f>
        <v>147824.59999999998</v>
      </c>
      <c r="D147" s="19">
        <f>'B) D RI'!Z149</f>
        <v>0</v>
      </c>
      <c r="E147" s="14">
        <f t="shared" si="6"/>
        <v>147824.59999999998</v>
      </c>
      <c r="F147" s="19">
        <f>'B) D RI'!U149</f>
        <v>41723.705573770494</v>
      </c>
      <c r="G147" s="301">
        <f t="shared" si="7"/>
        <v>3.5429403493089922</v>
      </c>
      <c r="H147" s="66">
        <f t="shared" si="8"/>
        <v>73912.299999999988</v>
      </c>
    </row>
    <row r="148" spans="1:8" x14ac:dyDescent="0.25">
      <c r="A148" s="57">
        <f>'A) Base RI'!A150</f>
        <v>5640</v>
      </c>
      <c r="B148" s="64" t="str">
        <f>'A) Base RI'!B150</f>
        <v>Lussy-sur-Morges</v>
      </c>
      <c r="C148" s="39">
        <f>'B) D RI'!Y150</f>
        <v>374759.75</v>
      </c>
      <c r="D148" s="19">
        <f>'B) D RI'!Z150</f>
        <v>20362.95</v>
      </c>
      <c r="E148" s="14">
        <f t="shared" si="6"/>
        <v>395122.7</v>
      </c>
      <c r="F148" s="19">
        <f>'B) D RI'!U150</f>
        <v>54175.567575757566</v>
      </c>
      <c r="G148" s="301">
        <f t="shared" si="7"/>
        <v>7.2933744431467504</v>
      </c>
      <c r="H148" s="66">
        <f t="shared" si="8"/>
        <v>193488.76</v>
      </c>
    </row>
    <row r="149" spans="1:8" x14ac:dyDescent="0.25">
      <c r="A149" s="57">
        <f>'A) Base RI'!A151</f>
        <v>5642</v>
      </c>
      <c r="B149" s="64" t="str">
        <f>'A) Base RI'!B151</f>
        <v>Morges</v>
      </c>
      <c r="C149" s="39">
        <f>'B) D RI'!Y151</f>
        <v>4228481.4000000004</v>
      </c>
      <c r="D149" s="19">
        <f>'B) D RI'!Z151</f>
        <v>1269504.8500000001</v>
      </c>
      <c r="E149" s="14">
        <f t="shared" si="6"/>
        <v>5497986.25</v>
      </c>
      <c r="F149" s="19">
        <f>'B) D RI'!U151</f>
        <v>781778.61635036487</v>
      </c>
      <c r="G149" s="301">
        <f t="shared" si="7"/>
        <v>7.0326638961636698</v>
      </c>
      <c r="H149" s="66">
        <f t="shared" si="8"/>
        <v>2495092.1550000003</v>
      </c>
    </row>
    <row r="150" spans="1:8" x14ac:dyDescent="0.25">
      <c r="A150" s="57">
        <f>'A) Base RI'!A152</f>
        <v>5643</v>
      </c>
      <c r="B150" s="64" t="str">
        <f>'A) Base RI'!B152</f>
        <v>Préverenges</v>
      </c>
      <c r="C150" s="39">
        <f>'B) D RI'!Y152</f>
        <v>973989.95</v>
      </c>
      <c r="D150" s="19">
        <f>'B) D RI'!Z152</f>
        <v>204178.25</v>
      </c>
      <c r="E150" s="14">
        <f t="shared" si="6"/>
        <v>1178168.2</v>
      </c>
      <c r="F150" s="19">
        <f>'B) D RI'!U152</f>
        <v>262779.91921874997</v>
      </c>
      <c r="G150" s="301">
        <f t="shared" si="7"/>
        <v>4.4834788118617199</v>
      </c>
      <c r="H150" s="66">
        <f t="shared" si="8"/>
        <v>548248.44999999995</v>
      </c>
    </row>
    <row r="151" spans="1:8" x14ac:dyDescent="0.25">
      <c r="A151" s="57">
        <f>'A) Base RI'!A153</f>
        <v>5644</v>
      </c>
      <c r="B151" s="64" t="str">
        <f>'A) Base RI'!B153</f>
        <v>Reverolle</v>
      </c>
      <c r="C151" s="39">
        <f>'B) D RI'!Y153</f>
        <v>56590.35</v>
      </c>
      <c r="D151" s="19">
        <f>'B) D RI'!Z153</f>
        <v>10960.05</v>
      </c>
      <c r="E151" s="14">
        <f t="shared" si="6"/>
        <v>67550.399999999994</v>
      </c>
      <c r="F151" s="19">
        <f>'B) D RI'!U153</f>
        <v>14128.860263157892</v>
      </c>
      <c r="G151" s="301">
        <f t="shared" si="7"/>
        <v>4.7810225836929634</v>
      </c>
      <c r="H151" s="66">
        <f t="shared" si="8"/>
        <v>31583.19</v>
      </c>
    </row>
    <row r="152" spans="1:8" x14ac:dyDescent="0.25">
      <c r="A152" s="57">
        <f>'A) Base RI'!A154</f>
        <v>5645</v>
      </c>
      <c r="B152" s="64" t="str">
        <f>'A) Base RI'!B154</f>
        <v>Romanel-sur-Morges</v>
      </c>
      <c r="C152" s="39">
        <f>'B) D RI'!Y154</f>
        <v>104530.85</v>
      </c>
      <c r="D152" s="19">
        <f>'B) D RI'!Z154</f>
        <v>61686.3</v>
      </c>
      <c r="E152" s="14">
        <f t="shared" si="6"/>
        <v>166217.15000000002</v>
      </c>
      <c r="F152" s="19">
        <f>'B) D RI'!U154</f>
        <v>26355.884598214288</v>
      </c>
      <c r="G152" s="301">
        <f t="shared" si="7"/>
        <v>6.306642806110248</v>
      </c>
      <c r="H152" s="66">
        <f t="shared" si="8"/>
        <v>70771.315000000002</v>
      </c>
    </row>
    <row r="153" spans="1:8" x14ac:dyDescent="0.25">
      <c r="A153" s="57">
        <f>'A) Base RI'!A155</f>
        <v>5646</v>
      </c>
      <c r="B153" s="64" t="str">
        <f>'A) Base RI'!B155</f>
        <v>Saint-Prex</v>
      </c>
      <c r="C153" s="39">
        <f>'B) D RI'!Y155</f>
        <v>1395664.05</v>
      </c>
      <c r="D153" s="19">
        <f>'B) D RI'!Z155</f>
        <v>610213.05000000005</v>
      </c>
      <c r="E153" s="14">
        <f t="shared" si="6"/>
        <v>2005877.1</v>
      </c>
      <c r="F153" s="19">
        <f>'B) D RI'!U155</f>
        <v>529776.58672727272</v>
      </c>
      <c r="G153" s="301">
        <f t="shared" si="7"/>
        <v>3.786269816851342</v>
      </c>
      <c r="H153" s="66">
        <f t="shared" si="8"/>
        <v>880895.94000000006</v>
      </c>
    </row>
    <row r="154" spans="1:8" x14ac:dyDescent="0.25">
      <c r="A154" s="57">
        <f>'A) Base RI'!A156</f>
        <v>5648</v>
      </c>
      <c r="B154" s="64" t="str">
        <f>'A) Base RI'!B156</f>
        <v>Saint-Sulpice</v>
      </c>
      <c r="C154" s="39">
        <f>'B) D RI'!Y156</f>
        <v>2779847.5</v>
      </c>
      <c r="D154" s="19">
        <f>'B) D RI'!Z156</f>
        <v>50581.9</v>
      </c>
      <c r="E154" s="14">
        <f t="shared" si="6"/>
        <v>2830429.4</v>
      </c>
      <c r="F154" s="19">
        <f>'B) D RI'!U156</f>
        <v>320539.61704545456</v>
      </c>
      <c r="G154" s="301">
        <f t="shared" si="7"/>
        <v>8.8302014773999904</v>
      </c>
      <c r="H154" s="66">
        <f t="shared" si="8"/>
        <v>1405098.32</v>
      </c>
    </row>
    <row r="155" spans="1:8" x14ac:dyDescent="0.25">
      <c r="A155" s="57">
        <f>'A) Base RI'!A157</f>
        <v>5649</v>
      </c>
      <c r="B155" s="64" t="str">
        <f>'A) Base RI'!B157</f>
        <v>Tolochenaz</v>
      </c>
      <c r="C155" s="39">
        <f>'B) D RI'!Y157</f>
        <v>617334.35</v>
      </c>
      <c r="D155" s="19">
        <f>'B) D RI'!Z157</f>
        <v>470084</v>
      </c>
      <c r="E155" s="14">
        <f t="shared" si="6"/>
        <v>1087418.3500000001</v>
      </c>
      <c r="F155" s="19">
        <f>'B) D RI'!U157</f>
        <v>78727.730769230766</v>
      </c>
      <c r="G155" s="301">
        <f t="shared" si="7"/>
        <v>13.812392906223545</v>
      </c>
      <c r="H155" s="66">
        <f t="shared" si="8"/>
        <v>449692.375</v>
      </c>
    </row>
    <row r="156" spans="1:8" x14ac:dyDescent="0.25">
      <c r="A156" s="57">
        <f>'A) Base RI'!A158</f>
        <v>5650</v>
      </c>
      <c r="B156" s="64" t="str">
        <f>'A) Base RI'!B158</f>
        <v>Vaux-sur-Morges</v>
      </c>
      <c r="C156" s="39">
        <f>'B) D RI'!Y158</f>
        <v>2238.1999999999998</v>
      </c>
      <c r="D156" s="19">
        <f>'B) D RI'!Z158</f>
        <v>0</v>
      </c>
      <c r="E156" s="14">
        <f t="shared" si="6"/>
        <v>2238.1999999999998</v>
      </c>
      <c r="F156" s="19">
        <f>'B) D RI'!U158</f>
        <v>167594.44571428568</v>
      </c>
      <c r="G156" s="301">
        <f t="shared" si="7"/>
        <v>1.3354857856182621E-2</v>
      </c>
      <c r="H156" s="66">
        <f t="shared" si="8"/>
        <v>1119.0999999999999</v>
      </c>
    </row>
    <row r="157" spans="1:8" x14ac:dyDescent="0.25">
      <c r="A157" s="57">
        <f>'A) Base RI'!A159</f>
        <v>5651</v>
      </c>
      <c r="B157" s="64" t="str">
        <f>'A) Base RI'!B159</f>
        <v>Villars-Sainte-Croix</v>
      </c>
      <c r="C157" s="39">
        <f>'B) D RI'!Y159</f>
        <v>338924.44999999995</v>
      </c>
      <c r="D157" s="19">
        <f>'B) D RI'!Z159</f>
        <v>185736.05</v>
      </c>
      <c r="E157" s="14">
        <f t="shared" si="6"/>
        <v>524660.5</v>
      </c>
      <c r="F157" s="19">
        <f>'B) D RI'!U159</f>
        <v>39092.930338983046</v>
      </c>
      <c r="G157" s="301">
        <f t="shared" si="7"/>
        <v>13.420853731110922</v>
      </c>
      <c r="H157" s="66">
        <f t="shared" si="8"/>
        <v>225183.03999999998</v>
      </c>
    </row>
    <row r="158" spans="1:8" x14ac:dyDescent="0.25">
      <c r="A158" s="57">
        <f>'A) Base RI'!A160</f>
        <v>5652</v>
      </c>
      <c r="B158" s="64" t="str">
        <f>'A) Base RI'!B160</f>
        <v>Villars-sous-Yens</v>
      </c>
      <c r="C158" s="39">
        <f>'B) D RI'!Y160</f>
        <v>127243.45000000001</v>
      </c>
      <c r="D158" s="19">
        <f>'B) D RI'!Z160</f>
        <v>2656.2</v>
      </c>
      <c r="E158" s="14">
        <f t="shared" si="6"/>
        <v>129899.65000000001</v>
      </c>
      <c r="F158" s="19">
        <f>'B) D RI'!U160</f>
        <v>21921.455131578947</v>
      </c>
      <c r="G158" s="301">
        <f t="shared" si="7"/>
        <v>5.9256855541890143</v>
      </c>
      <c r="H158" s="66">
        <f t="shared" si="8"/>
        <v>64418.585000000006</v>
      </c>
    </row>
    <row r="159" spans="1:8" x14ac:dyDescent="0.25">
      <c r="A159" s="57">
        <f>'A) Base RI'!A161</f>
        <v>5653</v>
      </c>
      <c r="B159" s="64" t="str">
        <f>'A) Base RI'!B161</f>
        <v>Vufflens-le-Château</v>
      </c>
      <c r="C159" s="39">
        <f>'B) D RI'!Y161</f>
        <v>205885.45</v>
      </c>
      <c r="D159" s="19">
        <f>'B) D RI'!Z161</f>
        <v>1378.1</v>
      </c>
      <c r="E159" s="14">
        <f t="shared" si="6"/>
        <v>207263.55000000002</v>
      </c>
      <c r="F159" s="19">
        <f>'B) D RI'!U161</f>
        <v>61105.159227272721</v>
      </c>
      <c r="G159" s="301">
        <f t="shared" si="7"/>
        <v>3.3919157174455612</v>
      </c>
      <c r="H159" s="66">
        <f t="shared" si="8"/>
        <v>103356.155</v>
      </c>
    </row>
    <row r="160" spans="1:8" x14ac:dyDescent="0.25">
      <c r="A160" s="57">
        <f>'A) Base RI'!A162</f>
        <v>5654</v>
      </c>
      <c r="B160" s="64" t="str">
        <f>'A) Base RI'!B162</f>
        <v>Vullierens</v>
      </c>
      <c r="C160" s="39">
        <f>'B) D RI'!Y162</f>
        <v>96037.65</v>
      </c>
      <c r="D160" s="19">
        <f>'B) D RI'!Z162</f>
        <v>1924.35</v>
      </c>
      <c r="E160" s="14">
        <f t="shared" si="6"/>
        <v>97962</v>
      </c>
      <c r="F160" s="19">
        <f>'B) D RI'!U162</f>
        <v>17141.735000000001</v>
      </c>
      <c r="G160" s="301">
        <f t="shared" si="7"/>
        <v>5.7148240828597574</v>
      </c>
      <c r="H160" s="66">
        <f t="shared" si="8"/>
        <v>48596.13</v>
      </c>
    </row>
    <row r="161" spans="1:8" x14ac:dyDescent="0.25">
      <c r="A161" s="57">
        <f>'A) Base RI'!A163</f>
        <v>5655</v>
      </c>
      <c r="B161" s="64" t="str">
        <f>'A) Base RI'!B163</f>
        <v>Yens</v>
      </c>
      <c r="C161" s="39">
        <f>'B) D RI'!Y163</f>
        <v>199199.34999999998</v>
      </c>
      <c r="D161" s="19">
        <f>'B) D RI'!Z163</f>
        <v>67540.800000000003</v>
      </c>
      <c r="E161" s="14">
        <f t="shared" si="6"/>
        <v>266740.14999999997</v>
      </c>
      <c r="F161" s="19">
        <f>'B) D RI'!U163</f>
        <v>83580.564109589031</v>
      </c>
      <c r="G161" s="301">
        <f t="shared" si="7"/>
        <v>3.1914136120241547</v>
      </c>
      <c r="H161" s="66">
        <f t="shared" si="8"/>
        <v>119861.91499999999</v>
      </c>
    </row>
    <row r="162" spans="1:8" x14ac:dyDescent="0.25">
      <c r="A162" s="57">
        <f>'A) Base RI'!A164</f>
        <v>5661</v>
      </c>
      <c r="B162" s="64" t="str">
        <f>'A) Base RI'!B164</f>
        <v>Boulens</v>
      </c>
      <c r="C162" s="39">
        <f>'B) D RI'!Y164</f>
        <v>39458.199999999997</v>
      </c>
      <c r="D162" s="19">
        <f>'B) D RI'!Z164</f>
        <v>13441.35</v>
      </c>
      <c r="E162" s="14">
        <f t="shared" si="6"/>
        <v>52899.549999999996</v>
      </c>
      <c r="F162" s="19">
        <f>'B) D RI'!U164</f>
        <v>9592.9711392405043</v>
      </c>
      <c r="G162" s="301">
        <f t="shared" si="7"/>
        <v>5.5144072917734395</v>
      </c>
      <c r="H162" s="66">
        <f t="shared" si="8"/>
        <v>23761.504999999997</v>
      </c>
    </row>
    <row r="163" spans="1:8" x14ac:dyDescent="0.25">
      <c r="A163" s="57">
        <f>'A) Base RI'!A165</f>
        <v>5663</v>
      </c>
      <c r="B163" s="64" t="str">
        <f>'A) Base RI'!B165</f>
        <v>Bussy-sur-Moudon</v>
      </c>
      <c r="C163" s="39">
        <f>'B) D RI'!Y165</f>
        <v>20699.7</v>
      </c>
      <c r="D163" s="19">
        <f>'B) D RI'!Z165</f>
        <v>0</v>
      </c>
      <c r="E163" s="14">
        <f t="shared" si="6"/>
        <v>20699.7</v>
      </c>
      <c r="F163" s="19">
        <f>'B) D RI'!U165</f>
        <v>5468.4132499999996</v>
      </c>
      <c r="G163" s="301">
        <f t="shared" si="7"/>
        <v>3.7853210892574736</v>
      </c>
      <c r="H163" s="66">
        <f t="shared" si="8"/>
        <v>10349.85</v>
      </c>
    </row>
    <row r="164" spans="1:8" x14ac:dyDescent="0.25">
      <c r="A164" s="57">
        <f>'A) Base RI'!A166</f>
        <v>5665</v>
      </c>
      <c r="B164" s="64" t="str">
        <f>'A) Base RI'!B166</f>
        <v>Chavannes-sur-Moudon</v>
      </c>
      <c r="C164" s="39">
        <f>'B) D RI'!Y166</f>
        <v>2420</v>
      </c>
      <c r="D164" s="19">
        <f>'B) D RI'!Z166</f>
        <v>0</v>
      </c>
      <c r="E164" s="14">
        <f t="shared" si="6"/>
        <v>2420</v>
      </c>
      <c r="F164" s="19">
        <f>'B) D RI'!U166</f>
        <v>4982.8790410958891</v>
      </c>
      <c r="G164" s="301">
        <f t="shared" si="7"/>
        <v>0.48566300326402612</v>
      </c>
      <c r="H164" s="66">
        <f t="shared" si="8"/>
        <v>1210</v>
      </c>
    </row>
    <row r="165" spans="1:8" x14ac:dyDescent="0.25">
      <c r="A165" s="57">
        <f>'A) Base RI'!A167</f>
        <v>5669</v>
      </c>
      <c r="B165" s="64" t="str">
        <f>'A) Base RI'!B167</f>
        <v>Curtilles</v>
      </c>
      <c r="C165" s="39">
        <f>'B) D RI'!Y167</f>
        <v>6066.4</v>
      </c>
      <c r="D165" s="19">
        <f>'B) D RI'!Z167</f>
        <v>0</v>
      </c>
      <c r="E165" s="14">
        <f t="shared" si="6"/>
        <v>6066.4</v>
      </c>
      <c r="F165" s="19">
        <f>'B) D RI'!U167</f>
        <v>8279.174027777779</v>
      </c>
      <c r="G165" s="301">
        <f t="shared" si="7"/>
        <v>0.73273009839464476</v>
      </c>
      <c r="H165" s="66">
        <f t="shared" si="8"/>
        <v>3033.2</v>
      </c>
    </row>
    <row r="166" spans="1:8" x14ac:dyDescent="0.25">
      <c r="A166" s="57">
        <f>'A) Base RI'!A168</f>
        <v>5671</v>
      </c>
      <c r="B166" s="64" t="str">
        <f>'A) Base RI'!B168</f>
        <v>Dompierre</v>
      </c>
      <c r="C166" s="39">
        <f>'B) D RI'!Y168</f>
        <v>0</v>
      </c>
      <c r="D166" s="19">
        <f>'B) D RI'!Z168</f>
        <v>0</v>
      </c>
      <c r="E166" s="14">
        <f t="shared" si="6"/>
        <v>0</v>
      </c>
      <c r="F166" s="19">
        <f>'B) D RI'!U168</f>
        <v>6672.7971250000001</v>
      </c>
      <c r="G166" s="301">
        <f t="shared" si="7"/>
        <v>0</v>
      </c>
      <c r="H166" s="66">
        <f t="shared" si="8"/>
        <v>0</v>
      </c>
    </row>
    <row r="167" spans="1:8" x14ac:dyDescent="0.25">
      <c r="A167" s="57">
        <f>'A) Base RI'!A169</f>
        <v>5673</v>
      </c>
      <c r="B167" s="64" t="str">
        <f>'A) Base RI'!B169</f>
        <v>Hermenches</v>
      </c>
      <c r="C167" s="39">
        <f>'B) D RI'!Y169</f>
        <v>15018.15</v>
      </c>
      <c r="D167" s="19">
        <f>'B) D RI'!Z169</f>
        <v>17541.400000000001</v>
      </c>
      <c r="E167" s="14">
        <f t="shared" si="6"/>
        <v>32559.550000000003</v>
      </c>
      <c r="F167" s="19">
        <f>'B) D RI'!U169</f>
        <v>7873.3323555555571</v>
      </c>
      <c r="G167" s="301">
        <f t="shared" si="7"/>
        <v>4.1354217667472692</v>
      </c>
      <c r="H167" s="66">
        <f t="shared" si="8"/>
        <v>12771.494999999999</v>
      </c>
    </row>
    <row r="168" spans="1:8" x14ac:dyDescent="0.25">
      <c r="A168" s="57">
        <f>'A) Base RI'!A170</f>
        <v>5674</v>
      </c>
      <c r="B168" s="64" t="str">
        <f>'A) Base RI'!B170</f>
        <v>Lovatens</v>
      </c>
      <c r="C168" s="39">
        <f>'B) D RI'!Y170</f>
        <v>55216.3</v>
      </c>
      <c r="D168" s="19">
        <f>'B) D RI'!Z170</f>
        <v>0</v>
      </c>
      <c r="E168" s="14">
        <f t="shared" si="6"/>
        <v>55216.3</v>
      </c>
      <c r="F168" s="19">
        <f>'B) D RI'!U170</f>
        <v>3776.8391809523814</v>
      </c>
      <c r="G168" s="301">
        <f t="shared" si="7"/>
        <v>14.619711709852698</v>
      </c>
      <c r="H168" s="66">
        <f t="shared" si="8"/>
        <v>27608.15</v>
      </c>
    </row>
    <row r="169" spans="1:8" x14ac:dyDescent="0.25">
      <c r="A169" s="57">
        <f>'A) Base RI'!A171</f>
        <v>5675</v>
      </c>
      <c r="B169" s="64" t="str">
        <f>'A) Base RI'!B171</f>
        <v>Lucens</v>
      </c>
      <c r="C169" s="39">
        <f>'B) D RI'!Y171</f>
        <v>421261.3</v>
      </c>
      <c r="D169" s="19">
        <f>'B) D RI'!Z171</f>
        <v>31958.400000000001</v>
      </c>
      <c r="E169" s="14">
        <f t="shared" si="6"/>
        <v>453219.7</v>
      </c>
      <c r="F169" s="19">
        <f>'B) D RI'!U171</f>
        <v>92926.657086941384</v>
      </c>
      <c r="G169" s="301">
        <f t="shared" si="7"/>
        <v>4.8771764121028429</v>
      </c>
      <c r="H169" s="66">
        <f t="shared" si="8"/>
        <v>220218.16999999998</v>
      </c>
    </row>
    <row r="170" spans="1:8" x14ac:dyDescent="0.25">
      <c r="A170" s="57">
        <f>'A) Base RI'!A172</f>
        <v>5678</v>
      </c>
      <c r="B170" s="64" t="str">
        <f>'A) Base RI'!B172</f>
        <v>Moudon</v>
      </c>
      <c r="C170" s="39">
        <f>'B) D RI'!Y172</f>
        <v>698300.4</v>
      </c>
      <c r="D170" s="19">
        <f>'B) D RI'!Z172</f>
        <v>174981.1</v>
      </c>
      <c r="E170" s="14">
        <f t="shared" si="6"/>
        <v>873281.5</v>
      </c>
      <c r="F170" s="19">
        <f>'B) D RI'!U172</f>
        <v>123116.47720000001</v>
      </c>
      <c r="G170" s="301">
        <f t="shared" si="7"/>
        <v>7.0931326160459696</v>
      </c>
      <c r="H170" s="66">
        <f t="shared" si="8"/>
        <v>401644.53</v>
      </c>
    </row>
    <row r="171" spans="1:8" x14ac:dyDescent="0.25">
      <c r="A171" s="57">
        <f>'A) Base RI'!A173</f>
        <v>5680</v>
      </c>
      <c r="B171" s="64" t="str">
        <f>'A) Base RI'!B173</f>
        <v>Ogens</v>
      </c>
      <c r="C171" s="39">
        <f>'B) D RI'!Y173</f>
        <v>39469.949999999997</v>
      </c>
      <c r="D171" s="19">
        <f>'B) D RI'!Z173</f>
        <v>0</v>
      </c>
      <c r="E171" s="14">
        <f t="shared" si="6"/>
        <v>39469.949999999997</v>
      </c>
      <c r="F171" s="19">
        <f>'B) D RI'!U173</f>
        <v>8504.3488034188031</v>
      </c>
      <c r="G171" s="301">
        <f t="shared" si="7"/>
        <v>4.6411490065098011</v>
      </c>
      <c r="H171" s="66">
        <f t="shared" si="8"/>
        <v>19734.974999999999</v>
      </c>
    </row>
    <row r="172" spans="1:8" x14ac:dyDescent="0.25">
      <c r="A172" s="57">
        <f>'A) Base RI'!A174</f>
        <v>5683</v>
      </c>
      <c r="B172" s="64" t="str">
        <f>'A) Base RI'!B174</f>
        <v>Prévonloup</v>
      </c>
      <c r="C172" s="39">
        <f>'B) D RI'!Y174</f>
        <v>0</v>
      </c>
      <c r="D172" s="19">
        <f>'B) D RI'!Z174</f>
        <v>0</v>
      </c>
      <c r="E172" s="14">
        <f t="shared" si="6"/>
        <v>0</v>
      </c>
      <c r="F172" s="19">
        <f>'B) D RI'!U174</f>
        <v>4128.5685135135127</v>
      </c>
      <c r="G172" s="301">
        <f t="shared" si="7"/>
        <v>0</v>
      </c>
      <c r="H172" s="66">
        <f t="shared" si="8"/>
        <v>0</v>
      </c>
    </row>
    <row r="173" spans="1:8" x14ac:dyDescent="0.25">
      <c r="A173" s="57">
        <f>'A) Base RI'!A175</f>
        <v>5684</v>
      </c>
      <c r="B173" s="64" t="str">
        <f>'A) Base RI'!B175</f>
        <v>Rossenges</v>
      </c>
      <c r="C173" s="39">
        <f>'B) D RI'!Y175</f>
        <v>0</v>
      </c>
      <c r="D173" s="19">
        <f>'B) D RI'!Z175</f>
        <v>0</v>
      </c>
      <c r="E173" s="14">
        <f t="shared" si="6"/>
        <v>0</v>
      </c>
      <c r="F173" s="19">
        <f>'B) D RI'!U175</f>
        <v>2119.9519999999998</v>
      </c>
      <c r="G173" s="301">
        <f t="shared" si="7"/>
        <v>0</v>
      </c>
      <c r="H173" s="66">
        <f t="shared" si="8"/>
        <v>0</v>
      </c>
    </row>
    <row r="174" spans="1:8" x14ac:dyDescent="0.25">
      <c r="A174" s="57">
        <f>'A) Base RI'!A176</f>
        <v>5688</v>
      </c>
      <c r="B174" s="64" t="str">
        <f>'A) Base RI'!B176</f>
        <v>Syens</v>
      </c>
      <c r="C174" s="39">
        <f>'B) D RI'!Y176</f>
        <v>43036.75</v>
      </c>
      <c r="D174" s="19">
        <f>'B) D RI'!Z176</f>
        <v>115.75</v>
      </c>
      <c r="E174" s="14">
        <f t="shared" si="6"/>
        <v>43152.5</v>
      </c>
      <c r="F174" s="19">
        <f>'B) D RI'!U176</f>
        <v>4845.4007936507942</v>
      </c>
      <c r="G174" s="301">
        <f t="shared" si="7"/>
        <v>8.9058680257255887</v>
      </c>
      <c r="H174" s="66">
        <f t="shared" si="8"/>
        <v>21553.1</v>
      </c>
    </row>
    <row r="175" spans="1:8" x14ac:dyDescent="0.25">
      <c r="A175" s="57">
        <f>'A) Base RI'!A177</f>
        <v>5690</v>
      </c>
      <c r="B175" s="64" t="str">
        <f>'A) Base RI'!B177</f>
        <v>Villars-le-Comte</v>
      </c>
      <c r="C175" s="39">
        <f>'B) D RI'!Y177</f>
        <v>2746.25</v>
      </c>
      <c r="D175" s="19">
        <f>'B) D RI'!Z177</f>
        <v>0</v>
      </c>
      <c r="E175" s="14">
        <f t="shared" si="6"/>
        <v>2746.25</v>
      </c>
      <c r="F175" s="19">
        <f>'B) D RI'!U177</f>
        <v>3252.2851315789467</v>
      </c>
      <c r="G175" s="301">
        <f t="shared" si="7"/>
        <v>0.84440628324206235</v>
      </c>
      <c r="H175" s="66">
        <f t="shared" si="8"/>
        <v>1373.125</v>
      </c>
    </row>
    <row r="176" spans="1:8" x14ac:dyDescent="0.25">
      <c r="A176" s="57">
        <f>'A) Base RI'!A178</f>
        <v>5692</v>
      </c>
      <c r="B176" s="64" t="str">
        <f>'A) Base RI'!B178</f>
        <v>Vucherens</v>
      </c>
      <c r="C176" s="39">
        <f>'B) D RI'!Y178</f>
        <v>136228.04999999999</v>
      </c>
      <c r="D176" s="19">
        <f>'B) D RI'!Z178</f>
        <v>5328.7</v>
      </c>
      <c r="E176" s="14">
        <f t="shared" si="6"/>
        <v>141556.75</v>
      </c>
      <c r="F176" s="19">
        <f>'B) D RI'!U178</f>
        <v>16993.232405063292</v>
      </c>
      <c r="G176" s="301">
        <f t="shared" si="7"/>
        <v>8.3301838417640806</v>
      </c>
      <c r="H176" s="66">
        <f t="shared" si="8"/>
        <v>69712.634999999995</v>
      </c>
    </row>
    <row r="177" spans="1:8" x14ac:dyDescent="0.25">
      <c r="A177" s="57">
        <f>'A) Base RI'!A179</f>
        <v>5693</v>
      </c>
      <c r="B177" s="64" t="str">
        <f>'A) Base RI'!B179</f>
        <v>Montanaire</v>
      </c>
      <c r="C177" s="39">
        <f>'B) D RI'!Y179</f>
        <v>286683.59999999998</v>
      </c>
      <c r="D177" s="19">
        <f>'B) D RI'!Z179</f>
        <v>11101.4</v>
      </c>
      <c r="E177" s="14">
        <f t="shared" si="6"/>
        <v>297785</v>
      </c>
      <c r="F177" s="19">
        <f>'B) D RI'!U179</f>
        <v>63585.08152777778</v>
      </c>
      <c r="G177" s="301">
        <f t="shared" si="7"/>
        <v>4.6832526253805247</v>
      </c>
      <c r="H177" s="66">
        <f t="shared" si="8"/>
        <v>146672.22</v>
      </c>
    </row>
    <row r="178" spans="1:8" x14ac:dyDescent="0.25">
      <c r="A178" s="57">
        <f>'A) Base RI'!A180</f>
        <v>5701</v>
      </c>
      <c r="B178" s="64" t="str">
        <f>'A) Base RI'!B180</f>
        <v>Arnex-sur-Nyon</v>
      </c>
      <c r="C178" s="39">
        <f>'B) D RI'!Y180</f>
        <v>113832.35</v>
      </c>
      <c r="D178" s="19">
        <f>'B) D RI'!Z180</f>
        <v>0</v>
      </c>
      <c r="E178" s="14">
        <f t="shared" si="6"/>
        <v>113832.35</v>
      </c>
      <c r="F178" s="19">
        <f>'B) D RI'!U180</f>
        <v>15270.610714285714</v>
      </c>
      <c r="G178" s="301">
        <f t="shared" si="7"/>
        <v>7.4543416848095934</v>
      </c>
      <c r="H178" s="66">
        <f t="shared" si="8"/>
        <v>56916.175000000003</v>
      </c>
    </row>
    <row r="179" spans="1:8" x14ac:dyDescent="0.25">
      <c r="A179" s="57">
        <f>'A) Base RI'!A181</f>
        <v>5702</v>
      </c>
      <c r="B179" s="64" t="str">
        <f>'A) Base RI'!B181</f>
        <v>Arzier-Le Muids</v>
      </c>
      <c r="C179" s="39">
        <f>'B) D RI'!Y181</f>
        <v>906076.75</v>
      </c>
      <c r="D179" s="19">
        <f>'B) D RI'!Z181</f>
        <v>60340.95</v>
      </c>
      <c r="E179" s="14">
        <f t="shared" si="6"/>
        <v>966417.7</v>
      </c>
      <c r="F179" s="19">
        <f>'B) D RI'!U181</f>
        <v>153872.87421874999</v>
      </c>
      <c r="G179" s="301">
        <f t="shared" si="7"/>
        <v>6.2806242159752825</v>
      </c>
      <c r="H179" s="66">
        <f t="shared" si="8"/>
        <v>471140.66</v>
      </c>
    </row>
    <row r="180" spans="1:8" x14ac:dyDescent="0.25">
      <c r="A180" s="57">
        <f>'A) Base RI'!A182</f>
        <v>5703</v>
      </c>
      <c r="B180" s="64" t="str">
        <f>'A) Base RI'!B182</f>
        <v>Bassins</v>
      </c>
      <c r="C180" s="39">
        <f>'B) D RI'!Y182</f>
        <v>189955.19999999998</v>
      </c>
      <c r="D180" s="19">
        <f>'B) D RI'!Z182</f>
        <v>34704.25</v>
      </c>
      <c r="E180" s="14">
        <f t="shared" si="6"/>
        <v>224659.44999999998</v>
      </c>
      <c r="F180" s="19">
        <f>'B) D RI'!U182</f>
        <v>52372.205915492945</v>
      </c>
      <c r="G180" s="301">
        <f t="shared" si="7"/>
        <v>4.2896694166846308</v>
      </c>
      <c r="H180" s="66">
        <f t="shared" si="8"/>
        <v>105388.87499999999</v>
      </c>
    </row>
    <row r="181" spans="1:8" x14ac:dyDescent="0.25">
      <c r="A181" s="57">
        <f>'A) Base RI'!A183</f>
        <v>5704</v>
      </c>
      <c r="B181" s="64" t="str">
        <f>'A) Base RI'!B183</f>
        <v>Begnins</v>
      </c>
      <c r="C181" s="39">
        <f>'B) D RI'!Y183</f>
        <v>707034.5</v>
      </c>
      <c r="D181" s="19">
        <f>'B) D RI'!Z183</f>
        <v>52487.1</v>
      </c>
      <c r="E181" s="14">
        <f t="shared" si="6"/>
        <v>759521.6</v>
      </c>
      <c r="F181" s="19">
        <f>'B) D RI'!U183</f>
        <v>118306.82039800995</v>
      </c>
      <c r="G181" s="301">
        <f t="shared" si="7"/>
        <v>6.4199307989581973</v>
      </c>
      <c r="H181" s="66">
        <f t="shared" si="8"/>
        <v>369263.38</v>
      </c>
    </row>
    <row r="182" spans="1:8" x14ac:dyDescent="0.25">
      <c r="A182" s="57">
        <f>'A) Base RI'!A184</f>
        <v>5705</v>
      </c>
      <c r="B182" s="64" t="str">
        <f>'A) Base RI'!B184</f>
        <v>Bogis-Bossey</v>
      </c>
      <c r="C182" s="39">
        <f>'B) D RI'!Y184</f>
        <v>136104.29999999999</v>
      </c>
      <c r="D182" s="19">
        <f>'B) D RI'!Z184</f>
        <v>30724.95</v>
      </c>
      <c r="E182" s="14">
        <f t="shared" si="6"/>
        <v>166829.25</v>
      </c>
      <c r="F182" s="19">
        <f>'B) D RI'!U184</f>
        <v>49610.676285714275</v>
      </c>
      <c r="G182" s="301">
        <f t="shared" si="7"/>
        <v>3.3627691152446473</v>
      </c>
      <c r="H182" s="66">
        <f t="shared" si="8"/>
        <v>77269.634999999995</v>
      </c>
    </row>
    <row r="183" spans="1:8" x14ac:dyDescent="0.25">
      <c r="A183" s="57">
        <f>'A) Base RI'!A185</f>
        <v>5706</v>
      </c>
      <c r="B183" s="64" t="str">
        <f>'A) Base RI'!B185</f>
        <v>Borex</v>
      </c>
      <c r="C183" s="39">
        <f>'B) D RI'!Y185</f>
        <v>420626.15</v>
      </c>
      <c r="D183" s="19">
        <f>'B) D RI'!Z185</f>
        <v>7866.85</v>
      </c>
      <c r="E183" s="14">
        <f t="shared" si="6"/>
        <v>428493</v>
      </c>
      <c r="F183" s="19">
        <f>'B) D RI'!U185</f>
        <v>68211.153151515144</v>
      </c>
      <c r="G183" s="301">
        <f t="shared" si="7"/>
        <v>6.2818612529274045</v>
      </c>
      <c r="H183" s="66">
        <f t="shared" si="8"/>
        <v>212673.13</v>
      </c>
    </row>
    <row r="184" spans="1:8" x14ac:dyDescent="0.25">
      <c r="A184" s="57">
        <f>'A) Base RI'!A186</f>
        <v>5707</v>
      </c>
      <c r="B184" s="64" t="str">
        <f>'A) Base RI'!B186</f>
        <v>Chavannes-de-Bogis</v>
      </c>
      <c r="C184" s="39">
        <f>'B) D RI'!Y186</f>
        <v>440062.15</v>
      </c>
      <c r="D184" s="19">
        <f>'B) D RI'!Z186</f>
        <v>532120.35</v>
      </c>
      <c r="E184" s="14">
        <f t="shared" si="6"/>
        <v>972182.5</v>
      </c>
      <c r="F184" s="19">
        <f>'B) D RI'!U186</f>
        <v>101262.00960451979</v>
      </c>
      <c r="G184" s="301">
        <f t="shared" si="7"/>
        <v>9.6006637019833256</v>
      </c>
      <c r="H184" s="66">
        <f t="shared" si="8"/>
        <v>379667.18</v>
      </c>
    </row>
    <row r="185" spans="1:8" x14ac:dyDescent="0.25">
      <c r="A185" s="57">
        <f>'A) Base RI'!A187</f>
        <v>5708</v>
      </c>
      <c r="B185" s="64" t="str">
        <f>'A) Base RI'!B187</f>
        <v>Chavannes-des-Bois</v>
      </c>
      <c r="C185" s="39">
        <f>'B) D RI'!Y187</f>
        <v>286129.65000000002</v>
      </c>
      <c r="D185" s="19">
        <f>'B) D RI'!Z187</f>
        <v>1162.3499999999999</v>
      </c>
      <c r="E185" s="14">
        <f t="shared" si="6"/>
        <v>287292</v>
      </c>
      <c r="F185" s="19">
        <f>'B) D RI'!U187</f>
        <v>66077.93781420766</v>
      </c>
      <c r="G185" s="301">
        <f t="shared" si="7"/>
        <v>4.3477749079849204</v>
      </c>
      <c r="H185" s="66">
        <f t="shared" si="8"/>
        <v>143413.53</v>
      </c>
    </row>
    <row r="186" spans="1:8" x14ac:dyDescent="0.25">
      <c r="A186" s="57">
        <f>'A) Base RI'!A188</f>
        <v>5709</v>
      </c>
      <c r="B186" s="64" t="str">
        <f>'A) Base RI'!B188</f>
        <v>Chéserex</v>
      </c>
      <c r="C186" s="39">
        <f>'B) D RI'!Y188</f>
        <v>1379141.95</v>
      </c>
      <c r="D186" s="19">
        <f>'B) D RI'!Z188</f>
        <v>25524.7</v>
      </c>
      <c r="E186" s="14">
        <f t="shared" si="6"/>
        <v>1404666.65</v>
      </c>
      <c r="F186" s="19">
        <f>'B) D RI'!U188</f>
        <v>141681.04461538463</v>
      </c>
      <c r="G186" s="301">
        <f t="shared" si="7"/>
        <v>9.9142877850257776</v>
      </c>
      <c r="H186" s="66">
        <f t="shared" si="8"/>
        <v>697228.38500000001</v>
      </c>
    </row>
    <row r="187" spans="1:8" x14ac:dyDescent="0.25">
      <c r="A187" s="57">
        <f>'A) Base RI'!A189</f>
        <v>5710</v>
      </c>
      <c r="B187" s="64" t="str">
        <f>'A) Base RI'!B189</f>
        <v>Coinsins</v>
      </c>
      <c r="C187" s="39">
        <f>'B) D RI'!Y189</f>
        <v>92128.2</v>
      </c>
      <c r="D187" s="19">
        <f>'B) D RI'!Z189</f>
        <v>28126.3</v>
      </c>
      <c r="E187" s="14">
        <f t="shared" si="6"/>
        <v>120254.5</v>
      </c>
      <c r="F187" s="19">
        <f>'B) D RI'!U189</f>
        <v>77522.491219512216</v>
      </c>
      <c r="G187" s="301">
        <f t="shared" si="7"/>
        <v>1.5512207890673699</v>
      </c>
      <c r="H187" s="66">
        <f t="shared" si="8"/>
        <v>54501.99</v>
      </c>
    </row>
    <row r="188" spans="1:8" x14ac:dyDescent="0.25">
      <c r="A188" s="57">
        <f>'A) Base RI'!A190</f>
        <v>5711</v>
      </c>
      <c r="B188" s="64" t="str">
        <f>'A) Base RI'!B190</f>
        <v>Commugny</v>
      </c>
      <c r="C188" s="39">
        <f>'B) D RI'!Y190</f>
        <v>1200322.8999999999</v>
      </c>
      <c r="D188" s="19">
        <f>'B) D RI'!Z190</f>
        <v>30020.2</v>
      </c>
      <c r="E188" s="14">
        <f t="shared" si="6"/>
        <v>1230343.0999999999</v>
      </c>
      <c r="F188" s="19">
        <f>'B) D RI'!U190</f>
        <v>249621.80260458836</v>
      </c>
      <c r="G188" s="301">
        <f t="shared" si="7"/>
        <v>4.9288286806778494</v>
      </c>
      <c r="H188" s="66">
        <f t="shared" si="8"/>
        <v>609167.51</v>
      </c>
    </row>
    <row r="189" spans="1:8" x14ac:dyDescent="0.25">
      <c r="A189" s="57">
        <f>'A) Base RI'!A191</f>
        <v>5712</v>
      </c>
      <c r="B189" s="64" t="str">
        <f>'A) Base RI'!B191</f>
        <v>Coppet</v>
      </c>
      <c r="C189" s="39">
        <f>'B) D RI'!Y191</f>
        <v>2451376.0999999996</v>
      </c>
      <c r="D189" s="19">
        <f>'B) D RI'!Z191</f>
        <v>139072.15</v>
      </c>
      <c r="E189" s="14">
        <f t="shared" si="6"/>
        <v>2590448.2499999995</v>
      </c>
      <c r="F189" s="19">
        <f>'B) D RI'!U191</f>
        <v>316866.86955974839</v>
      </c>
      <c r="G189" s="301">
        <f t="shared" si="7"/>
        <v>8.1751943761086228</v>
      </c>
      <c r="H189" s="66">
        <f t="shared" si="8"/>
        <v>1267409.6949999998</v>
      </c>
    </row>
    <row r="190" spans="1:8" x14ac:dyDescent="0.25">
      <c r="A190" s="57">
        <f>'A) Base RI'!A192</f>
        <v>5713</v>
      </c>
      <c r="B190" s="64" t="str">
        <f>'A) Base RI'!B192</f>
        <v>Crans-près-Céligny</v>
      </c>
      <c r="C190" s="39">
        <f>'B) D RI'!Y192</f>
        <v>1560513.05</v>
      </c>
      <c r="D190" s="19">
        <f>'B) D RI'!Z192</f>
        <v>31755.65</v>
      </c>
      <c r="E190" s="14">
        <f t="shared" si="6"/>
        <v>1592268.7</v>
      </c>
      <c r="F190" s="19">
        <f>'B) D RI'!U192</f>
        <v>229285.72754716981</v>
      </c>
      <c r="G190" s="301">
        <f t="shared" si="7"/>
        <v>6.9444736793415567</v>
      </c>
      <c r="H190" s="66">
        <f t="shared" si="8"/>
        <v>789783.22</v>
      </c>
    </row>
    <row r="191" spans="1:8" x14ac:dyDescent="0.25">
      <c r="A191" s="57">
        <f>'A) Base RI'!A193</f>
        <v>5714</v>
      </c>
      <c r="B191" s="64" t="str">
        <f>'A) Base RI'!B193</f>
        <v>Crassier</v>
      </c>
      <c r="C191" s="39">
        <f>'B) D RI'!Y193</f>
        <v>287518.65000000002</v>
      </c>
      <c r="D191" s="19">
        <f>'B) D RI'!Z193</f>
        <v>77119.850000000006</v>
      </c>
      <c r="E191" s="14">
        <f t="shared" si="6"/>
        <v>364638.5</v>
      </c>
      <c r="F191" s="19">
        <f>'B) D RI'!U193</f>
        <v>82427.7421875</v>
      </c>
      <c r="G191" s="301">
        <f t="shared" si="7"/>
        <v>4.4237351445408954</v>
      </c>
      <c r="H191" s="66">
        <f t="shared" si="8"/>
        <v>166895.28000000003</v>
      </c>
    </row>
    <row r="192" spans="1:8" x14ac:dyDescent="0.25">
      <c r="A192" s="57">
        <f>'A) Base RI'!A194</f>
        <v>5715</v>
      </c>
      <c r="B192" s="64" t="str">
        <f>'A) Base RI'!B194</f>
        <v>Duillier</v>
      </c>
      <c r="C192" s="39">
        <f>'B) D RI'!Y194</f>
        <v>372083.94999999995</v>
      </c>
      <c r="D192" s="19">
        <f>'B) D RI'!Z194</f>
        <v>37959.25</v>
      </c>
      <c r="E192" s="14">
        <f t="shared" si="6"/>
        <v>410043.19999999995</v>
      </c>
      <c r="F192" s="19">
        <f>'B) D RI'!U194</f>
        <v>64112.353030303027</v>
      </c>
      <c r="G192" s="301">
        <f t="shared" si="7"/>
        <v>6.3956972505156839</v>
      </c>
      <c r="H192" s="66">
        <f t="shared" si="8"/>
        <v>197429.74999999997</v>
      </c>
    </row>
    <row r="193" spans="1:8" x14ac:dyDescent="0.25">
      <c r="A193" s="57">
        <f>'A) Base RI'!A195</f>
        <v>5716</v>
      </c>
      <c r="B193" s="64" t="str">
        <f>'A) Base RI'!B195</f>
        <v>Eysins</v>
      </c>
      <c r="C193" s="39">
        <f>'B) D RI'!Y195</f>
        <v>1236010.6499999999</v>
      </c>
      <c r="D193" s="19">
        <f>'B) D RI'!Z195</f>
        <v>454385.3</v>
      </c>
      <c r="E193" s="14">
        <f t="shared" si="6"/>
        <v>1690395.95</v>
      </c>
      <c r="F193" s="19">
        <f>'B) D RI'!U195</f>
        <v>93259.046229508182</v>
      </c>
      <c r="G193" s="301">
        <f t="shared" si="7"/>
        <v>18.125812115212693</v>
      </c>
      <c r="H193" s="66">
        <f t="shared" si="8"/>
        <v>754320.91499999992</v>
      </c>
    </row>
    <row r="194" spans="1:8" x14ac:dyDescent="0.25">
      <c r="A194" s="57">
        <f>'A) Base RI'!A196</f>
        <v>5717</v>
      </c>
      <c r="B194" s="64" t="str">
        <f>'A) Base RI'!B196</f>
        <v>Founex</v>
      </c>
      <c r="C194" s="39">
        <f>'B) D RI'!Y196</f>
        <v>1516153.25</v>
      </c>
      <c r="D194" s="19">
        <f>'B) D RI'!Z196</f>
        <v>168707.25</v>
      </c>
      <c r="E194" s="14">
        <f t="shared" si="6"/>
        <v>1684860.5</v>
      </c>
      <c r="F194" s="19">
        <f>'B) D RI'!U196</f>
        <v>359686.500877193</v>
      </c>
      <c r="G194" s="301">
        <f t="shared" si="7"/>
        <v>4.6842472427822868</v>
      </c>
      <c r="H194" s="66">
        <f t="shared" si="8"/>
        <v>808688.8</v>
      </c>
    </row>
    <row r="195" spans="1:8" x14ac:dyDescent="0.25">
      <c r="A195" s="57">
        <f>'A) Base RI'!A197</f>
        <v>5718</v>
      </c>
      <c r="B195" s="64" t="str">
        <f>'A) Base RI'!B197</f>
        <v>Genolier</v>
      </c>
      <c r="C195" s="39">
        <f>'B) D RI'!Y197</f>
        <v>1062525.8</v>
      </c>
      <c r="D195" s="19">
        <f>'B) D RI'!Z197</f>
        <v>364037.8</v>
      </c>
      <c r="E195" s="14">
        <f t="shared" si="6"/>
        <v>1426563.6</v>
      </c>
      <c r="F195" s="19">
        <f>'B) D RI'!U197</f>
        <v>194551.61054545455</v>
      </c>
      <c r="G195" s="301">
        <f t="shared" si="7"/>
        <v>7.3325715269095726</v>
      </c>
      <c r="H195" s="66">
        <f t="shared" si="8"/>
        <v>640474.24</v>
      </c>
    </row>
    <row r="196" spans="1:8" x14ac:dyDescent="0.25">
      <c r="A196" s="57">
        <f>'A) Base RI'!A198</f>
        <v>5719</v>
      </c>
      <c r="B196" s="64" t="str">
        <f>'A) Base RI'!B198</f>
        <v>Gingins</v>
      </c>
      <c r="C196" s="39">
        <f>'B) D RI'!Y198</f>
        <v>998297.20000000007</v>
      </c>
      <c r="D196" s="19">
        <f>'B) D RI'!Z198</f>
        <v>68663.100000000006</v>
      </c>
      <c r="E196" s="14">
        <f t="shared" si="6"/>
        <v>1066960.3</v>
      </c>
      <c r="F196" s="19">
        <f>'B) D RI'!U198</f>
        <v>90011.711578947361</v>
      </c>
      <c r="G196" s="301">
        <f t="shared" si="7"/>
        <v>11.853571955069334</v>
      </c>
      <c r="H196" s="66">
        <f t="shared" si="8"/>
        <v>519747.53</v>
      </c>
    </row>
    <row r="197" spans="1:8" x14ac:dyDescent="0.25">
      <c r="A197" s="57">
        <f>'A) Base RI'!A199</f>
        <v>5720</v>
      </c>
      <c r="B197" s="64" t="str">
        <f>'A) Base RI'!B199</f>
        <v>Givrins</v>
      </c>
      <c r="C197" s="39">
        <f>'B) D RI'!Y199</f>
        <v>268008.15000000002</v>
      </c>
      <c r="D197" s="19">
        <f>'B) D RI'!Z199</f>
        <v>22318.35</v>
      </c>
      <c r="E197" s="14">
        <f t="shared" si="6"/>
        <v>290326.5</v>
      </c>
      <c r="F197" s="19">
        <f>'B) D RI'!U199</f>
        <v>73631.281876138426</v>
      </c>
      <c r="G197" s="301">
        <f t="shared" si="7"/>
        <v>3.9429776665899068</v>
      </c>
      <c r="H197" s="66">
        <f t="shared" si="8"/>
        <v>140699.58000000002</v>
      </c>
    </row>
    <row r="198" spans="1:8" x14ac:dyDescent="0.25">
      <c r="A198" s="57">
        <f>'A) Base RI'!A200</f>
        <v>5721</v>
      </c>
      <c r="B198" s="64" t="str">
        <f>'A) Base RI'!B200</f>
        <v>Gland</v>
      </c>
      <c r="C198" s="39">
        <f>'B) D RI'!Y200</f>
        <v>2457309.15</v>
      </c>
      <c r="D198" s="19">
        <f>'B) D RI'!Z200</f>
        <v>1972526.75</v>
      </c>
      <c r="E198" s="14">
        <f t="shared" ref="E198:E261" si="9">C198+D198</f>
        <v>4429835.9000000004</v>
      </c>
      <c r="F198" s="19">
        <f>'B) D RI'!U200</f>
        <v>541149.08192000003</v>
      </c>
      <c r="G198" s="301">
        <f t="shared" ref="G198:G261" si="10">E198/F198</f>
        <v>8.185980625307387</v>
      </c>
      <c r="H198" s="66">
        <f t="shared" ref="H198:H261" si="11">(C198*$C$4)+(D198*$D$4)</f>
        <v>1820412.6</v>
      </c>
    </row>
    <row r="199" spans="1:8" x14ac:dyDescent="0.25">
      <c r="A199" s="57">
        <f>'A) Base RI'!A201</f>
        <v>5722</v>
      </c>
      <c r="B199" s="64" t="str">
        <f>'A) Base RI'!B201</f>
        <v>Grens</v>
      </c>
      <c r="C199" s="39">
        <f>'B) D RI'!Y201</f>
        <v>371806.3</v>
      </c>
      <c r="D199" s="19">
        <f>'B) D RI'!Z201</f>
        <v>7421.2</v>
      </c>
      <c r="E199" s="14">
        <f t="shared" si="9"/>
        <v>379227.5</v>
      </c>
      <c r="F199" s="19">
        <f>'B) D RI'!U201</f>
        <v>20499.342258064513</v>
      </c>
      <c r="G199" s="301">
        <f t="shared" si="10"/>
        <v>18.499495994843961</v>
      </c>
      <c r="H199" s="66">
        <f t="shared" si="11"/>
        <v>188129.50999999998</v>
      </c>
    </row>
    <row r="200" spans="1:8" x14ac:dyDescent="0.25">
      <c r="A200" s="57">
        <f>'A) Base RI'!A202</f>
        <v>5723</v>
      </c>
      <c r="B200" s="64" t="str">
        <f>'A) Base RI'!B202</f>
        <v>Mies</v>
      </c>
      <c r="C200" s="39">
        <f>'B) D RI'!Y202</f>
        <v>1824409.85</v>
      </c>
      <c r="D200" s="19">
        <f>'B) D RI'!Z202</f>
        <v>148394.4</v>
      </c>
      <c r="E200" s="14">
        <f t="shared" si="9"/>
        <v>1972804.25</v>
      </c>
      <c r="F200" s="19">
        <f>'B) D RI'!U202</f>
        <v>621558.82755102031</v>
      </c>
      <c r="G200" s="301">
        <f t="shared" si="10"/>
        <v>3.1739622422755529</v>
      </c>
      <c r="H200" s="66">
        <f t="shared" si="11"/>
        <v>956723.245</v>
      </c>
    </row>
    <row r="201" spans="1:8" x14ac:dyDescent="0.25">
      <c r="A201" s="57">
        <f>'A) Base RI'!A203</f>
        <v>5724</v>
      </c>
      <c r="B201" s="64" t="str">
        <f>'A) Base RI'!B203</f>
        <v>Nyon</v>
      </c>
      <c r="C201" s="39">
        <f>'B) D RI'!Y203</f>
        <v>8619854.25</v>
      </c>
      <c r="D201" s="19">
        <f>'B) D RI'!Z203</f>
        <v>4000000</v>
      </c>
      <c r="E201" s="14">
        <f t="shared" si="9"/>
        <v>12619854.25</v>
      </c>
      <c r="F201" s="19">
        <f>'B) D RI'!U203</f>
        <v>1418675.3806683479</v>
      </c>
      <c r="G201" s="301">
        <f t="shared" si="10"/>
        <v>8.8955193146826144</v>
      </c>
      <c r="H201" s="66">
        <f t="shared" si="11"/>
        <v>5509927.125</v>
      </c>
    </row>
    <row r="202" spans="1:8" x14ac:dyDescent="0.25">
      <c r="A202" s="57">
        <f>'A) Base RI'!A204</f>
        <v>5725</v>
      </c>
      <c r="B202" s="64" t="str">
        <f>'A) Base RI'!B204</f>
        <v>Prangins</v>
      </c>
      <c r="C202" s="39">
        <f>'B) D RI'!Y204</f>
        <v>927134</v>
      </c>
      <c r="D202" s="19">
        <f>'B) D RI'!Z204</f>
        <v>1232272.8999999999</v>
      </c>
      <c r="E202" s="14">
        <f t="shared" si="9"/>
        <v>2159406.9</v>
      </c>
      <c r="F202" s="19">
        <f>'B) D RI'!U204</f>
        <v>319840.55765306117</v>
      </c>
      <c r="G202" s="301">
        <f t="shared" si="10"/>
        <v>6.7515105521494281</v>
      </c>
      <c r="H202" s="66">
        <f t="shared" si="11"/>
        <v>833248.86999999988</v>
      </c>
    </row>
    <row r="203" spans="1:8" x14ac:dyDescent="0.25">
      <c r="A203" s="57">
        <f>'A) Base RI'!A205</f>
        <v>5726</v>
      </c>
      <c r="B203" s="64" t="str">
        <f>'A) Base RI'!B205</f>
        <v>La Rippe</v>
      </c>
      <c r="C203" s="39">
        <f>'B) D RI'!Y205</f>
        <v>228294.39999999999</v>
      </c>
      <c r="D203" s="19">
        <f>'B) D RI'!Z205</f>
        <v>22619.15</v>
      </c>
      <c r="E203" s="14">
        <f t="shared" si="9"/>
        <v>250913.55</v>
      </c>
      <c r="F203" s="19">
        <f>'B) D RI'!U205</f>
        <v>62420.845692307696</v>
      </c>
      <c r="G203" s="301">
        <f t="shared" si="10"/>
        <v>4.0197076347993281</v>
      </c>
      <c r="H203" s="66">
        <f t="shared" si="11"/>
        <v>120932.94499999999</v>
      </c>
    </row>
    <row r="204" spans="1:8" x14ac:dyDescent="0.25">
      <c r="A204" s="57">
        <f>'A) Base RI'!A206</f>
        <v>5727</v>
      </c>
      <c r="B204" s="64" t="str">
        <f>'A) Base RI'!B206</f>
        <v>Saint-Cergue</v>
      </c>
      <c r="C204" s="39">
        <f>'B) D RI'!Y206</f>
        <v>644005.25</v>
      </c>
      <c r="D204" s="19">
        <f>'B) D RI'!Z206</f>
        <v>142442.29999999999</v>
      </c>
      <c r="E204" s="14">
        <f t="shared" si="9"/>
        <v>786447.55</v>
      </c>
      <c r="F204" s="19">
        <f>'B) D RI'!U206</f>
        <v>94126.01979797981</v>
      </c>
      <c r="G204" s="301">
        <f t="shared" si="10"/>
        <v>8.3552619316946757</v>
      </c>
      <c r="H204" s="66">
        <f t="shared" si="11"/>
        <v>364735.315</v>
      </c>
    </row>
    <row r="205" spans="1:8" x14ac:dyDescent="0.25">
      <c r="A205" s="57">
        <f>'A) Base RI'!A207</f>
        <v>5728</v>
      </c>
      <c r="B205" s="64" t="str">
        <f>'A) Base RI'!B207</f>
        <v>Signy-Avenex</v>
      </c>
      <c r="C205" s="39">
        <f>'B) D RI'!Y207</f>
        <v>315689.84999999998</v>
      </c>
      <c r="D205" s="19">
        <f>'B) D RI'!Z207</f>
        <v>231020.6</v>
      </c>
      <c r="E205" s="14">
        <f t="shared" si="9"/>
        <v>546710.44999999995</v>
      </c>
      <c r="F205" s="19">
        <f>'B) D RI'!U207</f>
        <v>33547.613749999997</v>
      </c>
      <c r="G205" s="301">
        <f t="shared" si="10"/>
        <v>16.296552537958085</v>
      </c>
      <c r="H205" s="66">
        <f t="shared" si="11"/>
        <v>227151.10499999998</v>
      </c>
    </row>
    <row r="206" spans="1:8" x14ac:dyDescent="0.25">
      <c r="A206" s="57">
        <f>'A) Base RI'!A208</f>
        <v>5729</v>
      </c>
      <c r="B206" s="64" t="str">
        <f>'A) Base RI'!B208</f>
        <v>Tannay</v>
      </c>
      <c r="C206" s="39">
        <f>'B) D RI'!Y208</f>
        <v>416125.1</v>
      </c>
      <c r="D206" s="19">
        <f>'B) D RI'!Z208</f>
        <v>16008.55</v>
      </c>
      <c r="E206" s="14">
        <f t="shared" si="9"/>
        <v>432133.64999999997</v>
      </c>
      <c r="F206" s="19">
        <f>'B) D RI'!U208</f>
        <v>141635.67650273221</v>
      </c>
      <c r="G206" s="301">
        <f t="shared" si="10"/>
        <v>3.0510226001685665</v>
      </c>
      <c r="H206" s="66">
        <f t="shared" si="11"/>
        <v>212865.11499999999</v>
      </c>
    </row>
    <row r="207" spans="1:8" x14ac:dyDescent="0.25">
      <c r="A207" s="57">
        <f>'A) Base RI'!A209</f>
        <v>5730</v>
      </c>
      <c r="B207" s="64" t="str">
        <f>'A) Base RI'!B209</f>
        <v>Trélex</v>
      </c>
      <c r="C207" s="39">
        <f>'B) D RI'!Y209</f>
        <v>334982.95</v>
      </c>
      <c r="D207" s="19">
        <f>'B) D RI'!Z209</f>
        <v>8092.75</v>
      </c>
      <c r="E207" s="14">
        <f t="shared" si="9"/>
        <v>343075.7</v>
      </c>
      <c r="F207" s="19">
        <f>'B) D RI'!U209</f>
        <v>125167.38524366473</v>
      </c>
      <c r="G207" s="301">
        <f t="shared" si="10"/>
        <v>2.7409352630649813</v>
      </c>
      <c r="H207" s="66">
        <f t="shared" si="11"/>
        <v>169919.30000000002</v>
      </c>
    </row>
    <row r="208" spans="1:8" x14ac:dyDescent="0.25">
      <c r="A208" s="57">
        <f>'A) Base RI'!A210</f>
        <v>5731</v>
      </c>
      <c r="B208" s="64" t="str">
        <f>'A) Base RI'!B210</f>
        <v>Le Vaud</v>
      </c>
      <c r="C208" s="39">
        <f>'B) D RI'!Y210</f>
        <v>265249.8</v>
      </c>
      <c r="D208" s="19">
        <f>'B) D RI'!Z210</f>
        <v>24199.599999999999</v>
      </c>
      <c r="E208" s="14">
        <f t="shared" si="9"/>
        <v>289449.39999999997</v>
      </c>
      <c r="F208" s="19">
        <f>'B) D RI'!U210</f>
        <v>47266.974133333322</v>
      </c>
      <c r="G208" s="301">
        <f t="shared" si="10"/>
        <v>6.1237133391171801</v>
      </c>
      <c r="H208" s="66">
        <f t="shared" si="11"/>
        <v>139884.78</v>
      </c>
    </row>
    <row r="209" spans="1:8" x14ac:dyDescent="0.25">
      <c r="A209" s="57">
        <f>'A) Base RI'!A211</f>
        <v>5732</v>
      </c>
      <c r="B209" s="64" t="str">
        <f>'A) Base RI'!B211</f>
        <v>Vich</v>
      </c>
      <c r="C209" s="39">
        <f>'B) D RI'!Y211</f>
        <v>293269.8</v>
      </c>
      <c r="D209" s="19">
        <f>'B) D RI'!Z211</f>
        <v>95066.75</v>
      </c>
      <c r="E209" s="14">
        <f t="shared" si="9"/>
        <v>388336.55</v>
      </c>
      <c r="F209" s="19">
        <f>'B) D RI'!U211</f>
        <v>76343.818235294122</v>
      </c>
      <c r="G209" s="301">
        <f t="shared" si="10"/>
        <v>5.0866796942633146</v>
      </c>
      <c r="H209" s="66">
        <f t="shared" si="11"/>
        <v>175154.92499999999</v>
      </c>
    </row>
    <row r="210" spans="1:8" x14ac:dyDescent="0.25">
      <c r="A210" s="57">
        <f>'A) Base RI'!A212</f>
        <v>5741</v>
      </c>
      <c r="B210" s="64" t="str">
        <f>'A) Base RI'!B212</f>
        <v>L'Abergement</v>
      </c>
      <c r="C210" s="39">
        <f>'B) D RI'!Y212</f>
        <v>32736.300000000003</v>
      </c>
      <c r="D210" s="19">
        <f>'B) D RI'!Z212</f>
        <v>10260.85</v>
      </c>
      <c r="E210" s="14">
        <f t="shared" si="9"/>
        <v>42997.15</v>
      </c>
      <c r="F210" s="19">
        <f>'B) D RI'!U212</f>
        <v>6474.3855761316872</v>
      </c>
      <c r="G210" s="301">
        <f t="shared" si="10"/>
        <v>6.6411166734511848</v>
      </c>
      <c r="H210" s="66">
        <f t="shared" si="11"/>
        <v>19446.405000000002</v>
      </c>
    </row>
    <row r="211" spans="1:8" x14ac:dyDescent="0.25">
      <c r="A211" s="57">
        <f>'A) Base RI'!A213</f>
        <v>5742</v>
      </c>
      <c r="B211" s="64" t="str">
        <f>'A) Base RI'!B213</f>
        <v>Agiez</v>
      </c>
      <c r="C211" s="39">
        <f>'B) D RI'!Y213</f>
        <v>96253.75</v>
      </c>
      <c r="D211" s="19">
        <f>'B) D RI'!Z213</f>
        <v>0</v>
      </c>
      <c r="E211" s="14">
        <f t="shared" si="9"/>
        <v>96253.75</v>
      </c>
      <c r="F211" s="19">
        <f>'B) D RI'!U213</f>
        <v>8406.0221052631568</v>
      </c>
      <c r="G211" s="301">
        <f t="shared" si="10"/>
        <v>11.450570649788542</v>
      </c>
      <c r="H211" s="66">
        <f t="shared" si="11"/>
        <v>48126.875</v>
      </c>
    </row>
    <row r="212" spans="1:8" x14ac:dyDescent="0.25">
      <c r="A212" s="57">
        <f>'A) Base RI'!A214</f>
        <v>5743</v>
      </c>
      <c r="B212" s="64" t="str">
        <f>'A) Base RI'!B214</f>
        <v>Arnex-sur-Orbe</v>
      </c>
      <c r="C212" s="39">
        <f>'B) D RI'!Y214</f>
        <v>28960.1</v>
      </c>
      <c r="D212" s="19">
        <f>'B) D RI'!Z214</f>
        <v>27032.1</v>
      </c>
      <c r="E212" s="14">
        <f t="shared" si="9"/>
        <v>55992.2</v>
      </c>
      <c r="F212" s="19">
        <f>'B) D RI'!U214</f>
        <v>16157.310890410963</v>
      </c>
      <c r="G212" s="301">
        <f t="shared" si="10"/>
        <v>3.4654405290443617</v>
      </c>
      <c r="H212" s="66">
        <f t="shared" si="11"/>
        <v>22589.68</v>
      </c>
    </row>
    <row r="213" spans="1:8" x14ac:dyDescent="0.25">
      <c r="A213" s="57">
        <f>'A) Base RI'!A215</f>
        <v>5744</v>
      </c>
      <c r="B213" s="64" t="str">
        <f>'A) Base RI'!B215</f>
        <v>Ballaigues</v>
      </c>
      <c r="C213" s="39">
        <f>'B) D RI'!Y215</f>
        <v>114078.9</v>
      </c>
      <c r="D213" s="19">
        <f>'B) D RI'!Z215</f>
        <v>1408983.5</v>
      </c>
      <c r="E213" s="14">
        <f t="shared" si="9"/>
        <v>1523062.4</v>
      </c>
      <c r="F213" s="19">
        <f>'B) D RI'!U215</f>
        <v>67876.800151515155</v>
      </c>
      <c r="G213" s="301">
        <f t="shared" si="10"/>
        <v>22.438629938361963</v>
      </c>
      <c r="H213" s="66">
        <f t="shared" si="11"/>
        <v>479734.5</v>
      </c>
    </row>
    <row r="214" spans="1:8" x14ac:dyDescent="0.25">
      <c r="A214" s="57">
        <f>'A) Base RI'!A216</f>
        <v>5745</v>
      </c>
      <c r="B214" s="64" t="str">
        <f>'A) Base RI'!B216</f>
        <v>Baulmes</v>
      </c>
      <c r="C214" s="39">
        <f>'B) D RI'!Y216</f>
        <v>57202.75</v>
      </c>
      <c r="D214" s="19">
        <f>'B) D RI'!Z216</f>
        <v>182094.5</v>
      </c>
      <c r="E214" s="14">
        <f t="shared" si="9"/>
        <v>239297.25</v>
      </c>
      <c r="F214" s="19">
        <f>'B) D RI'!U216</f>
        <v>26708.244230769233</v>
      </c>
      <c r="G214" s="301">
        <f t="shared" si="10"/>
        <v>8.9596773165761903</v>
      </c>
      <c r="H214" s="66">
        <f t="shared" si="11"/>
        <v>83229.725000000006</v>
      </c>
    </row>
    <row r="215" spans="1:8" x14ac:dyDescent="0.25">
      <c r="A215" s="57">
        <f>'A) Base RI'!A217</f>
        <v>5746</v>
      </c>
      <c r="B215" s="64" t="str">
        <f>'A) Base RI'!B217</f>
        <v>Bavois</v>
      </c>
      <c r="C215" s="39">
        <f>'B) D RI'!Y217</f>
        <v>101749.2</v>
      </c>
      <c r="D215" s="19">
        <f>'B) D RI'!Z217</f>
        <v>20529.7</v>
      </c>
      <c r="E215" s="14">
        <f t="shared" si="9"/>
        <v>122278.9</v>
      </c>
      <c r="F215" s="19">
        <f>'B) D RI'!U217</f>
        <v>26575.73502283105</v>
      </c>
      <c r="G215" s="301">
        <f t="shared" si="10"/>
        <v>4.6011483744457475</v>
      </c>
      <c r="H215" s="66">
        <f t="shared" si="11"/>
        <v>57033.509999999995</v>
      </c>
    </row>
    <row r="216" spans="1:8" x14ac:dyDescent="0.25">
      <c r="A216" s="57">
        <f>'A) Base RI'!A218</f>
        <v>5747</v>
      </c>
      <c r="B216" s="64" t="str">
        <f>'A) Base RI'!B218</f>
        <v>Bofflens</v>
      </c>
      <c r="C216" s="39">
        <f>'B) D RI'!Y218</f>
        <v>14864.65</v>
      </c>
      <c r="D216" s="19">
        <f>'B) D RI'!Z218</f>
        <v>0</v>
      </c>
      <c r="E216" s="14">
        <f t="shared" si="9"/>
        <v>14864.65</v>
      </c>
      <c r="F216" s="19">
        <f>'B) D RI'!U218</f>
        <v>5307.8250724637683</v>
      </c>
      <c r="G216" s="301">
        <f t="shared" si="10"/>
        <v>2.800516180745229</v>
      </c>
      <c r="H216" s="66">
        <f t="shared" si="11"/>
        <v>7432.3249999999998</v>
      </c>
    </row>
    <row r="217" spans="1:8" x14ac:dyDescent="0.25">
      <c r="A217" s="57">
        <f>'A) Base RI'!A219</f>
        <v>5748</v>
      </c>
      <c r="B217" s="64" t="str">
        <f>'A) Base RI'!B219</f>
        <v>Bretonnières</v>
      </c>
      <c r="C217" s="39">
        <f>'B) D RI'!Y219</f>
        <v>49274.400000000001</v>
      </c>
      <c r="D217" s="19">
        <f>'B) D RI'!Z219</f>
        <v>7947.3</v>
      </c>
      <c r="E217" s="14">
        <f t="shared" si="9"/>
        <v>57221.700000000004</v>
      </c>
      <c r="F217" s="19">
        <f>'B) D RI'!U219</f>
        <v>7260.9913888888877</v>
      </c>
      <c r="G217" s="301">
        <f t="shared" si="10"/>
        <v>7.8807007108648213</v>
      </c>
      <c r="H217" s="66">
        <f t="shared" si="11"/>
        <v>27021.39</v>
      </c>
    </row>
    <row r="218" spans="1:8" x14ac:dyDescent="0.25">
      <c r="A218" s="57">
        <f>'A) Base RI'!A220</f>
        <v>5749</v>
      </c>
      <c r="B218" s="64" t="str">
        <f>'A) Base RI'!B220</f>
        <v>Chavornay</v>
      </c>
      <c r="C218" s="39">
        <f>'B) D RI'!Y220</f>
        <v>772448.1</v>
      </c>
      <c r="D218" s="19">
        <f>'B) D RI'!Z220</f>
        <v>639903.55000000005</v>
      </c>
      <c r="E218" s="14">
        <f t="shared" si="9"/>
        <v>1412351.65</v>
      </c>
      <c r="F218" s="19">
        <f>'B) D RI'!U220</f>
        <v>132615.92523493644</v>
      </c>
      <c r="G218" s="301">
        <f t="shared" si="10"/>
        <v>10.649940024155779</v>
      </c>
      <c r="H218" s="66">
        <f t="shared" si="11"/>
        <v>578195.11499999999</v>
      </c>
    </row>
    <row r="219" spans="1:8" x14ac:dyDescent="0.25">
      <c r="A219" s="57">
        <f>'A) Base RI'!A221</f>
        <v>5750</v>
      </c>
      <c r="B219" s="64" t="str">
        <f>'A) Base RI'!B221</f>
        <v>Les Clées</v>
      </c>
      <c r="C219" s="39">
        <f>'B) D RI'!Y221</f>
        <v>17904.3</v>
      </c>
      <c r="D219" s="19">
        <f>'B) D RI'!Z221</f>
        <v>7714.9</v>
      </c>
      <c r="E219" s="14">
        <f t="shared" si="9"/>
        <v>25619.199999999997</v>
      </c>
      <c r="F219" s="19">
        <f>'B) D RI'!U221</f>
        <v>4790.0727916666665</v>
      </c>
      <c r="G219" s="301">
        <f t="shared" si="10"/>
        <v>5.3483947142870054</v>
      </c>
      <c r="H219" s="66">
        <f t="shared" si="11"/>
        <v>11266.619999999999</v>
      </c>
    </row>
    <row r="220" spans="1:8" x14ac:dyDescent="0.25">
      <c r="A220" s="57">
        <f>'A) Base RI'!A222</f>
        <v>5752</v>
      </c>
      <c r="B220" s="64" t="str">
        <f>'A) Base RI'!B222</f>
        <v>Croy</v>
      </c>
      <c r="C220" s="39">
        <f>'B) D RI'!Y222</f>
        <v>37667.199999999997</v>
      </c>
      <c r="D220" s="19">
        <f>'B) D RI'!Z222</f>
        <v>14784.85</v>
      </c>
      <c r="E220" s="14">
        <f t="shared" si="9"/>
        <v>52452.049999999996</v>
      </c>
      <c r="F220" s="19">
        <f>'B) D RI'!U222</f>
        <v>9213.5061196911174</v>
      </c>
      <c r="G220" s="301">
        <f t="shared" si="10"/>
        <v>5.6929522071841259</v>
      </c>
      <c r="H220" s="66">
        <f t="shared" si="11"/>
        <v>23269.055</v>
      </c>
    </row>
    <row r="221" spans="1:8" x14ac:dyDescent="0.25">
      <c r="A221" s="57">
        <f>'A) Base RI'!A223</f>
        <v>5754</v>
      </c>
      <c r="B221" s="64" t="str">
        <f>'A) Base RI'!B223</f>
        <v>Juriens</v>
      </c>
      <c r="C221" s="39">
        <f>'B) D RI'!Y223</f>
        <v>29551.75</v>
      </c>
      <c r="D221" s="19">
        <f>'B) D RI'!Z223</f>
        <v>3752.9</v>
      </c>
      <c r="E221" s="14">
        <f t="shared" si="9"/>
        <v>33304.65</v>
      </c>
      <c r="F221" s="19">
        <f>'B) D RI'!U223</f>
        <v>7202.565316455697</v>
      </c>
      <c r="G221" s="301">
        <f t="shared" si="10"/>
        <v>4.6239983306932162</v>
      </c>
      <c r="H221" s="66">
        <f t="shared" si="11"/>
        <v>15901.744999999999</v>
      </c>
    </row>
    <row r="222" spans="1:8" x14ac:dyDescent="0.25">
      <c r="A222" s="57">
        <f>'A) Base RI'!A224</f>
        <v>5755</v>
      </c>
      <c r="B222" s="64" t="str">
        <f>'A) Base RI'!B224</f>
        <v>Lignerolle</v>
      </c>
      <c r="C222" s="39">
        <f>'B) D RI'!Y224</f>
        <v>65497.2</v>
      </c>
      <c r="D222" s="19">
        <f>'B) D RI'!Z224</f>
        <v>22958.75</v>
      </c>
      <c r="E222" s="14">
        <f t="shared" si="9"/>
        <v>88455.95</v>
      </c>
      <c r="F222" s="19">
        <f>'B) D RI'!U224</f>
        <v>9116.1979107142852</v>
      </c>
      <c r="G222" s="301">
        <f t="shared" si="10"/>
        <v>9.7031625318311203</v>
      </c>
      <c r="H222" s="66">
        <f t="shared" si="11"/>
        <v>39636.224999999999</v>
      </c>
    </row>
    <row r="223" spans="1:8" x14ac:dyDescent="0.25">
      <c r="A223" s="57">
        <f>'A) Base RI'!A225</f>
        <v>5756</v>
      </c>
      <c r="B223" s="64" t="str">
        <f>'A) Base RI'!B225</f>
        <v>Montcherand</v>
      </c>
      <c r="C223" s="39">
        <f>'B) D RI'!Y225</f>
        <v>114359.75</v>
      </c>
      <c r="D223" s="19">
        <f>'B) D RI'!Z225</f>
        <v>20534.8</v>
      </c>
      <c r="E223" s="14">
        <f t="shared" si="9"/>
        <v>134894.54999999999</v>
      </c>
      <c r="F223" s="19">
        <f>'B) D RI'!U225</f>
        <v>14643.939999999999</v>
      </c>
      <c r="G223" s="301">
        <f t="shared" si="10"/>
        <v>9.2116295204705843</v>
      </c>
      <c r="H223" s="66">
        <f t="shared" si="11"/>
        <v>63340.315000000002</v>
      </c>
    </row>
    <row r="224" spans="1:8" x14ac:dyDescent="0.25">
      <c r="A224" s="57">
        <f>'A) Base RI'!A226</f>
        <v>5757</v>
      </c>
      <c r="B224" s="64" t="str">
        <f>'A) Base RI'!B226</f>
        <v>Orbe</v>
      </c>
      <c r="C224" s="39">
        <f>'B) D RI'!Y226</f>
        <v>469231.45</v>
      </c>
      <c r="D224" s="19">
        <f>'B) D RI'!Z226</f>
        <v>2683850.4</v>
      </c>
      <c r="E224" s="14">
        <f t="shared" si="9"/>
        <v>3153081.85</v>
      </c>
      <c r="F224" s="19">
        <f>'B) D RI'!U226</f>
        <v>219459.11337837842</v>
      </c>
      <c r="G224" s="301">
        <f t="shared" si="10"/>
        <v>14.367513845568322</v>
      </c>
      <c r="H224" s="66">
        <f t="shared" si="11"/>
        <v>1039770.845</v>
      </c>
    </row>
    <row r="225" spans="1:8" x14ac:dyDescent="0.25">
      <c r="A225" s="57">
        <f>'A) Base RI'!A227</f>
        <v>5758</v>
      </c>
      <c r="B225" s="64" t="str">
        <f>'A) Base RI'!B227</f>
        <v>La Praz</v>
      </c>
      <c r="C225" s="39">
        <f>'B) D RI'!Y227</f>
        <v>11668.45</v>
      </c>
      <c r="D225" s="19">
        <f>'B) D RI'!Z227</f>
        <v>0</v>
      </c>
      <c r="E225" s="14">
        <f t="shared" si="9"/>
        <v>11668.45</v>
      </c>
      <c r="F225" s="19">
        <f>'B) D RI'!U227</f>
        <v>3792.6817536813919</v>
      </c>
      <c r="G225" s="301">
        <f t="shared" si="10"/>
        <v>3.0765697619300489</v>
      </c>
      <c r="H225" s="66">
        <f t="shared" si="11"/>
        <v>5834.2250000000004</v>
      </c>
    </row>
    <row r="226" spans="1:8" x14ac:dyDescent="0.25">
      <c r="A226" s="57">
        <f>'A) Base RI'!A228</f>
        <v>5759</v>
      </c>
      <c r="B226" s="64" t="str">
        <f>'A) Base RI'!B228</f>
        <v>Premier</v>
      </c>
      <c r="C226" s="39">
        <f>'B) D RI'!Y228</f>
        <v>5390</v>
      </c>
      <c r="D226" s="19">
        <f>'B) D RI'!Z228</f>
        <v>1507.6</v>
      </c>
      <c r="E226" s="14">
        <f t="shared" si="9"/>
        <v>6897.6</v>
      </c>
      <c r="F226" s="19">
        <f>'B) D RI'!U228</f>
        <v>4689.5245679012341</v>
      </c>
      <c r="G226" s="301">
        <f t="shared" si="10"/>
        <v>1.4708527272066252</v>
      </c>
      <c r="H226" s="66">
        <f t="shared" si="11"/>
        <v>3147.2799999999997</v>
      </c>
    </row>
    <row r="227" spans="1:8" x14ac:dyDescent="0.25">
      <c r="A227" s="57">
        <f>'A) Base RI'!A229</f>
        <v>5760</v>
      </c>
      <c r="B227" s="64" t="str">
        <f>'A) Base RI'!B229</f>
        <v>Rances</v>
      </c>
      <c r="C227" s="39">
        <f>'B) D RI'!Y229</f>
        <v>206464.59999999998</v>
      </c>
      <c r="D227" s="19">
        <f>'B) D RI'!Z229</f>
        <v>13661.85</v>
      </c>
      <c r="E227" s="14">
        <f t="shared" si="9"/>
        <v>220126.44999999998</v>
      </c>
      <c r="F227" s="19">
        <f>'B) D RI'!U229</f>
        <v>13227.609572649571</v>
      </c>
      <c r="G227" s="301">
        <f t="shared" si="10"/>
        <v>16.641438408883072</v>
      </c>
      <c r="H227" s="66">
        <f t="shared" si="11"/>
        <v>107330.85499999998</v>
      </c>
    </row>
    <row r="228" spans="1:8" x14ac:dyDescent="0.25">
      <c r="A228" s="57">
        <f>'A) Base RI'!A230</f>
        <v>5761</v>
      </c>
      <c r="B228" s="64" t="str">
        <f>'A) Base RI'!B230</f>
        <v>Romainmôtier-Envy</v>
      </c>
      <c r="C228" s="39">
        <f>'B) D RI'!Y230</f>
        <v>123456.6</v>
      </c>
      <c r="D228" s="19">
        <f>'B) D RI'!Z230</f>
        <v>41030.199999999997</v>
      </c>
      <c r="E228" s="14">
        <f t="shared" si="9"/>
        <v>164486.79999999999</v>
      </c>
      <c r="F228" s="19">
        <f>'B) D RI'!U230</f>
        <v>12165.915592105261</v>
      </c>
      <c r="G228" s="301">
        <f t="shared" si="10"/>
        <v>13.520297650818753</v>
      </c>
      <c r="H228" s="66">
        <f t="shared" si="11"/>
        <v>74037.36</v>
      </c>
    </row>
    <row r="229" spans="1:8" x14ac:dyDescent="0.25">
      <c r="A229" s="57">
        <f>'A) Base RI'!A231</f>
        <v>5762</v>
      </c>
      <c r="B229" s="64" t="str">
        <f>'A) Base RI'!B231</f>
        <v>Sergey</v>
      </c>
      <c r="C229" s="39">
        <f>'B) D RI'!Y231</f>
        <v>3564</v>
      </c>
      <c r="D229" s="19">
        <f>'B) D RI'!Z231</f>
        <v>7814.8</v>
      </c>
      <c r="E229" s="14">
        <f t="shared" si="9"/>
        <v>11378.8</v>
      </c>
      <c r="F229" s="19">
        <f>'B) D RI'!U231</f>
        <v>3586.5485897435897</v>
      </c>
      <c r="G229" s="301">
        <f t="shared" si="10"/>
        <v>3.1726323275083512</v>
      </c>
      <c r="H229" s="66">
        <f t="shared" si="11"/>
        <v>4126.4400000000005</v>
      </c>
    </row>
    <row r="230" spans="1:8" x14ac:dyDescent="0.25">
      <c r="A230" s="57">
        <f>'A) Base RI'!A232</f>
        <v>5763</v>
      </c>
      <c r="B230" s="64" t="str">
        <f>'A) Base RI'!B232</f>
        <v>Valeyres-sous-Rances</v>
      </c>
      <c r="C230" s="39">
        <f>'B) D RI'!Y232</f>
        <v>75247.8</v>
      </c>
      <c r="D230" s="19">
        <f>'B) D RI'!Z232</f>
        <v>40770.949999999997</v>
      </c>
      <c r="E230" s="14">
        <f t="shared" si="9"/>
        <v>116018.75</v>
      </c>
      <c r="F230" s="19">
        <f>'B) D RI'!U232</f>
        <v>16085.850769230768</v>
      </c>
      <c r="G230" s="301">
        <f t="shared" si="10"/>
        <v>7.2124721075942233</v>
      </c>
      <c r="H230" s="66">
        <f t="shared" si="11"/>
        <v>49855.184999999998</v>
      </c>
    </row>
    <row r="231" spans="1:8" x14ac:dyDescent="0.25">
      <c r="A231" s="57">
        <f>'A) Base RI'!A233</f>
        <v>5764</v>
      </c>
      <c r="B231" s="64" t="str">
        <f>'A) Base RI'!B233</f>
        <v>Vallorbe</v>
      </c>
      <c r="C231" s="39">
        <f>'B) D RI'!Y233</f>
        <v>390119.55000000005</v>
      </c>
      <c r="D231" s="19">
        <f>'B) D RI'!Z233</f>
        <v>2204983.65</v>
      </c>
      <c r="E231" s="14">
        <f t="shared" si="9"/>
        <v>2595103.2000000002</v>
      </c>
      <c r="F231" s="19">
        <f>'B) D RI'!U233</f>
        <v>84513.608378378369</v>
      </c>
      <c r="G231" s="301">
        <f t="shared" si="10"/>
        <v>30.706335344023973</v>
      </c>
      <c r="H231" s="66">
        <f t="shared" si="11"/>
        <v>856554.87</v>
      </c>
    </row>
    <row r="232" spans="1:8" x14ac:dyDescent="0.25">
      <c r="A232" s="57">
        <f>'A) Base RI'!A234</f>
        <v>5765</v>
      </c>
      <c r="B232" s="64" t="str">
        <f>'A) Base RI'!B234</f>
        <v>Vaulion</v>
      </c>
      <c r="C232" s="39">
        <f>'B) D RI'!Y234</f>
        <v>12252.5</v>
      </c>
      <c r="D232" s="19">
        <f>'B) D RI'!Z234</f>
        <v>44930.85</v>
      </c>
      <c r="E232" s="14">
        <f t="shared" si="9"/>
        <v>57183.35</v>
      </c>
      <c r="F232" s="19">
        <f>'B) D RI'!U234</f>
        <v>10199.027160493826</v>
      </c>
      <c r="G232" s="301">
        <f t="shared" si="10"/>
        <v>5.6067455356429541</v>
      </c>
      <c r="H232" s="66">
        <f t="shared" si="11"/>
        <v>19605.504999999997</v>
      </c>
    </row>
    <row r="233" spans="1:8" x14ac:dyDescent="0.25">
      <c r="A233" s="57">
        <f>'A) Base RI'!A235</f>
        <v>5766</v>
      </c>
      <c r="B233" s="64" t="str">
        <f>'A) Base RI'!B235</f>
        <v>Vuiteboeuf</v>
      </c>
      <c r="C233" s="39">
        <f>'B) D RI'!Y235</f>
        <v>43661.25</v>
      </c>
      <c r="D233" s="19">
        <f>'B) D RI'!Z235</f>
        <v>21712.6</v>
      </c>
      <c r="E233" s="14">
        <f t="shared" si="9"/>
        <v>65373.85</v>
      </c>
      <c r="F233" s="19">
        <f>'B) D RI'!U235</f>
        <v>13023.960575139146</v>
      </c>
      <c r="G233" s="301">
        <f t="shared" si="10"/>
        <v>5.0195061343159475</v>
      </c>
      <c r="H233" s="66">
        <f t="shared" si="11"/>
        <v>28344.404999999999</v>
      </c>
    </row>
    <row r="234" spans="1:8" x14ac:dyDescent="0.25">
      <c r="A234" s="57">
        <f>'A) Base RI'!A236</f>
        <v>5785</v>
      </c>
      <c r="B234" s="64" t="str">
        <f>'A) Base RI'!B236</f>
        <v>Corcelles-le-Jorat</v>
      </c>
      <c r="C234" s="39">
        <f>'B) D RI'!Y236</f>
        <v>39505.5</v>
      </c>
      <c r="D234" s="19">
        <f>'B) D RI'!Z236</f>
        <v>0</v>
      </c>
      <c r="E234" s="14">
        <f t="shared" si="9"/>
        <v>39505.5</v>
      </c>
      <c r="F234" s="19">
        <f>'B) D RI'!U236</f>
        <v>12275.22831168831</v>
      </c>
      <c r="G234" s="301">
        <f t="shared" si="10"/>
        <v>3.2183108123849222</v>
      </c>
      <c r="H234" s="66">
        <f t="shared" si="11"/>
        <v>19752.75</v>
      </c>
    </row>
    <row r="235" spans="1:8" x14ac:dyDescent="0.25">
      <c r="A235" s="57">
        <f>'A) Base RI'!A237</f>
        <v>5788</v>
      </c>
      <c r="B235" s="64" t="str">
        <f>'A) Base RI'!B237</f>
        <v>Essertes</v>
      </c>
      <c r="C235" s="39">
        <f>'B) D RI'!Y237</f>
        <v>27429.300000000003</v>
      </c>
      <c r="D235" s="19">
        <f>'B) D RI'!Z237</f>
        <v>0</v>
      </c>
      <c r="E235" s="14">
        <f t="shared" si="9"/>
        <v>27429.300000000003</v>
      </c>
      <c r="F235" s="19">
        <f>'B) D RI'!U237</f>
        <v>9663.2152777777756</v>
      </c>
      <c r="G235" s="301">
        <f t="shared" si="10"/>
        <v>2.8385272615294408</v>
      </c>
      <c r="H235" s="66">
        <f t="shared" si="11"/>
        <v>13714.650000000001</v>
      </c>
    </row>
    <row r="236" spans="1:8" x14ac:dyDescent="0.25">
      <c r="A236" s="57">
        <f>'A) Base RI'!A238</f>
        <v>5790</v>
      </c>
      <c r="B236" s="64" t="str">
        <f>'A) Base RI'!B238</f>
        <v>Maracon</v>
      </c>
      <c r="C236" s="39">
        <f>'B) D RI'!Y238</f>
        <v>60294</v>
      </c>
      <c r="D236" s="19">
        <f>'B) D RI'!Z238</f>
        <v>0</v>
      </c>
      <c r="E236" s="14">
        <f t="shared" si="9"/>
        <v>60294</v>
      </c>
      <c r="F236" s="19">
        <f>'B) D RI'!U238</f>
        <v>12077.747368421051</v>
      </c>
      <c r="G236" s="301">
        <f t="shared" si="10"/>
        <v>4.9921560834801895</v>
      </c>
      <c r="H236" s="66">
        <f t="shared" si="11"/>
        <v>30147</v>
      </c>
    </row>
    <row r="237" spans="1:8" x14ac:dyDescent="0.25">
      <c r="A237" s="57">
        <f>'A) Base RI'!A239</f>
        <v>5792</v>
      </c>
      <c r="B237" s="64" t="str">
        <f>'A) Base RI'!B239</f>
        <v>Montpreveyres</v>
      </c>
      <c r="C237" s="39">
        <f>'B) D RI'!Y239</f>
        <v>134633.60000000001</v>
      </c>
      <c r="D237" s="19">
        <f>'B) D RI'!Z239</f>
        <v>244.75</v>
      </c>
      <c r="E237" s="14">
        <f t="shared" si="9"/>
        <v>134878.35</v>
      </c>
      <c r="F237" s="19">
        <f>'B) D RI'!U239</f>
        <v>15670.869999999999</v>
      </c>
      <c r="G237" s="301">
        <f t="shared" si="10"/>
        <v>8.6069471573690564</v>
      </c>
      <c r="H237" s="66">
        <f t="shared" si="11"/>
        <v>67390.225000000006</v>
      </c>
    </row>
    <row r="238" spans="1:8" x14ac:dyDescent="0.25">
      <c r="A238" s="57">
        <f>'A) Base RI'!A240</f>
        <v>5798</v>
      </c>
      <c r="B238" s="64" t="str">
        <f>'A) Base RI'!B240</f>
        <v>Ropraz</v>
      </c>
      <c r="C238" s="39">
        <f>'B) D RI'!Y240</f>
        <v>42240.75</v>
      </c>
      <c r="D238" s="19">
        <f>'B) D RI'!Z240</f>
        <v>0</v>
      </c>
      <c r="E238" s="14">
        <f t="shared" si="9"/>
        <v>42240.75</v>
      </c>
      <c r="F238" s="19">
        <f>'B) D RI'!U240</f>
        <v>10971.989935483871</v>
      </c>
      <c r="G238" s="301">
        <f t="shared" si="10"/>
        <v>3.8498713768768291</v>
      </c>
      <c r="H238" s="66">
        <f t="shared" si="11"/>
        <v>21120.375</v>
      </c>
    </row>
    <row r="239" spans="1:8" x14ac:dyDescent="0.25">
      <c r="A239" s="57">
        <f>'A) Base RI'!A241</f>
        <v>5799</v>
      </c>
      <c r="B239" s="64" t="str">
        <f>'A) Base RI'!B241</f>
        <v>Servion</v>
      </c>
      <c r="C239" s="39">
        <f>'B) D RI'!Y241</f>
        <v>240452.5</v>
      </c>
      <c r="D239" s="19">
        <f>'B) D RI'!Z241</f>
        <v>18179.400000000001</v>
      </c>
      <c r="E239" s="14">
        <f t="shared" si="9"/>
        <v>258631.9</v>
      </c>
      <c r="F239" s="19">
        <f>'B) D RI'!U241</f>
        <v>60598.657971014502</v>
      </c>
      <c r="G239" s="301">
        <f t="shared" si="10"/>
        <v>4.2679476519712463</v>
      </c>
      <c r="H239" s="66">
        <f t="shared" si="11"/>
        <v>125680.07</v>
      </c>
    </row>
    <row r="240" spans="1:8" x14ac:dyDescent="0.25">
      <c r="A240" s="57">
        <f>'A) Base RI'!A242</f>
        <v>5803</v>
      </c>
      <c r="B240" s="64" t="str">
        <f>'A) Base RI'!B242</f>
        <v>Vulliens</v>
      </c>
      <c r="C240" s="39">
        <f>'B) D RI'!Y242</f>
        <v>157386.04999999999</v>
      </c>
      <c r="D240" s="19">
        <f>'B) D RI'!Z242</f>
        <v>0</v>
      </c>
      <c r="E240" s="14">
        <f t="shared" si="9"/>
        <v>157386.04999999999</v>
      </c>
      <c r="F240" s="19">
        <f>'B) D RI'!U242</f>
        <v>14215.08564102564</v>
      </c>
      <c r="G240" s="301">
        <f t="shared" si="10"/>
        <v>11.071762349835856</v>
      </c>
      <c r="H240" s="66">
        <f t="shared" si="11"/>
        <v>78693.024999999994</v>
      </c>
    </row>
    <row r="241" spans="1:8" x14ac:dyDescent="0.25">
      <c r="A241" s="57">
        <f>'A) Base RI'!A243</f>
        <v>5804</v>
      </c>
      <c r="B241" s="64" t="str">
        <f>'A) Base RI'!B243</f>
        <v>Jorat-Menthue</v>
      </c>
      <c r="C241" s="39">
        <f>'B) D RI'!Y243</f>
        <v>126072.65</v>
      </c>
      <c r="D241" s="19">
        <f>'B) D RI'!Z243</f>
        <v>12944.9</v>
      </c>
      <c r="E241" s="14">
        <f t="shared" si="9"/>
        <v>139017.54999999999</v>
      </c>
      <c r="F241" s="19">
        <f>'B) D RI'!U243</f>
        <v>48554.511111111118</v>
      </c>
      <c r="G241" s="301">
        <f t="shared" si="10"/>
        <v>2.8631232571135392</v>
      </c>
      <c r="H241" s="66">
        <f t="shared" si="11"/>
        <v>66919.794999999998</v>
      </c>
    </row>
    <row r="242" spans="1:8" x14ac:dyDescent="0.25">
      <c r="A242" s="57">
        <f>'A) Base RI'!A244</f>
        <v>5805</v>
      </c>
      <c r="B242" s="64" t="str">
        <f>'A) Base RI'!B244</f>
        <v>Oron</v>
      </c>
      <c r="C242" s="39">
        <f>'B) D RI'!Y244</f>
        <v>798639.35000000009</v>
      </c>
      <c r="D242" s="19">
        <f>'B) D RI'!Z244</f>
        <v>78868.399999999994</v>
      </c>
      <c r="E242" s="14">
        <f t="shared" si="9"/>
        <v>877507.75000000012</v>
      </c>
      <c r="F242" s="19">
        <f>'B) D RI'!U244</f>
        <v>147104.2625559947</v>
      </c>
      <c r="G242" s="301">
        <f t="shared" si="10"/>
        <v>5.9652095374597316</v>
      </c>
      <c r="H242" s="66">
        <f t="shared" si="11"/>
        <v>422980.19500000007</v>
      </c>
    </row>
    <row r="243" spans="1:8" x14ac:dyDescent="0.25">
      <c r="A243" s="57">
        <f>'A) Base RI'!A245</f>
        <v>5806</v>
      </c>
      <c r="B243" s="64" t="str">
        <f>'A) Base RI'!B245</f>
        <v>Jorat-Mézières</v>
      </c>
      <c r="C243" s="39">
        <f>'B) D RI'!Y245</f>
        <v>631233.5</v>
      </c>
      <c r="D243" s="19">
        <f>'B) D RI'!Z245</f>
        <v>9421.5</v>
      </c>
      <c r="E243" s="14">
        <f t="shared" si="9"/>
        <v>640655</v>
      </c>
      <c r="F243" s="19">
        <f>'B) D RI'!U245</f>
        <v>90980.17</v>
      </c>
      <c r="G243" s="301">
        <f t="shared" si="10"/>
        <v>7.0416993065631779</v>
      </c>
      <c r="H243" s="66">
        <f t="shared" si="11"/>
        <v>318443.2</v>
      </c>
    </row>
    <row r="244" spans="1:8" x14ac:dyDescent="0.25">
      <c r="A244" s="57">
        <f>'A) Base RI'!A246</f>
        <v>5812</v>
      </c>
      <c r="B244" s="64" t="str">
        <f>'A) Base RI'!B246</f>
        <v>Champtauroz</v>
      </c>
      <c r="C244" s="39">
        <f>'B) D RI'!Y246</f>
        <v>19417.2</v>
      </c>
      <c r="D244" s="19">
        <f>'B) D RI'!Z246</f>
        <v>0</v>
      </c>
      <c r="E244" s="14">
        <f t="shared" si="9"/>
        <v>19417.2</v>
      </c>
      <c r="F244" s="19">
        <f>'B) D RI'!U246</f>
        <v>2326.5760389610391</v>
      </c>
      <c r="G244" s="301">
        <f t="shared" si="10"/>
        <v>8.3458265170954782</v>
      </c>
      <c r="H244" s="66">
        <f t="shared" si="11"/>
        <v>9708.6</v>
      </c>
    </row>
    <row r="245" spans="1:8" x14ac:dyDescent="0.25">
      <c r="A245" s="57">
        <f>'A) Base RI'!A247</f>
        <v>5813</v>
      </c>
      <c r="B245" s="64" t="str">
        <f>'A) Base RI'!B247</f>
        <v>Chevroux</v>
      </c>
      <c r="C245" s="39">
        <f>'B) D RI'!Y247</f>
        <v>64489.45</v>
      </c>
      <c r="D245" s="19">
        <f>'B) D RI'!Z247</f>
        <v>0</v>
      </c>
      <c r="E245" s="14">
        <f t="shared" si="9"/>
        <v>64489.45</v>
      </c>
      <c r="F245" s="19">
        <f>'B) D RI'!U247</f>
        <v>11503.329976190478</v>
      </c>
      <c r="G245" s="301">
        <f t="shared" si="10"/>
        <v>5.6061549250069209</v>
      </c>
      <c r="H245" s="66">
        <f t="shared" si="11"/>
        <v>32244.724999999999</v>
      </c>
    </row>
    <row r="246" spans="1:8" x14ac:dyDescent="0.25">
      <c r="A246" s="57">
        <f>'A) Base RI'!A248</f>
        <v>5816</v>
      </c>
      <c r="B246" s="64" t="str">
        <f>'A) Base RI'!B248</f>
        <v>Corcelles-près-Payerne</v>
      </c>
      <c r="C246" s="39">
        <f>'B) D RI'!Y248</f>
        <v>247060.95</v>
      </c>
      <c r="D246" s="19">
        <f>'B) D RI'!Z248</f>
        <v>9123.2000000000007</v>
      </c>
      <c r="E246" s="14">
        <f t="shared" si="9"/>
        <v>256184.15000000002</v>
      </c>
      <c r="F246" s="19">
        <f>'B) D RI'!U248</f>
        <v>56641.066845238092</v>
      </c>
      <c r="G246" s="301">
        <f t="shared" si="10"/>
        <v>4.5229400551366528</v>
      </c>
      <c r="H246" s="66">
        <f t="shared" si="11"/>
        <v>126267.43500000001</v>
      </c>
    </row>
    <row r="247" spans="1:8" x14ac:dyDescent="0.25">
      <c r="A247" s="57">
        <f>'A) Base RI'!A249</f>
        <v>5817</v>
      </c>
      <c r="B247" s="64" t="str">
        <f>'A) Base RI'!B249</f>
        <v>Grandcour</v>
      </c>
      <c r="C247" s="39">
        <f>'B) D RI'!Y249</f>
        <v>76364.2</v>
      </c>
      <c r="D247" s="19">
        <f>'B) D RI'!Z249</f>
        <v>254.85</v>
      </c>
      <c r="E247" s="14">
        <f t="shared" si="9"/>
        <v>76619.05</v>
      </c>
      <c r="F247" s="19">
        <f>'B) D RI'!U249</f>
        <v>20990.550314465407</v>
      </c>
      <c r="G247" s="301">
        <f t="shared" si="10"/>
        <v>3.6501687117368631</v>
      </c>
      <c r="H247" s="66">
        <f t="shared" si="11"/>
        <v>38258.555</v>
      </c>
    </row>
    <row r="248" spans="1:8" x14ac:dyDescent="0.25">
      <c r="A248" s="57">
        <f>'A) Base RI'!A250</f>
        <v>5819</v>
      </c>
      <c r="B248" s="64" t="str">
        <f>'A) Base RI'!B250</f>
        <v>Henniez</v>
      </c>
      <c r="C248" s="39">
        <f>'B) D RI'!Y250</f>
        <v>36840.1</v>
      </c>
      <c r="D248" s="19">
        <f>'B) D RI'!Z250</f>
        <v>18513.650000000001</v>
      </c>
      <c r="E248" s="14">
        <f t="shared" si="9"/>
        <v>55353.75</v>
      </c>
      <c r="F248" s="19">
        <f>'B) D RI'!U250</f>
        <v>14949.743880597016</v>
      </c>
      <c r="G248" s="301">
        <f t="shared" si="10"/>
        <v>3.7026554061466275</v>
      </c>
      <c r="H248" s="66">
        <f t="shared" si="11"/>
        <v>23974.145</v>
      </c>
    </row>
    <row r="249" spans="1:8" x14ac:dyDescent="0.25">
      <c r="A249" s="57">
        <f>'A) Base RI'!A251</f>
        <v>5821</v>
      </c>
      <c r="B249" s="64" t="str">
        <f>'A) Base RI'!B251</f>
        <v>Missy</v>
      </c>
      <c r="C249" s="39">
        <f>'B) D RI'!Y251</f>
        <v>38596.1</v>
      </c>
      <c r="D249" s="19">
        <f>'B) D RI'!Z251</f>
        <v>0</v>
      </c>
      <c r="E249" s="14">
        <f t="shared" si="9"/>
        <v>38596.1</v>
      </c>
      <c r="F249" s="19">
        <f>'B) D RI'!U251</f>
        <v>7776.2584722222218</v>
      </c>
      <c r="G249" s="301">
        <f t="shared" si="10"/>
        <v>4.9633252466941711</v>
      </c>
      <c r="H249" s="66">
        <f t="shared" si="11"/>
        <v>19298.05</v>
      </c>
    </row>
    <row r="250" spans="1:8" x14ac:dyDescent="0.25">
      <c r="A250" s="57">
        <f>'A) Base RI'!A252</f>
        <v>5822</v>
      </c>
      <c r="B250" s="64" t="str">
        <f>'A) Base RI'!B252</f>
        <v>Payerne</v>
      </c>
      <c r="C250" s="39">
        <f>'B) D RI'!Y252</f>
        <v>1452377</v>
      </c>
      <c r="D250" s="19">
        <f>'B) D RI'!Z252</f>
        <v>64714.25</v>
      </c>
      <c r="E250" s="14">
        <f t="shared" si="9"/>
        <v>1517091.25</v>
      </c>
      <c r="F250" s="19">
        <f>'B) D RI'!U252</f>
        <v>231493.6713333333</v>
      </c>
      <c r="G250" s="301">
        <f t="shared" si="10"/>
        <v>6.5534890922158464</v>
      </c>
      <c r="H250" s="66">
        <f t="shared" si="11"/>
        <v>745602.77500000002</v>
      </c>
    </row>
    <row r="251" spans="1:8" x14ac:dyDescent="0.25">
      <c r="A251" s="57">
        <f>'A) Base RI'!A253</f>
        <v>5827</v>
      </c>
      <c r="B251" s="64" t="str">
        <f>'A) Base RI'!B253</f>
        <v>Trey</v>
      </c>
      <c r="C251" s="39">
        <f>'B) D RI'!Y253</f>
        <v>58656.3</v>
      </c>
      <c r="D251" s="19">
        <f>'B) D RI'!Z253</f>
        <v>24264.25</v>
      </c>
      <c r="E251" s="14">
        <f t="shared" si="9"/>
        <v>82920.55</v>
      </c>
      <c r="F251" s="19">
        <f>'B) D RI'!U253</f>
        <v>6204.9173749999991</v>
      </c>
      <c r="G251" s="301">
        <f t="shared" si="10"/>
        <v>13.363683186836958</v>
      </c>
      <c r="H251" s="66">
        <f t="shared" si="11"/>
        <v>36607.425000000003</v>
      </c>
    </row>
    <row r="252" spans="1:8" x14ac:dyDescent="0.25">
      <c r="A252" s="57">
        <f>'A) Base RI'!A254</f>
        <v>5828</v>
      </c>
      <c r="B252" s="64" t="str">
        <f>'A) Base RI'!B254</f>
        <v>Treytorrens (Payerne)</v>
      </c>
      <c r="C252" s="39">
        <f>'B) D RI'!Y254</f>
        <v>10299.6</v>
      </c>
      <c r="D252" s="19">
        <f>'B) D RI'!Z254</f>
        <v>0</v>
      </c>
      <c r="E252" s="14">
        <f t="shared" si="9"/>
        <v>10299.6</v>
      </c>
      <c r="F252" s="19">
        <f>'B) D RI'!U254</f>
        <v>2352.5354761904764</v>
      </c>
      <c r="G252" s="301">
        <f t="shared" si="10"/>
        <v>4.3780848808615707</v>
      </c>
      <c r="H252" s="66">
        <f t="shared" si="11"/>
        <v>5149.8</v>
      </c>
    </row>
    <row r="253" spans="1:8" x14ac:dyDescent="0.25">
      <c r="A253" s="57">
        <f>'A) Base RI'!A255</f>
        <v>5830</v>
      </c>
      <c r="B253" s="64" t="str">
        <f>'A) Base RI'!B255</f>
        <v>Villarzel</v>
      </c>
      <c r="C253" s="39">
        <f>'B) D RI'!Y255</f>
        <v>57214.55</v>
      </c>
      <c r="D253" s="19">
        <f>'B) D RI'!Z255</f>
        <v>0</v>
      </c>
      <c r="E253" s="14">
        <f t="shared" si="9"/>
        <v>57214.55</v>
      </c>
      <c r="F253" s="19">
        <f>'B) D RI'!U255</f>
        <v>9737.3892405063307</v>
      </c>
      <c r="G253" s="301">
        <f t="shared" si="10"/>
        <v>5.875758746707441</v>
      </c>
      <c r="H253" s="66">
        <f t="shared" si="11"/>
        <v>28607.275000000001</v>
      </c>
    </row>
    <row r="254" spans="1:8" x14ac:dyDescent="0.25">
      <c r="A254" s="57">
        <f>'A) Base RI'!A256</f>
        <v>5831</v>
      </c>
      <c r="B254" s="64" t="str">
        <f>'A) Base RI'!B256</f>
        <v>Valbroye</v>
      </c>
      <c r="C254" s="39">
        <f>'B) D RI'!Y256</f>
        <v>321827</v>
      </c>
      <c r="D254" s="19">
        <f>'B) D RI'!Z256</f>
        <v>31674.95</v>
      </c>
      <c r="E254" s="14">
        <f t="shared" si="9"/>
        <v>353501.95</v>
      </c>
      <c r="F254" s="19">
        <f>'B) D RI'!U256</f>
        <v>75142.69210045661</v>
      </c>
      <c r="G254" s="301">
        <f t="shared" si="10"/>
        <v>4.7044089068223833</v>
      </c>
      <c r="H254" s="66">
        <f t="shared" si="11"/>
        <v>170415.98499999999</v>
      </c>
    </row>
    <row r="255" spans="1:8" x14ac:dyDescent="0.25">
      <c r="A255" s="57">
        <f>'A) Base RI'!A257</f>
        <v>5841</v>
      </c>
      <c r="B255" s="64" t="str">
        <f>'A) Base RI'!B257</f>
        <v>Château-d'Oex</v>
      </c>
      <c r="C255" s="39">
        <f>'B) D RI'!Y257</f>
        <v>1167813.2999999998</v>
      </c>
      <c r="D255" s="19">
        <f>'B) D RI'!Z257</f>
        <v>0</v>
      </c>
      <c r="E255" s="14">
        <f t="shared" si="9"/>
        <v>1167813.2999999998</v>
      </c>
      <c r="F255" s="19">
        <f>'B) D RI'!U257</f>
        <v>106457.35927710844</v>
      </c>
      <c r="G255" s="301">
        <f t="shared" si="10"/>
        <v>10.969775203235903</v>
      </c>
      <c r="H255" s="66">
        <f t="shared" si="11"/>
        <v>583906.64999999991</v>
      </c>
    </row>
    <row r="256" spans="1:8" x14ac:dyDescent="0.25">
      <c r="A256" s="57">
        <f>'A) Base RI'!A258</f>
        <v>5842</v>
      </c>
      <c r="B256" s="64" t="str">
        <f>'A) Base RI'!B258</f>
        <v>Rossinière</v>
      </c>
      <c r="C256" s="39">
        <f>'B) D RI'!Y258</f>
        <v>212850.75000000003</v>
      </c>
      <c r="D256" s="19">
        <f>'B) D RI'!Z258</f>
        <v>0</v>
      </c>
      <c r="E256" s="14">
        <f t="shared" si="9"/>
        <v>212850.75000000003</v>
      </c>
      <c r="F256" s="19">
        <f>'B) D RI'!U258</f>
        <v>13519.399629629628</v>
      </c>
      <c r="G256" s="301">
        <f t="shared" si="10"/>
        <v>15.744097802502136</v>
      </c>
      <c r="H256" s="66">
        <f t="shared" si="11"/>
        <v>106425.37500000001</v>
      </c>
    </row>
    <row r="257" spans="1:8" x14ac:dyDescent="0.25">
      <c r="A257" s="57">
        <f>'A) Base RI'!A259</f>
        <v>5843</v>
      </c>
      <c r="B257" s="64" t="str">
        <f>'A) Base RI'!B259</f>
        <v>Rougemont</v>
      </c>
      <c r="C257" s="39">
        <f>'B) D RI'!Y259</f>
        <v>1680694.35</v>
      </c>
      <c r="D257" s="19">
        <f>'B) D RI'!Z259</f>
        <v>0</v>
      </c>
      <c r="E257" s="14">
        <f t="shared" si="9"/>
        <v>1680694.35</v>
      </c>
      <c r="F257" s="19">
        <f>'B) D RI'!U259</f>
        <v>88213.430628019312</v>
      </c>
      <c r="G257" s="301">
        <f t="shared" si="10"/>
        <v>19.052590269243645</v>
      </c>
      <c r="H257" s="66">
        <f t="shared" si="11"/>
        <v>840347.17500000005</v>
      </c>
    </row>
    <row r="258" spans="1:8" x14ac:dyDescent="0.25">
      <c r="A258" s="57">
        <f>'A) Base RI'!A260</f>
        <v>5851</v>
      </c>
      <c r="B258" s="64" t="str">
        <f>'A) Base RI'!B260</f>
        <v>Allaman</v>
      </c>
      <c r="C258" s="39">
        <f>'B) D RI'!Y260</f>
        <v>876378.54999999993</v>
      </c>
      <c r="D258" s="19">
        <f>'B) D RI'!Z260</f>
        <v>34609.599999999999</v>
      </c>
      <c r="E258" s="14">
        <f t="shared" si="9"/>
        <v>910988.14999999991</v>
      </c>
      <c r="F258" s="19">
        <f>'B) D RI'!U260</f>
        <v>26900.629237536661</v>
      </c>
      <c r="G258" s="301">
        <f t="shared" si="10"/>
        <v>33.864938323778063</v>
      </c>
      <c r="H258" s="66">
        <f t="shared" si="11"/>
        <v>448572.15499999997</v>
      </c>
    </row>
    <row r="259" spans="1:8" x14ac:dyDescent="0.25">
      <c r="A259" s="57">
        <f>'A) Base RI'!A261</f>
        <v>5852</v>
      </c>
      <c r="B259" s="64" t="str">
        <f>'A) Base RI'!B261</f>
        <v>Bursinel</v>
      </c>
      <c r="C259" s="39">
        <f>'B) D RI'!Y261</f>
        <v>27341.7</v>
      </c>
      <c r="D259" s="19">
        <f>'B) D RI'!Z261</f>
        <v>8097.2</v>
      </c>
      <c r="E259" s="14">
        <f t="shared" si="9"/>
        <v>35438.9</v>
      </c>
      <c r="F259" s="19">
        <f>'B) D RI'!U261</f>
        <v>29922.291297709922</v>
      </c>
      <c r="G259" s="301">
        <f t="shared" si="10"/>
        <v>1.1843645143148609</v>
      </c>
      <c r="H259" s="66">
        <f t="shared" si="11"/>
        <v>16100.01</v>
      </c>
    </row>
    <row r="260" spans="1:8" x14ac:dyDescent="0.25">
      <c r="A260" s="57">
        <f>'A) Base RI'!A262</f>
        <v>5853</v>
      </c>
      <c r="B260" s="64" t="str">
        <f>'A) Base RI'!B262</f>
        <v>Bursins</v>
      </c>
      <c r="C260" s="39">
        <f>'B) D RI'!Y262</f>
        <v>347191.55</v>
      </c>
      <c r="D260" s="19">
        <f>'B) D RI'!Z262</f>
        <v>56250.6</v>
      </c>
      <c r="E260" s="14">
        <f t="shared" si="9"/>
        <v>403442.14999999997</v>
      </c>
      <c r="F260" s="19">
        <f>'B) D RI'!U262</f>
        <v>40543.223380281692</v>
      </c>
      <c r="G260" s="301">
        <f t="shared" si="10"/>
        <v>9.9509145145132969</v>
      </c>
      <c r="H260" s="66">
        <f t="shared" si="11"/>
        <v>190470.95499999999</v>
      </c>
    </row>
    <row r="261" spans="1:8" x14ac:dyDescent="0.25">
      <c r="A261" s="57">
        <f>'A) Base RI'!A263</f>
        <v>5854</v>
      </c>
      <c r="B261" s="64" t="str">
        <f>'A) Base RI'!B263</f>
        <v>Burtigny</v>
      </c>
      <c r="C261" s="39">
        <f>'B) D RI'!Y263</f>
        <v>41311.149999999994</v>
      </c>
      <c r="D261" s="19">
        <f>'B) D RI'!Z263</f>
        <v>21571.65</v>
      </c>
      <c r="E261" s="14">
        <f t="shared" si="9"/>
        <v>62882.799999999996</v>
      </c>
      <c r="F261" s="19">
        <f>'B) D RI'!U263</f>
        <v>10577.787833333332</v>
      </c>
      <c r="G261" s="301">
        <f t="shared" si="10"/>
        <v>5.9447968697046569</v>
      </c>
      <c r="H261" s="66">
        <f t="shared" si="11"/>
        <v>27127.069999999996</v>
      </c>
    </row>
    <row r="262" spans="1:8" x14ac:dyDescent="0.25">
      <c r="A262" s="57">
        <f>'A) Base RI'!A264</f>
        <v>5855</v>
      </c>
      <c r="B262" s="64" t="str">
        <f>'A) Base RI'!B264</f>
        <v>Dully</v>
      </c>
      <c r="C262" s="39">
        <f>'B) D RI'!Y264</f>
        <v>919782.3</v>
      </c>
      <c r="D262" s="19">
        <f>'B) D RI'!Z264</f>
        <v>1937.3</v>
      </c>
      <c r="E262" s="14">
        <f t="shared" ref="E262:E313" si="12">C262+D262</f>
        <v>921719.60000000009</v>
      </c>
      <c r="F262" s="19">
        <f>'B) D RI'!U264</f>
        <v>79387.772653061227</v>
      </c>
      <c r="G262" s="301">
        <f t="shared" ref="G262:G313" si="13">E262/F262</f>
        <v>11.610347150411684</v>
      </c>
      <c r="H262" s="66">
        <f t="shared" ref="H262:H313" si="14">(C262*$C$4)+(D262*$D$4)</f>
        <v>460472.34</v>
      </c>
    </row>
    <row r="263" spans="1:8" x14ac:dyDescent="0.25">
      <c r="A263" s="57">
        <f>'A) Base RI'!A265</f>
        <v>5856</v>
      </c>
      <c r="B263" s="64" t="str">
        <f>'A) Base RI'!B265</f>
        <v>Essertines-sur-Rolle</v>
      </c>
      <c r="C263" s="39">
        <f>'B) D RI'!Y265</f>
        <v>102809.35</v>
      </c>
      <c r="D263" s="19">
        <f>'B) D RI'!Z265</f>
        <v>20042.849999999999</v>
      </c>
      <c r="E263" s="14">
        <f t="shared" si="12"/>
        <v>122852.20000000001</v>
      </c>
      <c r="F263" s="19">
        <f>'B) D RI'!U265</f>
        <v>31862.802285067875</v>
      </c>
      <c r="G263" s="301">
        <f t="shared" si="13"/>
        <v>3.85566212603884</v>
      </c>
      <c r="H263" s="66">
        <f t="shared" si="14"/>
        <v>57417.53</v>
      </c>
    </row>
    <row r="264" spans="1:8" x14ac:dyDescent="0.25">
      <c r="A264" s="57">
        <f>'A) Base RI'!A266</f>
        <v>5857</v>
      </c>
      <c r="B264" s="64" t="str">
        <f>'A) Base RI'!B266</f>
        <v>Gilly</v>
      </c>
      <c r="C264" s="39">
        <f>'B) D RI'!Y266</f>
        <v>977787.25</v>
      </c>
      <c r="D264" s="19">
        <f>'B) D RI'!Z266</f>
        <v>85888.1</v>
      </c>
      <c r="E264" s="14">
        <f t="shared" si="12"/>
        <v>1063675.3500000001</v>
      </c>
      <c r="F264" s="19">
        <f>'B) D RI'!U266</f>
        <v>62540.44560606061</v>
      </c>
      <c r="G264" s="301">
        <f t="shared" si="13"/>
        <v>17.007799347961832</v>
      </c>
      <c r="H264" s="66">
        <f t="shared" si="14"/>
        <v>514660.05499999999</v>
      </c>
    </row>
    <row r="265" spans="1:8" x14ac:dyDescent="0.25">
      <c r="A265" s="57">
        <f>'A) Base RI'!A267</f>
        <v>5858</v>
      </c>
      <c r="B265" s="64" t="str">
        <f>'A) Base RI'!B267</f>
        <v>Luins</v>
      </c>
      <c r="C265" s="39">
        <f>'B) D RI'!Y267</f>
        <v>-6365.35</v>
      </c>
      <c r="D265" s="19">
        <f>'B) D RI'!Z267</f>
        <v>13569.15</v>
      </c>
      <c r="E265" s="14">
        <f t="shared" si="12"/>
        <v>7203.7999999999993</v>
      </c>
      <c r="F265" s="19">
        <f>'B) D RI'!U267</f>
        <v>35045.301944444444</v>
      </c>
      <c r="G265" s="301">
        <f t="shared" si="13"/>
        <v>0.20555679649785361</v>
      </c>
      <c r="H265" s="66">
        <f t="shared" si="14"/>
        <v>888.06999999999971</v>
      </c>
    </row>
    <row r="266" spans="1:8" x14ac:dyDescent="0.25">
      <c r="A266" s="57">
        <f>'A) Base RI'!A268</f>
        <v>5859</v>
      </c>
      <c r="B266" s="64" t="str">
        <f>'A) Base RI'!B268</f>
        <v>Mont-sur-Rolle</v>
      </c>
      <c r="C266" s="39">
        <f>'B) D RI'!Y268</f>
        <v>659418.1</v>
      </c>
      <c r="D266" s="19">
        <f>'B) D RI'!Z268</f>
        <v>70477.75</v>
      </c>
      <c r="E266" s="14">
        <f t="shared" si="12"/>
        <v>729895.85</v>
      </c>
      <c r="F266" s="19">
        <f>'B) D RI'!U268</f>
        <v>130430.38093750003</v>
      </c>
      <c r="G266" s="301">
        <f t="shared" si="13"/>
        <v>5.5960570286899136</v>
      </c>
      <c r="H266" s="66">
        <f t="shared" si="14"/>
        <v>350852.375</v>
      </c>
    </row>
    <row r="267" spans="1:8" x14ac:dyDescent="0.25">
      <c r="A267" s="57">
        <f>'A) Base RI'!A269</f>
        <v>5860</v>
      </c>
      <c r="B267" s="64" t="str">
        <f>'A) Base RI'!B269</f>
        <v>Perroy</v>
      </c>
      <c r="C267" s="39">
        <f>'B) D RI'!Y269</f>
        <v>489861</v>
      </c>
      <c r="D267" s="19">
        <f>'B) D RI'!Z269</f>
        <v>16298.85</v>
      </c>
      <c r="E267" s="14">
        <f t="shared" si="12"/>
        <v>506159.85</v>
      </c>
      <c r="F267" s="19">
        <f>'B) D RI'!U269</f>
        <v>92749.778038461533</v>
      </c>
      <c r="G267" s="301">
        <f t="shared" si="13"/>
        <v>5.4572621164667945</v>
      </c>
      <c r="H267" s="66">
        <f t="shared" si="14"/>
        <v>249820.155</v>
      </c>
    </row>
    <row r="268" spans="1:8" x14ac:dyDescent="0.25">
      <c r="A268" s="57">
        <f>'A) Base RI'!A270</f>
        <v>5861</v>
      </c>
      <c r="B268" s="64" t="str">
        <f>'A) Base RI'!B270</f>
        <v>Rolle</v>
      </c>
      <c r="C268" s="39">
        <f>'B) D RI'!Y270</f>
        <v>1541628.5</v>
      </c>
      <c r="D268" s="19">
        <f>'B) D RI'!Z270</f>
        <v>709686.45</v>
      </c>
      <c r="E268" s="14">
        <f t="shared" si="12"/>
        <v>2251314.9500000002</v>
      </c>
      <c r="F268" s="19">
        <f>'B) D RI'!U270</f>
        <v>834788.40991596645</v>
      </c>
      <c r="G268" s="301">
        <f t="shared" si="13"/>
        <v>2.6968689589576691</v>
      </c>
      <c r="H268" s="66">
        <f t="shared" si="14"/>
        <v>983720.18499999994</v>
      </c>
    </row>
    <row r="269" spans="1:8" x14ac:dyDescent="0.25">
      <c r="A269" s="57">
        <f>'A) Base RI'!A271</f>
        <v>5862</v>
      </c>
      <c r="B269" s="64" t="str">
        <f>'A) Base RI'!B271</f>
        <v>Tartegnin</v>
      </c>
      <c r="C269" s="39">
        <f>'B) D RI'!Y271</f>
        <v>50087.600000000006</v>
      </c>
      <c r="D269" s="19">
        <f>'B) D RI'!Z271</f>
        <v>8135.4</v>
      </c>
      <c r="E269" s="14">
        <f t="shared" si="12"/>
        <v>58223.000000000007</v>
      </c>
      <c r="F269" s="19">
        <f>'B) D RI'!U271</f>
        <v>8301.4215873015874</v>
      </c>
      <c r="G269" s="301">
        <f t="shared" si="13"/>
        <v>7.0136180156253989</v>
      </c>
      <c r="H269" s="66">
        <f t="shared" si="14"/>
        <v>27484.420000000002</v>
      </c>
    </row>
    <row r="270" spans="1:8" x14ac:dyDescent="0.25">
      <c r="A270" s="57">
        <f>'A) Base RI'!A272</f>
        <v>5863</v>
      </c>
      <c r="B270" s="64" t="str">
        <f>'A) Base RI'!B272</f>
        <v>Vinzel</v>
      </c>
      <c r="C270" s="39">
        <f>'B) D RI'!Y272</f>
        <v>17588.150000000001</v>
      </c>
      <c r="D270" s="19">
        <f>'B) D RI'!Z272</f>
        <v>15799.95</v>
      </c>
      <c r="E270" s="14">
        <f t="shared" si="12"/>
        <v>33388.100000000006</v>
      </c>
      <c r="F270" s="19">
        <f>'B) D RI'!U272</f>
        <v>24528.370999999999</v>
      </c>
      <c r="G270" s="301">
        <f t="shared" si="13"/>
        <v>1.3612033183940346</v>
      </c>
      <c r="H270" s="66">
        <f t="shared" si="14"/>
        <v>13534.060000000001</v>
      </c>
    </row>
    <row r="271" spans="1:8" x14ac:dyDescent="0.25">
      <c r="A271" s="57">
        <f>'A) Base RI'!A273</f>
        <v>5871</v>
      </c>
      <c r="B271" s="64" t="str">
        <f>'A) Base RI'!B273</f>
        <v>L'Abbaye</v>
      </c>
      <c r="C271" s="39">
        <f>'B) D RI'!Y273</f>
        <v>204554.55</v>
      </c>
      <c r="D271" s="19">
        <f>'B) D RI'!Z273</f>
        <v>637314</v>
      </c>
      <c r="E271" s="14">
        <f t="shared" si="12"/>
        <v>841868.55</v>
      </c>
      <c r="F271" s="19">
        <f>'B) D RI'!U273</f>
        <v>48996.378091415252</v>
      </c>
      <c r="G271" s="301">
        <f t="shared" si="13"/>
        <v>17.182260868941768</v>
      </c>
      <c r="H271" s="66">
        <f t="shared" si="14"/>
        <v>293471.47499999998</v>
      </c>
    </row>
    <row r="272" spans="1:8" x14ac:dyDescent="0.25">
      <c r="A272" s="57">
        <f>'A) Base RI'!A274</f>
        <v>5872</v>
      </c>
      <c r="B272" s="64" t="str">
        <f>'A) Base RI'!B274</f>
        <v>Le Chenit</v>
      </c>
      <c r="C272" s="39">
        <f>'B) D RI'!Y274</f>
        <v>410085</v>
      </c>
      <c r="D272" s="19">
        <f>'B) D RI'!Z274</f>
        <v>5100792.1500000004</v>
      </c>
      <c r="E272" s="14">
        <f t="shared" si="12"/>
        <v>5510877.1500000004</v>
      </c>
      <c r="F272" s="19">
        <f>'B) D RI'!U274</f>
        <v>315523.99059233442</v>
      </c>
      <c r="G272" s="301">
        <f t="shared" si="13"/>
        <v>17.46579440648684</v>
      </c>
      <c r="H272" s="66">
        <f t="shared" si="14"/>
        <v>1735280.145</v>
      </c>
    </row>
    <row r="273" spans="1:8" x14ac:dyDescent="0.25">
      <c r="A273" s="57">
        <f>'A) Base RI'!A275</f>
        <v>5873</v>
      </c>
      <c r="B273" s="64" t="str">
        <f>'A) Base RI'!B275</f>
        <v>Le Lieu</v>
      </c>
      <c r="C273" s="39">
        <f>'B) D RI'!Y275</f>
        <v>116813.95</v>
      </c>
      <c r="D273" s="19">
        <f>'B) D RI'!Z275</f>
        <v>806704.85</v>
      </c>
      <c r="E273" s="14">
        <f t="shared" si="12"/>
        <v>923518.79999999993</v>
      </c>
      <c r="F273" s="19">
        <f>'B) D RI'!U275</f>
        <v>30587.067025641027</v>
      </c>
      <c r="G273" s="301">
        <f t="shared" si="13"/>
        <v>30.193113946682679</v>
      </c>
      <c r="H273" s="66">
        <f t="shared" si="14"/>
        <v>300418.43</v>
      </c>
    </row>
    <row r="274" spans="1:8" x14ac:dyDescent="0.25">
      <c r="A274" s="57">
        <f>'A) Base RI'!A276</f>
        <v>5881</v>
      </c>
      <c r="B274" s="64" t="str">
        <f>'A) Base RI'!B276</f>
        <v>Blonay</v>
      </c>
      <c r="C274" s="39">
        <f>'B) D RI'!Y276</f>
        <v>2803078.9</v>
      </c>
      <c r="D274" s="19">
        <f>'B) D RI'!Z276</f>
        <v>78289.55</v>
      </c>
      <c r="E274" s="14">
        <f t="shared" si="12"/>
        <v>2881368.4499999997</v>
      </c>
      <c r="F274" s="19">
        <f>'B) D RI'!U276</f>
        <v>332407.86157142854</v>
      </c>
      <c r="G274" s="301">
        <f t="shared" si="13"/>
        <v>8.6681717946699184</v>
      </c>
      <c r="H274" s="66">
        <f t="shared" si="14"/>
        <v>1425026.3149999999</v>
      </c>
    </row>
    <row r="275" spans="1:8" x14ac:dyDescent="0.25">
      <c r="A275" s="57">
        <f>'A) Base RI'!A277</f>
        <v>5882</v>
      </c>
      <c r="B275" s="64" t="str">
        <f>'A) Base RI'!B277</f>
        <v>Chardonne</v>
      </c>
      <c r="C275" s="39">
        <f>'B) D RI'!Y277</f>
        <v>1199353.8</v>
      </c>
      <c r="D275" s="19">
        <f>'B) D RI'!Z277</f>
        <v>10525.4</v>
      </c>
      <c r="E275" s="14">
        <f t="shared" si="12"/>
        <v>1209879.2</v>
      </c>
      <c r="F275" s="19">
        <f>'B) D RI'!U277</f>
        <v>151089.46617647054</v>
      </c>
      <c r="G275" s="301">
        <f t="shared" si="13"/>
        <v>8.0077005407304611</v>
      </c>
      <c r="H275" s="66">
        <f t="shared" si="14"/>
        <v>602834.52</v>
      </c>
    </row>
    <row r="276" spans="1:8" x14ac:dyDescent="0.25">
      <c r="A276" s="57">
        <f>'A) Base RI'!A278</f>
        <v>5883</v>
      </c>
      <c r="B276" s="64" t="str">
        <f>'A) Base RI'!B278</f>
        <v>Corseaux</v>
      </c>
      <c r="C276" s="39">
        <f>'B) D RI'!Y278</f>
        <v>946092.10000000009</v>
      </c>
      <c r="D276" s="19">
        <f>'B) D RI'!Z278</f>
        <v>3263.25</v>
      </c>
      <c r="E276" s="14">
        <f t="shared" si="12"/>
        <v>949355.35000000009</v>
      </c>
      <c r="F276" s="19">
        <f>'B) D RI'!U278</f>
        <v>151117.63015625</v>
      </c>
      <c r="G276" s="301">
        <f t="shared" si="13"/>
        <v>6.2822276197582108</v>
      </c>
      <c r="H276" s="66">
        <f t="shared" si="14"/>
        <v>474025.02500000002</v>
      </c>
    </row>
    <row r="277" spans="1:8" x14ac:dyDescent="0.25">
      <c r="A277" s="57">
        <f>'A) Base RI'!A279</f>
        <v>5884</v>
      </c>
      <c r="B277" s="64" t="str">
        <f>'A) Base RI'!B279</f>
        <v>Corsier-sur-Vevey</v>
      </c>
      <c r="C277" s="39">
        <f>'B) D RI'!Y279</f>
        <v>457533.4</v>
      </c>
      <c r="D277" s="19">
        <f>'B) D RI'!Z279</f>
        <v>361450.95</v>
      </c>
      <c r="E277" s="14">
        <f t="shared" si="12"/>
        <v>818984.35000000009</v>
      </c>
      <c r="F277" s="19">
        <f>'B) D RI'!U279</f>
        <v>116440.6211111111</v>
      </c>
      <c r="G277" s="301">
        <f t="shared" si="13"/>
        <v>7.0334934852202551</v>
      </c>
      <c r="H277" s="66">
        <f t="shared" si="14"/>
        <v>337201.98499999999</v>
      </c>
    </row>
    <row r="278" spans="1:8" x14ac:dyDescent="0.25">
      <c r="A278" s="57">
        <f>'A) Base RI'!A280</f>
        <v>5885</v>
      </c>
      <c r="B278" s="64" t="str">
        <f>'A) Base RI'!B280</f>
        <v>Jongny</v>
      </c>
      <c r="C278" s="39">
        <f>'B) D RI'!Y280</f>
        <v>432601.9</v>
      </c>
      <c r="D278" s="19">
        <f>'B) D RI'!Z280</f>
        <v>0</v>
      </c>
      <c r="E278" s="14">
        <f t="shared" si="12"/>
        <v>432601.9</v>
      </c>
      <c r="F278" s="19">
        <f>'B) D RI'!U280</f>
        <v>81843.123028169022</v>
      </c>
      <c r="G278" s="301">
        <f t="shared" si="13"/>
        <v>5.2857452647683756</v>
      </c>
      <c r="H278" s="66">
        <f t="shared" si="14"/>
        <v>216300.95</v>
      </c>
    </row>
    <row r="279" spans="1:8" x14ac:dyDescent="0.25">
      <c r="A279" s="57">
        <f>'A) Base RI'!A281</f>
        <v>5886</v>
      </c>
      <c r="B279" s="64" t="str">
        <f>'A) Base RI'!B281</f>
        <v>Montreux</v>
      </c>
      <c r="C279" s="39">
        <f>'B) D RI'!Y281</f>
        <v>13684372.050000001</v>
      </c>
      <c r="D279" s="19">
        <f>'B) D RI'!Z281</f>
        <v>798361.7</v>
      </c>
      <c r="E279" s="14">
        <f t="shared" si="12"/>
        <v>14482733.75</v>
      </c>
      <c r="F279" s="19">
        <f>'B) D RI'!U281</f>
        <v>1175239.0178974359</v>
      </c>
      <c r="G279" s="301">
        <f t="shared" si="13"/>
        <v>12.323224067143693</v>
      </c>
      <c r="H279" s="66">
        <f t="shared" si="14"/>
        <v>7081694.5350000001</v>
      </c>
    </row>
    <row r="280" spans="1:8" x14ac:dyDescent="0.25">
      <c r="A280" s="57">
        <f>'A) Base RI'!A282</f>
        <v>5888</v>
      </c>
      <c r="B280" s="64" t="str">
        <f>'A) Base RI'!B282</f>
        <v>Saint-Légier-La Chiésaz</v>
      </c>
      <c r="C280" s="39">
        <f>'B) D RI'!Y282</f>
        <v>1353870.2</v>
      </c>
      <c r="D280" s="19">
        <f>'B) D RI'!Z282</f>
        <v>160090.6</v>
      </c>
      <c r="E280" s="14">
        <f t="shared" si="12"/>
        <v>1513960.8</v>
      </c>
      <c r="F280" s="19">
        <f>'B) D RI'!U282</f>
        <v>307135.62007462693</v>
      </c>
      <c r="G280" s="301">
        <f t="shared" si="13"/>
        <v>4.9292908443251946</v>
      </c>
      <c r="H280" s="66">
        <f t="shared" si="14"/>
        <v>724962.28</v>
      </c>
    </row>
    <row r="281" spans="1:8" x14ac:dyDescent="0.25">
      <c r="A281" s="57">
        <f>'A) Base RI'!A283</f>
        <v>5889</v>
      </c>
      <c r="B281" s="64" t="str">
        <f>'A) Base RI'!B283</f>
        <v>La Tour-de-Peilz</v>
      </c>
      <c r="C281" s="39">
        <f>'B) D RI'!Y283</f>
        <v>4270196.8</v>
      </c>
      <c r="D281" s="19">
        <f>'B) D RI'!Z283</f>
        <v>87843.5</v>
      </c>
      <c r="E281" s="14">
        <f t="shared" si="12"/>
        <v>4358040.3</v>
      </c>
      <c r="F281" s="19">
        <f>'B) D RI'!U283</f>
        <v>618611.02559895837</v>
      </c>
      <c r="G281" s="301">
        <f t="shared" si="13"/>
        <v>7.0448797704185928</v>
      </c>
      <c r="H281" s="66">
        <f t="shared" si="14"/>
        <v>2161451.4499999997</v>
      </c>
    </row>
    <row r="282" spans="1:8" x14ac:dyDescent="0.25">
      <c r="A282" s="57">
        <f>'A) Base RI'!A284</f>
        <v>5890</v>
      </c>
      <c r="B282" s="64" t="str">
        <f>'A) Base RI'!B284</f>
        <v>Vevey</v>
      </c>
      <c r="C282" s="39">
        <f>'B) D RI'!Y284</f>
        <v>4053478.75</v>
      </c>
      <c r="D282" s="19">
        <f>'B) D RI'!Z284</f>
        <v>1024428.9</v>
      </c>
      <c r="E282" s="14">
        <f t="shared" si="12"/>
        <v>5077907.6500000004</v>
      </c>
      <c r="F282" s="19">
        <f>'B) D RI'!U284</f>
        <v>909212.90865296812</v>
      </c>
      <c r="G282" s="301">
        <f t="shared" si="13"/>
        <v>5.5849489175457316</v>
      </c>
      <c r="H282" s="66">
        <f t="shared" si="14"/>
        <v>2334068.0449999999</v>
      </c>
    </row>
    <row r="283" spans="1:8" x14ac:dyDescent="0.25">
      <c r="A283" s="57">
        <f>'A) Base RI'!A285</f>
        <v>5891</v>
      </c>
      <c r="B283" s="64" t="str">
        <f>'A) Base RI'!B285</f>
        <v>Veytaux</v>
      </c>
      <c r="C283" s="39">
        <f>'B) D RI'!Y285</f>
        <v>321961.59999999998</v>
      </c>
      <c r="D283" s="19">
        <f>'B) D RI'!Z285</f>
        <v>0</v>
      </c>
      <c r="E283" s="14">
        <f t="shared" si="12"/>
        <v>321961.59999999998</v>
      </c>
      <c r="F283" s="19">
        <f>'B) D RI'!U285</f>
        <v>39510.481835748789</v>
      </c>
      <c r="G283" s="301">
        <f t="shared" si="13"/>
        <v>8.1487642023310265</v>
      </c>
      <c r="H283" s="66">
        <f t="shared" si="14"/>
        <v>160980.79999999999</v>
      </c>
    </row>
    <row r="284" spans="1:8" x14ac:dyDescent="0.25">
      <c r="A284" s="57">
        <f>'A) Base RI'!A286</f>
        <v>5902</v>
      </c>
      <c r="B284" s="64" t="str">
        <f>'A) Base RI'!B286</f>
        <v>Belmont-sur-Yverdon</v>
      </c>
      <c r="C284" s="39">
        <f>'B) D RI'!Y286</f>
        <v>16454.599999999999</v>
      </c>
      <c r="D284" s="19">
        <f>'B) D RI'!Z286</f>
        <v>0</v>
      </c>
      <c r="E284" s="14">
        <f t="shared" si="12"/>
        <v>16454.599999999999</v>
      </c>
      <c r="F284" s="19">
        <f>'B) D RI'!U286</f>
        <v>9227.1448684210518</v>
      </c>
      <c r="G284" s="301">
        <f t="shared" si="13"/>
        <v>1.7832818531238372</v>
      </c>
      <c r="H284" s="66">
        <f t="shared" si="14"/>
        <v>8227.2999999999993</v>
      </c>
    </row>
    <row r="285" spans="1:8" x14ac:dyDescent="0.25">
      <c r="A285" s="57">
        <f>'A) Base RI'!A287</f>
        <v>5903</v>
      </c>
      <c r="B285" s="64" t="str">
        <f>'A) Base RI'!B287</f>
        <v>Bioley-Magnoux</v>
      </c>
      <c r="C285" s="39">
        <f>'B) D RI'!Y287</f>
        <v>11970.7</v>
      </c>
      <c r="D285" s="19">
        <f>'B) D RI'!Z287</f>
        <v>23214.2</v>
      </c>
      <c r="E285" s="14">
        <f t="shared" si="12"/>
        <v>35184.9</v>
      </c>
      <c r="F285" s="19">
        <f>'B) D RI'!U287</f>
        <v>5953.911158301159</v>
      </c>
      <c r="G285" s="301">
        <f t="shared" si="13"/>
        <v>5.9095440063703233</v>
      </c>
      <c r="H285" s="66">
        <f t="shared" si="14"/>
        <v>12949.61</v>
      </c>
    </row>
    <row r="286" spans="1:8" x14ac:dyDescent="0.25">
      <c r="A286" s="57">
        <f>'A) Base RI'!A288</f>
        <v>5904</v>
      </c>
      <c r="B286" s="64" t="str">
        <f>'A) Base RI'!B288</f>
        <v>Chamblon</v>
      </c>
      <c r="C286" s="39">
        <f>'B) D RI'!Y288</f>
        <v>48407.600000000006</v>
      </c>
      <c r="D286" s="19">
        <f>'B) D RI'!Z288</f>
        <v>32253.4</v>
      </c>
      <c r="E286" s="14">
        <f t="shared" si="12"/>
        <v>80661</v>
      </c>
      <c r="F286" s="19">
        <f>'B) D RI'!U288</f>
        <v>22914.009848484849</v>
      </c>
      <c r="G286" s="301">
        <f t="shared" si="13"/>
        <v>3.5201608331914711</v>
      </c>
      <c r="H286" s="66">
        <f t="shared" si="14"/>
        <v>33879.820000000007</v>
      </c>
    </row>
    <row r="287" spans="1:8" x14ac:dyDescent="0.25">
      <c r="A287" s="57">
        <f>'A) Base RI'!A289</f>
        <v>5905</v>
      </c>
      <c r="B287" s="64" t="str">
        <f>'A) Base RI'!B289</f>
        <v>Champvent</v>
      </c>
      <c r="C287" s="39">
        <f>'B) D RI'!Y289</f>
        <v>196030.55000000002</v>
      </c>
      <c r="D287" s="19">
        <f>'B) D RI'!Z289</f>
        <v>116404.5</v>
      </c>
      <c r="E287" s="14">
        <f t="shared" si="12"/>
        <v>312435.05000000005</v>
      </c>
      <c r="F287" s="19">
        <f>'B) D RI'!U289</f>
        <v>21038.740140845071</v>
      </c>
      <c r="G287" s="301">
        <f t="shared" si="13"/>
        <v>14.850463854222516</v>
      </c>
      <c r="H287" s="66">
        <f t="shared" si="14"/>
        <v>132936.625</v>
      </c>
    </row>
    <row r="288" spans="1:8" x14ac:dyDescent="0.25">
      <c r="A288" s="57">
        <f>'A) Base RI'!A290</f>
        <v>5907</v>
      </c>
      <c r="B288" s="64" t="str">
        <f>'A) Base RI'!B290</f>
        <v>Chavannes-le-Chêne</v>
      </c>
      <c r="C288" s="39">
        <f>'B) D RI'!Y290</f>
        <v>50042</v>
      </c>
      <c r="D288" s="19">
        <f>'B) D RI'!Z290</f>
        <v>7359.95</v>
      </c>
      <c r="E288" s="14">
        <f t="shared" si="12"/>
        <v>57401.95</v>
      </c>
      <c r="F288" s="19">
        <f>'B) D RI'!U290</f>
        <v>8819.3566666666684</v>
      </c>
      <c r="G288" s="301">
        <f t="shared" si="13"/>
        <v>6.5086323378840545</v>
      </c>
      <c r="H288" s="66">
        <f t="shared" si="14"/>
        <v>27228.985000000001</v>
      </c>
    </row>
    <row r="289" spans="1:8" x14ac:dyDescent="0.25">
      <c r="A289" s="57">
        <f>'A) Base RI'!A291</f>
        <v>5908</v>
      </c>
      <c r="B289" s="64" t="str">
        <f>'A) Base RI'!B291</f>
        <v>Chêne-Pâquier</v>
      </c>
      <c r="C289" s="39">
        <f>'B) D RI'!Y291</f>
        <v>11966</v>
      </c>
      <c r="D289" s="19">
        <f>'B) D RI'!Z291</f>
        <v>0</v>
      </c>
      <c r="E289" s="14">
        <f t="shared" si="12"/>
        <v>11966</v>
      </c>
      <c r="F289" s="19">
        <f>'B) D RI'!U291</f>
        <v>2915.1287341772154</v>
      </c>
      <c r="G289" s="301">
        <f t="shared" si="13"/>
        <v>4.1047929924018813</v>
      </c>
      <c r="H289" s="66">
        <f t="shared" si="14"/>
        <v>5983</v>
      </c>
    </row>
    <row r="290" spans="1:8" x14ac:dyDescent="0.25">
      <c r="A290" s="57">
        <f>'A) Base RI'!A292</f>
        <v>5909</v>
      </c>
      <c r="B290" s="64" t="str">
        <f>'A) Base RI'!B292</f>
        <v>Cheseaux-Noréaz</v>
      </c>
      <c r="C290" s="39">
        <f>'B) D RI'!Y292</f>
        <v>96876.150000000009</v>
      </c>
      <c r="D290" s="19">
        <f>'B) D RI'!Z292</f>
        <v>10706.85</v>
      </c>
      <c r="E290" s="14">
        <f t="shared" si="12"/>
        <v>107583.00000000001</v>
      </c>
      <c r="F290" s="19">
        <f>'B) D RI'!U292</f>
        <v>24771.110857142852</v>
      </c>
      <c r="G290" s="301">
        <f t="shared" si="13"/>
        <v>4.3430833853370778</v>
      </c>
      <c r="H290" s="66">
        <f t="shared" si="14"/>
        <v>51650.130000000005</v>
      </c>
    </row>
    <row r="291" spans="1:8" x14ac:dyDescent="0.25">
      <c r="A291" s="57">
        <f>'A) Base RI'!A293</f>
        <v>5910</v>
      </c>
      <c r="B291" s="64" t="str">
        <f>'A) Base RI'!B293</f>
        <v>Cronay</v>
      </c>
      <c r="C291" s="39">
        <f>'B) D RI'!Y293</f>
        <v>37555.4</v>
      </c>
      <c r="D291" s="19">
        <f>'B) D RI'!Z293</f>
        <v>0</v>
      </c>
      <c r="E291" s="14">
        <f t="shared" si="12"/>
        <v>37555.4</v>
      </c>
      <c r="F291" s="19">
        <f>'B) D RI'!U293</f>
        <v>10097.267848101266</v>
      </c>
      <c r="G291" s="301">
        <f t="shared" si="13"/>
        <v>3.7193625607408327</v>
      </c>
      <c r="H291" s="66">
        <f t="shared" si="14"/>
        <v>18777.7</v>
      </c>
    </row>
    <row r="292" spans="1:8" x14ac:dyDescent="0.25">
      <c r="A292" s="57">
        <f>'A) Base RI'!A294</f>
        <v>5911</v>
      </c>
      <c r="B292" s="64" t="str">
        <f>'A) Base RI'!B294</f>
        <v>Cuarny</v>
      </c>
      <c r="C292" s="39">
        <f>'B) D RI'!Y294</f>
        <v>2081.75</v>
      </c>
      <c r="D292" s="19">
        <f>'B) D RI'!Z294</f>
        <v>0</v>
      </c>
      <c r="E292" s="14">
        <f t="shared" si="12"/>
        <v>2081.75</v>
      </c>
      <c r="F292" s="19">
        <f>'B) D RI'!U294</f>
        <v>7741.5774683544305</v>
      </c>
      <c r="G292" s="301">
        <f t="shared" si="13"/>
        <v>0.26890514349428868</v>
      </c>
      <c r="H292" s="66">
        <f t="shared" si="14"/>
        <v>1040.875</v>
      </c>
    </row>
    <row r="293" spans="1:8" x14ac:dyDescent="0.25">
      <c r="A293" s="57">
        <f>'A) Base RI'!A295</f>
        <v>5912</v>
      </c>
      <c r="B293" s="64" t="str">
        <f>'A) Base RI'!B295</f>
        <v>Démoret</v>
      </c>
      <c r="C293" s="39">
        <f>'B) D RI'!Y295</f>
        <v>10019.700000000001</v>
      </c>
      <c r="D293" s="19">
        <f>'B) D RI'!Z295</f>
        <v>0</v>
      </c>
      <c r="E293" s="14">
        <f t="shared" si="12"/>
        <v>10019.700000000001</v>
      </c>
      <c r="F293" s="19">
        <f>'B) D RI'!U295</f>
        <v>2761.8208641975311</v>
      </c>
      <c r="G293" s="301">
        <f t="shared" si="13"/>
        <v>3.6279326186172844</v>
      </c>
      <c r="H293" s="66">
        <f t="shared" si="14"/>
        <v>5009.8500000000004</v>
      </c>
    </row>
    <row r="294" spans="1:8" x14ac:dyDescent="0.25">
      <c r="A294" s="57">
        <f>'A) Base RI'!A296</f>
        <v>5913</v>
      </c>
      <c r="B294" s="64" t="str">
        <f>'A) Base RI'!B296</f>
        <v>Donneloye</v>
      </c>
      <c r="C294" s="39">
        <f>'B) D RI'!Y296</f>
        <v>120552.25</v>
      </c>
      <c r="D294" s="19">
        <f>'B) D RI'!Z296</f>
        <v>18696.400000000001</v>
      </c>
      <c r="E294" s="14">
        <f t="shared" si="12"/>
        <v>139248.65</v>
      </c>
      <c r="F294" s="19">
        <f>'B) D RI'!U296</f>
        <v>21023.999589041094</v>
      </c>
      <c r="G294" s="301">
        <f t="shared" si="13"/>
        <v>6.6233187177469466</v>
      </c>
      <c r="H294" s="66">
        <f t="shared" si="14"/>
        <v>65885.044999999998</v>
      </c>
    </row>
    <row r="295" spans="1:8" x14ac:dyDescent="0.25">
      <c r="A295" s="57">
        <f>'A) Base RI'!A297</f>
        <v>5914</v>
      </c>
      <c r="B295" s="64" t="str">
        <f>'A) Base RI'!B297</f>
        <v>Ependes</v>
      </c>
      <c r="C295" s="39">
        <f>'B) D RI'!Y297</f>
        <v>14147.75</v>
      </c>
      <c r="D295" s="19">
        <f>'B) D RI'!Z297</f>
        <v>0</v>
      </c>
      <c r="E295" s="14">
        <f t="shared" si="12"/>
        <v>14147.75</v>
      </c>
      <c r="F295" s="19">
        <f>'B) D RI'!U297</f>
        <v>8838.0616000000009</v>
      </c>
      <c r="G295" s="301">
        <f t="shared" si="13"/>
        <v>1.6007752197608578</v>
      </c>
      <c r="H295" s="66">
        <f t="shared" si="14"/>
        <v>7073.875</v>
      </c>
    </row>
    <row r="296" spans="1:8" x14ac:dyDescent="0.25">
      <c r="A296" s="57">
        <f>'A) Base RI'!A298</f>
        <v>5919</v>
      </c>
      <c r="B296" s="64" t="str">
        <f>'A) Base RI'!B298</f>
        <v>Mathod</v>
      </c>
      <c r="C296" s="39">
        <f>'B) D RI'!Y298</f>
        <v>166427.05000000002</v>
      </c>
      <c r="D296" s="19">
        <f>'B) D RI'!Z298</f>
        <v>8035.8</v>
      </c>
      <c r="E296" s="14">
        <f t="shared" si="12"/>
        <v>174462.85</v>
      </c>
      <c r="F296" s="19">
        <f>'B) D RI'!U298</f>
        <v>16883.878828828827</v>
      </c>
      <c r="G296" s="301">
        <f t="shared" si="13"/>
        <v>10.333102468261545</v>
      </c>
      <c r="H296" s="66">
        <f t="shared" si="14"/>
        <v>85624.265000000014</v>
      </c>
    </row>
    <row r="297" spans="1:8" x14ac:dyDescent="0.25">
      <c r="A297" s="57">
        <f>'A) Base RI'!A299</f>
        <v>5921</v>
      </c>
      <c r="B297" s="64" t="str">
        <f>'A) Base RI'!B299</f>
        <v>Molondin</v>
      </c>
      <c r="C297" s="39">
        <f>'B) D RI'!Y299</f>
        <v>32909.35</v>
      </c>
      <c r="D297" s="19">
        <f>'B) D RI'!Z299</f>
        <v>3758.5</v>
      </c>
      <c r="E297" s="14">
        <f t="shared" si="12"/>
        <v>36667.85</v>
      </c>
      <c r="F297" s="19">
        <f>'B) D RI'!U299</f>
        <v>5518.0840740740732</v>
      </c>
      <c r="G297" s="301">
        <f t="shared" si="13"/>
        <v>6.6450328606406401</v>
      </c>
      <c r="H297" s="66">
        <f t="shared" si="14"/>
        <v>17582.224999999999</v>
      </c>
    </row>
    <row r="298" spans="1:8" x14ac:dyDescent="0.25">
      <c r="A298" s="57">
        <f>'A) Base RI'!A300</f>
        <v>5922</v>
      </c>
      <c r="B298" s="64" t="str">
        <f>'A) Base RI'!B300</f>
        <v>Montagny-près-Yverdon</v>
      </c>
      <c r="C298" s="39">
        <f>'B) D RI'!Y300</f>
        <v>55490.400000000001</v>
      </c>
      <c r="D298" s="19">
        <f>'B) D RI'!Z300</f>
        <v>123327.5</v>
      </c>
      <c r="E298" s="14">
        <f t="shared" si="12"/>
        <v>178817.9</v>
      </c>
      <c r="F298" s="19">
        <f>'B) D RI'!U300</f>
        <v>45028.443278688515</v>
      </c>
      <c r="G298" s="301">
        <f t="shared" si="13"/>
        <v>3.9712210100905843</v>
      </c>
      <c r="H298" s="66">
        <f t="shared" si="14"/>
        <v>64743.45</v>
      </c>
    </row>
    <row r="299" spans="1:8" x14ac:dyDescent="0.25">
      <c r="A299" s="57">
        <f>'A) Base RI'!A301</f>
        <v>5923</v>
      </c>
      <c r="B299" s="64" t="str">
        <f>'A) Base RI'!B301</f>
        <v>Oppens</v>
      </c>
      <c r="C299" s="39">
        <f>'B) D RI'!Y301</f>
        <v>52678.6</v>
      </c>
      <c r="D299" s="19">
        <f>'B) D RI'!Z301</f>
        <v>15625.95</v>
      </c>
      <c r="E299" s="14">
        <f t="shared" si="12"/>
        <v>68304.55</v>
      </c>
      <c r="F299" s="19">
        <f>'B) D RI'!U301</f>
        <v>4881.0219753086412</v>
      </c>
      <c r="G299" s="301">
        <f t="shared" si="13"/>
        <v>13.993903396773973</v>
      </c>
      <c r="H299" s="66">
        <f t="shared" si="14"/>
        <v>31027.084999999999</v>
      </c>
    </row>
    <row r="300" spans="1:8" x14ac:dyDescent="0.25">
      <c r="A300" s="57">
        <f>'A) Base RI'!A302</f>
        <v>5924</v>
      </c>
      <c r="B300" s="64" t="str">
        <f>'A) Base RI'!B302</f>
        <v>Orges</v>
      </c>
      <c r="C300" s="39">
        <f>'B) D RI'!Y302</f>
        <v>28480.1</v>
      </c>
      <c r="D300" s="19">
        <f>'B) D RI'!Z302</f>
        <v>16170.65</v>
      </c>
      <c r="E300" s="14">
        <f t="shared" si="12"/>
        <v>44650.75</v>
      </c>
      <c r="F300" s="19">
        <f>'B) D RI'!U302</f>
        <v>9476.448378378378</v>
      </c>
      <c r="G300" s="301">
        <f t="shared" si="13"/>
        <v>4.7117599565968078</v>
      </c>
      <c r="H300" s="66">
        <f t="shared" si="14"/>
        <v>19091.244999999999</v>
      </c>
    </row>
    <row r="301" spans="1:8" x14ac:dyDescent="0.25">
      <c r="A301" s="57">
        <f>'A) Base RI'!A303</f>
        <v>5925</v>
      </c>
      <c r="B301" s="64" t="str">
        <f>'A) Base RI'!B303</f>
        <v>Orzens</v>
      </c>
      <c r="C301" s="39">
        <f>'B) D RI'!Y303</f>
        <v>15741</v>
      </c>
      <c r="D301" s="19">
        <f>'B) D RI'!Z303</f>
        <v>13995.35</v>
      </c>
      <c r="E301" s="14">
        <f t="shared" si="12"/>
        <v>29736.35</v>
      </c>
      <c r="F301" s="19">
        <f>'B) D RI'!U303</f>
        <v>4875.4426582278484</v>
      </c>
      <c r="G301" s="301">
        <f t="shared" si="13"/>
        <v>6.0992102839762907</v>
      </c>
      <c r="H301" s="66">
        <f t="shared" si="14"/>
        <v>12069.105</v>
      </c>
    </row>
    <row r="302" spans="1:8" x14ac:dyDescent="0.25">
      <c r="A302" s="57">
        <f>'A) Base RI'!A304</f>
        <v>5926</v>
      </c>
      <c r="B302" s="64" t="str">
        <f>'A) Base RI'!B304</f>
        <v>Pomy</v>
      </c>
      <c r="C302" s="39">
        <f>'B) D RI'!Y304</f>
        <v>140919.20000000001</v>
      </c>
      <c r="D302" s="19">
        <f>'B) D RI'!Z304</f>
        <v>4602.2</v>
      </c>
      <c r="E302" s="14">
        <f t="shared" si="12"/>
        <v>145521.40000000002</v>
      </c>
      <c r="F302" s="19">
        <f>'B) D RI'!U304</f>
        <v>22774.42661971831</v>
      </c>
      <c r="G302" s="301">
        <f t="shared" si="13"/>
        <v>6.3896844662603378</v>
      </c>
      <c r="H302" s="66">
        <f t="shared" si="14"/>
        <v>71840.260000000009</v>
      </c>
    </row>
    <row r="303" spans="1:8" x14ac:dyDescent="0.25">
      <c r="A303" s="57">
        <f>'A) Base RI'!A305</f>
        <v>5928</v>
      </c>
      <c r="B303" s="64" t="str">
        <f>'A) Base RI'!B305</f>
        <v>Rovray</v>
      </c>
      <c r="C303" s="39">
        <f>'B) D RI'!Y305</f>
        <v>18179.5</v>
      </c>
      <c r="D303" s="19">
        <f>'B) D RI'!Z305</f>
        <v>874</v>
      </c>
      <c r="E303" s="14">
        <f t="shared" si="12"/>
        <v>19053.5</v>
      </c>
      <c r="F303" s="19">
        <f>'B) D RI'!U305</f>
        <v>4451.7282191780823</v>
      </c>
      <c r="G303" s="301">
        <f t="shared" si="13"/>
        <v>4.2800231869316194</v>
      </c>
      <c r="H303" s="66">
        <f t="shared" si="14"/>
        <v>9351.9500000000007</v>
      </c>
    </row>
    <row r="304" spans="1:8" x14ac:dyDescent="0.25">
      <c r="A304" s="57">
        <f>'A) Base RI'!A306</f>
        <v>5929</v>
      </c>
      <c r="B304" s="64" t="str">
        <f>'A) Base RI'!B306</f>
        <v>Suchy</v>
      </c>
      <c r="C304" s="39">
        <f>'B) D RI'!Y306</f>
        <v>52627.700000000004</v>
      </c>
      <c r="D304" s="19">
        <f>'B) D RI'!Z306</f>
        <v>6677.95</v>
      </c>
      <c r="E304" s="14">
        <f t="shared" si="12"/>
        <v>59305.65</v>
      </c>
      <c r="F304" s="19">
        <f>'B) D RI'!U306</f>
        <v>16583.788428571432</v>
      </c>
      <c r="G304" s="301">
        <f t="shared" si="13"/>
        <v>3.5761219612416832</v>
      </c>
      <c r="H304" s="66">
        <f t="shared" si="14"/>
        <v>28317.235000000001</v>
      </c>
    </row>
    <row r="305" spans="1:8" x14ac:dyDescent="0.25">
      <c r="A305" s="57">
        <f>'A) Base RI'!A307</f>
        <v>5930</v>
      </c>
      <c r="B305" s="64" t="str">
        <f>'A) Base RI'!B307</f>
        <v>Suscévaz</v>
      </c>
      <c r="C305" s="39">
        <f>'B) D RI'!Y307</f>
        <v>23284.5</v>
      </c>
      <c r="D305" s="19">
        <f>'B) D RI'!Z307</f>
        <v>4424.6000000000004</v>
      </c>
      <c r="E305" s="14">
        <f t="shared" si="12"/>
        <v>27709.1</v>
      </c>
      <c r="F305" s="19">
        <f>'B) D RI'!U307</f>
        <v>4886.5228787878787</v>
      </c>
      <c r="G305" s="301">
        <f t="shared" si="13"/>
        <v>5.6705147376437433</v>
      </c>
      <c r="H305" s="66">
        <f t="shared" si="14"/>
        <v>12969.630000000001</v>
      </c>
    </row>
    <row r="306" spans="1:8" x14ac:dyDescent="0.25">
      <c r="A306" s="57">
        <f>'A) Base RI'!A308</f>
        <v>5931</v>
      </c>
      <c r="B306" s="64" t="str">
        <f>'A) Base RI'!B308</f>
        <v>Treycovagnes</v>
      </c>
      <c r="C306" s="39">
        <f>'B) D RI'!Y308</f>
        <v>24078.55</v>
      </c>
      <c r="D306" s="19">
        <f>'B) D RI'!Z308</f>
        <v>6410.6</v>
      </c>
      <c r="E306" s="14">
        <f t="shared" si="12"/>
        <v>30489.15</v>
      </c>
      <c r="F306" s="19">
        <f>'B) D RI'!U308</f>
        <v>16368.774155844154</v>
      </c>
      <c r="G306" s="301">
        <f t="shared" si="13"/>
        <v>1.8626410084052898</v>
      </c>
      <c r="H306" s="66">
        <f t="shared" si="14"/>
        <v>13962.455</v>
      </c>
    </row>
    <row r="307" spans="1:8" x14ac:dyDescent="0.25">
      <c r="A307" s="57">
        <f>'A) Base RI'!A309</f>
        <v>5932</v>
      </c>
      <c r="B307" s="64" t="str">
        <f>'A) Base RI'!B309</f>
        <v>Ursins</v>
      </c>
      <c r="C307" s="39">
        <f>'B) D RI'!Y309</f>
        <v>17285.400000000001</v>
      </c>
      <c r="D307" s="19">
        <f>'B) D RI'!Z309</f>
        <v>0</v>
      </c>
      <c r="E307" s="14">
        <f t="shared" si="12"/>
        <v>17285.400000000001</v>
      </c>
      <c r="F307" s="19">
        <f>'B) D RI'!U309</f>
        <v>6366.2738461538456</v>
      </c>
      <c r="G307" s="301">
        <f t="shared" si="13"/>
        <v>2.7151518168579716</v>
      </c>
      <c r="H307" s="66">
        <f t="shared" si="14"/>
        <v>8642.7000000000007</v>
      </c>
    </row>
    <row r="308" spans="1:8" x14ac:dyDescent="0.25">
      <c r="A308" s="57">
        <f>'A) Base RI'!A310</f>
        <v>5933</v>
      </c>
      <c r="B308" s="64" t="str">
        <f>'A) Base RI'!B310</f>
        <v>Valeyres-sous-Montagny</v>
      </c>
      <c r="C308" s="39">
        <f>'B) D RI'!Y310</f>
        <v>88461.299999999988</v>
      </c>
      <c r="D308" s="19">
        <f>'B) D RI'!Z310</f>
        <v>9172.25</v>
      </c>
      <c r="E308" s="14">
        <f t="shared" si="12"/>
        <v>97633.549999999988</v>
      </c>
      <c r="F308" s="19">
        <f>'B) D RI'!U310</f>
        <v>19578.46263888889</v>
      </c>
      <c r="G308" s="301">
        <f t="shared" si="13"/>
        <v>4.9867832730681068</v>
      </c>
      <c r="H308" s="66">
        <f t="shared" si="14"/>
        <v>46982.324999999997</v>
      </c>
    </row>
    <row r="309" spans="1:8" x14ac:dyDescent="0.25">
      <c r="A309" s="57">
        <f>'A) Base RI'!A311</f>
        <v>5934</v>
      </c>
      <c r="B309" s="64" t="str">
        <f>'A) Base RI'!B311</f>
        <v>Valeyres-sous-Ursins</v>
      </c>
      <c r="C309" s="39">
        <f>'B) D RI'!Y311</f>
        <v>30196.7</v>
      </c>
      <c r="D309" s="19">
        <f>'B) D RI'!Z311</f>
        <v>9880.4</v>
      </c>
      <c r="E309" s="14">
        <f t="shared" si="12"/>
        <v>40077.1</v>
      </c>
      <c r="F309" s="19">
        <f>'B) D RI'!U311</f>
        <v>6856.0722784810141</v>
      </c>
      <c r="G309" s="301">
        <f t="shared" si="13"/>
        <v>5.8454897165814614</v>
      </c>
      <c r="H309" s="66">
        <f t="shared" si="14"/>
        <v>18062.47</v>
      </c>
    </row>
    <row r="310" spans="1:8" x14ac:dyDescent="0.25">
      <c r="A310" s="57">
        <f>'A) Base RI'!A312</f>
        <v>5935</v>
      </c>
      <c r="B310" s="64" t="str">
        <f>'A) Base RI'!B312</f>
        <v>Villars-Epeney</v>
      </c>
      <c r="C310" s="39">
        <f>'B) D RI'!Y312</f>
        <v>20124.05</v>
      </c>
      <c r="D310" s="19">
        <f>'B) D RI'!Z312</f>
        <v>0</v>
      </c>
      <c r="E310" s="14">
        <f t="shared" si="12"/>
        <v>20124.05</v>
      </c>
      <c r="F310" s="19">
        <f>'B) D RI'!U312</f>
        <v>4252.6353333333336</v>
      </c>
      <c r="G310" s="301">
        <f t="shared" si="13"/>
        <v>4.7321362925859463</v>
      </c>
      <c r="H310" s="66">
        <f t="shared" si="14"/>
        <v>10062.025</v>
      </c>
    </row>
    <row r="311" spans="1:8" x14ac:dyDescent="0.25">
      <c r="A311" s="57">
        <f>'A) Base RI'!A313</f>
        <v>5937</v>
      </c>
      <c r="B311" s="64" t="str">
        <f>'A) Base RI'!B313</f>
        <v>Vugelles-La Mothe</v>
      </c>
      <c r="C311" s="39">
        <f>'B) D RI'!Y313</f>
        <v>14656.35</v>
      </c>
      <c r="D311" s="19">
        <f>'B) D RI'!Z313</f>
        <v>0</v>
      </c>
      <c r="E311" s="14">
        <f t="shared" si="12"/>
        <v>14656.35</v>
      </c>
      <c r="F311" s="19">
        <f>'B) D RI'!U313</f>
        <v>2272.9823469387752</v>
      </c>
      <c r="G311" s="301">
        <f t="shared" si="13"/>
        <v>6.4480703159613153</v>
      </c>
      <c r="H311" s="66">
        <f t="shared" si="14"/>
        <v>7328.1750000000002</v>
      </c>
    </row>
    <row r="312" spans="1:8" x14ac:dyDescent="0.25">
      <c r="A312" s="57">
        <f>'A) Base RI'!A314</f>
        <v>5938</v>
      </c>
      <c r="B312" s="64" t="str">
        <f>'A) Base RI'!B314</f>
        <v>Yverdon-les-Bains</v>
      </c>
      <c r="C312" s="39">
        <f>'B) D RI'!Y314</f>
        <v>3908804.0999999996</v>
      </c>
      <c r="D312" s="19">
        <f>'B) D RI'!Z314</f>
        <v>3598534.3</v>
      </c>
      <c r="E312" s="14">
        <f t="shared" si="12"/>
        <v>7507338.3999999994</v>
      </c>
      <c r="F312" s="19">
        <f>'B) D RI'!U314</f>
        <v>809245.0162091502</v>
      </c>
      <c r="G312" s="301">
        <f t="shared" si="13"/>
        <v>9.2769658751407373</v>
      </c>
      <c r="H312" s="66">
        <f t="shared" si="14"/>
        <v>3033962.34</v>
      </c>
    </row>
    <row r="313" spans="1:8" x14ac:dyDescent="0.25">
      <c r="A313" s="57">
        <f>'A) Base RI'!A315</f>
        <v>5939</v>
      </c>
      <c r="B313" s="64" t="str">
        <f>'A) Base RI'!B315</f>
        <v>Yvonand</v>
      </c>
      <c r="C313" s="39">
        <f>'B) D RI'!Y315</f>
        <v>821841.64999999991</v>
      </c>
      <c r="D313" s="19">
        <f>'B) D RI'!Z315</f>
        <v>119969.7</v>
      </c>
      <c r="E313" s="14">
        <f t="shared" si="12"/>
        <v>941811.34999999986</v>
      </c>
      <c r="F313" s="19">
        <f>'B) D RI'!U315</f>
        <v>88261.067808219188</v>
      </c>
      <c r="G313" s="301">
        <f t="shared" si="13"/>
        <v>10.67074502255563</v>
      </c>
      <c r="H313" s="115">
        <f t="shared" si="14"/>
        <v>446911.73499999993</v>
      </c>
    </row>
    <row r="314" spans="1:8" x14ac:dyDescent="0.25">
      <c r="A314" s="38"/>
      <c r="B314" s="135">
        <f>COUNTA(B5:B313)</f>
        <v>309</v>
      </c>
      <c r="C314" s="136">
        <f>SUM(C5:C313)</f>
        <v>207754904.00000003</v>
      </c>
      <c r="D314" s="15">
        <f>SUM(D5:D313)</f>
        <v>66918953.550000027</v>
      </c>
      <c r="E314" s="15">
        <f>SUM(E5:E313)</f>
        <v>274673857.55000001</v>
      </c>
      <c r="F314" s="15">
        <f>SUM(F5:F313)</f>
        <v>36265640.391085088</v>
      </c>
      <c r="G314" s="72">
        <f t="shared" ref="G314" si="15">E314/F314</f>
        <v>7.5739420175114578</v>
      </c>
      <c r="H314" s="303">
        <f>(C314*$C$4)+(D314*$D$4)</f>
        <v>123953138.06500003</v>
      </c>
    </row>
    <row r="316" spans="1:8" x14ac:dyDescent="0.25">
      <c r="G316" s="18"/>
    </row>
    <row r="317" spans="1:8" x14ac:dyDescent="0.25">
      <c r="G317" s="18"/>
    </row>
    <row r="318" spans="1:8" x14ac:dyDescent="0.25">
      <c r="G318" s="18"/>
    </row>
    <row r="319" spans="1:8" x14ac:dyDescent="0.25">
      <c r="G319" s="18"/>
    </row>
    <row r="320" spans="1:8" x14ac:dyDescent="0.25">
      <c r="G320" s="18"/>
    </row>
    <row r="321" spans="7:7" x14ac:dyDescent="0.25">
      <c r="G321" s="18"/>
    </row>
    <row r="322" spans="7:7" x14ac:dyDescent="0.25">
      <c r="G322" s="18"/>
    </row>
    <row r="323" spans="7:7" x14ac:dyDescent="0.25">
      <c r="G323" s="18"/>
    </row>
    <row r="324" spans="7:7" x14ac:dyDescent="0.25">
      <c r="G324" s="18"/>
    </row>
    <row r="325" spans="7:7" x14ac:dyDescent="0.25">
      <c r="G325" s="18"/>
    </row>
    <row r="326" spans="7:7" x14ac:dyDescent="0.25">
      <c r="G326" s="18"/>
    </row>
    <row r="327" spans="7:7" x14ac:dyDescent="0.25">
      <c r="G327" s="18"/>
    </row>
    <row r="328" spans="7:7" x14ac:dyDescent="0.25">
      <c r="G328" s="18"/>
    </row>
    <row r="329" spans="7:7" x14ac:dyDescent="0.25">
      <c r="G329" s="18"/>
    </row>
    <row r="330" spans="7:7" x14ac:dyDescent="0.25">
      <c r="G330" s="18"/>
    </row>
    <row r="331" spans="7:7" x14ac:dyDescent="0.25">
      <c r="G331" s="18"/>
    </row>
    <row r="332" spans="7:7" x14ac:dyDescent="0.25">
      <c r="G332" s="18"/>
    </row>
  </sheetData>
  <sheetProtection password="E95E" sheet="1" objects="1" scenarios="1"/>
  <mergeCells count="6">
    <mergeCell ref="H3:H4"/>
    <mergeCell ref="G3:G4"/>
    <mergeCell ref="F3:F4"/>
    <mergeCell ref="E3:E4"/>
    <mergeCell ref="A3:A4"/>
    <mergeCell ref="B3:B4"/>
  </mergeCells>
  <phoneticPr fontId="7" type="noConversion"/>
  <printOptions horizontalCentered="1" verticalCentered="1"/>
  <pageMargins left="0" right="0" top="0" bottom="0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00B050"/>
  </sheetPr>
  <dimension ref="A1:R320"/>
  <sheetViews>
    <sheetView topLeftCell="A127" workbookViewId="0">
      <selection activeCell="F149" sqref="F149"/>
    </sheetView>
  </sheetViews>
  <sheetFormatPr baseColWidth="10" defaultColWidth="11" defaultRowHeight="15" x14ac:dyDescent="0.25"/>
  <cols>
    <col min="1" max="1" width="7.25" style="18" customWidth="1"/>
    <col min="2" max="2" width="18" style="18" customWidth="1"/>
    <col min="3" max="3" width="10.875" style="18" bestFit="1" customWidth="1"/>
    <col min="4" max="4" width="8.375" style="18" customWidth="1"/>
    <col min="5" max="5" width="7.625" style="18" bestFit="1" customWidth="1"/>
    <col min="6" max="6" width="8.875" style="70" customWidth="1"/>
    <col min="7" max="9" width="5.75" style="18" hidden="1" customWidth="1"/>
    <col min="10" max="10" width="6.5" style="18" hidden="1" customWidth="1"/>
    <col min="11" max="11" width="7.875" style="18" customWidth="1"/>
    <col min="12" max="12" width="10.75" style="17" bestFit="1" customWidth="1"/>
    <col min="13" max="13" width="10.875" style="17" bestFit="1" customWidth="1"/>
    <col min="14" max="14" width="10.875" style="18" bestFit="1" customWidth="1"/>
    <col min="15" max="16" width="11" style="18"/>
    <col min="17" max="17" width="11" style="8"/>
    <col min="18" max="16384" width="11" style="18"/>
  </cols>
  <sheetData>
    <row r="1" spans="1:18" ht="21" x14ac:dyDescent="0.25">
      <c r="A1" s="59" t="s">
        <v>225</v>
      </c>
      <c r="B1" s="50"/>
      <c r="C1" s="68"/>
      <c r="D1" s="51"/>
      <c r="E1" s="51"/>
      <c r="F1" s="69"/>
    </row>
    <row r="2" spans="1:18" x14ac:dyDescent="0.25">
      <c r="G2" s="80">
        <f>$E$314*G4</f>
        <v>55.91867979521016</v>
      </c>
      <c r="H2" s="80">
        <f>$E$314*H4</f>
        <v>69.898349744012705</v>
      </c>
      <c r="I2" s="80">
        <f>$E$314*I4</f>
        <v>93.197799658683607</v>
      </c>
      <c r="J2" s="80">
        <f>$E$314*J4</f>
        <v>139.79669948802541</v>
      </c>
    </row>
    <row r="3" spans="1:18" ht="60" customHeight="1" x14ac:dyDescent="0.25">
      <c r="A3" s="436" t="s">
        <v>50</v>
      </c>
      <c r="B3" s="436" t="s">
        <v>101</v>
      </c>
      <c r="C3" s="443" t="s">
        <v>311</v>
      </c>
      <c r="D3" s="444"/>
      <c r="E3" s="445"/>
      <c r="F3" s="442" t="s">
        <v>296</v>
      </c>
      <c r="G3" s="77">
        <f>Paramètres!B16</f>
        <v>0.36</v>
      </c>
      <c r="H3" s="77">
        <f>Paramètres!C16</f>
        <v>0.46</v>
      </c>
      <c r="I3" s="77">
        <f>Paramètres!D16</f>
        <v>0.56000000000000005</v>
      </c>
      <c r="J3" s="77">
        <f>Paramètres!E16</f>
        <v>0.66</v>
      </c>
      <c r="K3" s="442" t="s">
        <v>299</v>
      </c>
      <c r="L3" s="442" t="s">
        <v>312</v>
      </c>
      <c r="M3" s="311" t="s">
        <v>73</v>
      </c>
      <c r="N3" s="442" t="s">
        <v>543</v>
      </c>
      <c r="O3" s="442" t="s">
        <v>0</v>
      </c>
    </row>
    <row r="4" spans="1:18" ht="45" x14ac:dyDescent="0.25">
      <c r="A4" s="437"/>
      <c r="B4" s="437"/>
      <c r="C4" s="78" t="s">
        <v>377</v>
      </c>
      <c r="D4" s="78" t="s">
        <v>71</v>
      </c>
      <c r="E4" s="78" t="s">
        <v>72</v>
      </c>
      <c r="F4" s="442"/>
      <c r="G4" s="79">
        <f>Paramètres!B17</f>
        <v>1.2</v>
      </c>
      <c r="H4" s="79">
        <f>Paramètres!C17</f>
        <v>1.5</v>
      </c>
      <c r="I4" s="79">
        <f>Paramètres!D17</f>
        <v>2</v>
      </c>
      <c r="J4" s="79">
        <f>Paramètres!E17</f>
        <v>3</v>
      </c>
      <c r="K4" s="442"/>
      <c r="L4" s="442"/>
      <c r="M4" s="315">
        <f>+Paramètres!B20</f>
        <v>0.5</v>
      </c>
      <c r="N4" s="442"/>
      <c r="O4" s="442"/>
    </row>
    <row r="5" spans="1:18" x14ac:dyDescent="0.25">
      <c r="A5" s="119">
        <f>'A) Base RI'!A7</f>
        <v>5401</v>
      </c>
      <c r="B5" s="356" t="str">
        <f>'A) Base RI'!B7</f>
        <v>Aigle</v>
      </c>
      <c r="C5" s="353">
        <f>'B) D RI'!U7</f>
        <v>274204.16723456793</v>
      </c>
      <c r="D5" s="40">
        <f>'B) D RI'!AA7</f>
        <v>9740</v>
      </c>
      <c r="E5" s="231">
        <f>C5/D5</f>
        <v>28.152378566177404</v>
      </c>
      <c r="F5" s="71">
        <f t="shared" ref="F5" si="0">E5/$E$314</f>
        <v>0.60414255849986342</v>
      </c>
      <c r="G5" s="312">
        <f>IF(E5-$G$2&lt;0,0,E5-$G$2)</f>
        <v>0</v>
      </c>
      <c r="H5" s="312">
        <f>IF(E5-$H$2&lt;0,0,E5-$H$2)</f>
        <v>0</v>
      </c>
      <c r="I5" s="312">
        <f>IF(E5-$I$2&lt;0,0,E5-$I$2)</f>
        <v>0</v>
      </c>
      <c r="J5" s="312">
        <f>IF(E5-$J$2&lt;0,0,E5-$J$2)</f>
        <v>0</v>
      </c>
      <c r="K5" s="313">
        <f t="shared" ref="K5" si="1">(G5-H5)*$G$3+(H5-I5)*$H$3+(I5-J5)*$I$3+(J5*$J$3)</f>
        <v>0</v>
      </c>
      <c r="L5" s="66">
        <f>K5*D5*'B) D RI'!S7</f>
        <v>0</v>
      </c>
      <c r="M5" s="19">
        <f>(('B) D RI'!S7*C5)-(L5*$M$4))/'B) D RI'!S7</f>
        <v>274204.16723456793</v>
      </c>
      <c r="N5" s="302">
        <f t="shared" ref="N5" si="2">M5/D5</f>
        <v>28.152378566177404</v>
      </c>
      <c r="O5" s="71">
        <f t="shared" ref="O5" si="3">N5/N$314</f>
        <v>0.62131485863561442</v>
      </c>
      <c r="R5" s="17"/>
    </row>
    <row r="6" spans="1:18" x14ac:dyDescent="0.25">
      <c r="A6" s="355">
        <f>'A) Base RI'!A8</f>
        <v>5402</v>
      </c>
      <c r="B6" s="40" t="str">
        <f>'A) Base RI'!B8</f>
        <v>Bex</v>
      </c>
      <c r="C6" s="353">
        <f>'B) D RI'!U8</f>
        <v>168618.65154929578</v>
      </c>
      <c r="D6" s="40">
        <f>'B) D RI'!AA8</f>
        <v>7424</v>
      </c>
      <c r="E6" s="231">
        <f t="shared" ref="E6:E69" si="4">C6/D6</f>
        <v>22.712641641877127</v>
      </c>
      <c r="F6" s="71">
        <f t="shared" ref="F6:F69" si="5">E6/$E$314</f>
        <v>0.48740725049426425</v>
      </c>
      <c r="G6" s="312">
        <f t="shared" ref="G6:G69" si="6">IF(E6-$G$2&lt;0,0,E6-$G$2)</f>
        <v>0</v>
      </c>
      <c r="H6" s="312">
        <f t="shared" ref="H6:H69" si="7">IF(E6-$H$2&lt;0,0,E6-$H$2)</f>
        <v>0</v>
      </c>
      <c r="I6" s="312">
        <f t="shared" ref="I6:I69" si="8">IF(E6-$I$2&lt;0,0,E6-$I$2)</f>
        <v>0</v>
      </c>
      <c r="J6" s="312">
        <f t="shared" ref="J6:J69" si="9">IF(E6-$J$2&lt;0,0,E6-$J$2)</f>
        <v>0</v>
      </c>
      <c r="K6" s="313">
        <f t="shared" ref="K6:K69" si="10">(G6-H6)*$G$3+(H6-I6)*$H$3+(I6-J6)*$I$3+(J6*$J$3)</f>
        <v>0</v>
      </c>
      <c r="L6" s="66">
        <f>K6*D6*'B) D RI'!S8</f>
        <v>0</v>
      </c>
      <c r="M6" s="19">
        <f>(('B) D RI'!S8*C6)-(L6*$M$4))/'B) D RI'!S8</f>
        <v>168618.65154929578</v>
      </c>
      <c r="N6" s="302">
        <f t="shared" ref="N6:N69" si="11">M6/D6</f>
        <v>22.712641641877127</v>
      </c>
      <c r="O6" s="71">
        <f t="shared" ref="O6:O69" si="12">N6/N$314</f>
        <v>0.50126143685486735</v>
      </c>
      <c r="R6" s="17"/>
    </row>
    <row r="7" spans="1:18" x14ac:dyDescent="0.25">
      <c r="A7" s="355">
        <f>'A) Base RI'!A9</f>
        <v>5403</v>
      </c>
      <c r="B7" s="40" t="str">
        <f>'A) Base RI'!B9</f>
        <v>Chessel</v>
      </c>
      <c r="C7" s="353">
        <f>'B) D RI'!U9</f>
        <v>8336.8572368421064</v>
      </c>
      <c r="D7" s="40">
        <f>'B) D RI'!AA9</f>
        <v>395</v>
      </c>
      <c r="E7" s="231">
        <f t="shared" si="4"/>
        <v>21.105967688207866</v>
      </c>
      <c r="F7" s="71">
        <f t="shared" si="5"/>
        <v>0.45292845465244497</v>
      </c>
      <c r="G7" s="312">
        <f t="shared" si="6"/>
        <v>0</v>
      </c>
      <c r="H7" s="312">
        <f t="shared" si="7"/>
        <v>0</v>
      </c>
      <c r="I7" s="312">
        <f t="shared" si="8"/>
        <v>0</v>
      </c>
      <c r="J7" s="312">
        <f t="shared" si="9"/>
        <v>0</v>
      </c>
      <c r="K7" s="313">
        <f t="shared" si="10"/>
        <v>0</v>
      </c>
      <c r="L7" s="66">
        <f>K7*D7*'B) D RI'!S9</f>
        <v>0</v>
      </c>
      <c r="M7" s="19">
        <f>(('B) D RI'!S9*C7)-(L7*$M$4))/'B) D RI'!S9</f>
        <v>8336.8572368421064</v>
      </c>
      <c r="N7" s="302">
        <f t="shared" si="11"/>
        <v>21.105967688207866</v>
      </c>
      <c r="O7" s="71">
        <f t="shared" si="12"/>
        <v>0.46580260704228271</v>
      </c>
      <c r="R7" s="17"/>
    </row>
    <row r="8" spans="1:18" x14ac:dyDescent="0.25">
      <c r="A8" s="355">
        <f>'A) Base RI'!A10</f>
        <v>5404</v>
      </c>
      <c r="B8" s="40" t="str">
        <f>'A) Base RI'!B10</f>
        <v>Corbeyrier</v>
      </c>
      <c r="C8" s="353">
        <f>'B) D RI'!U10</f>
        <v>11349.824285714287</v>
      </c>
      <c r="D8" s="40">
        <f>'B) D RI'!AA10</f>
        <v>440</v>
      </c>
      <c r="E8" s="231">
        <f t="shared" si="4"/>
        <v>25.795055194805197</v>
      </c>
      <c r="F8" s="71">
        <f t="shared" si="5"/>
        <v>0.5535550257468288</v>
      </c>
      <c r="G8" s="312">
        <f t="shared" si="6"/>
        <v>0</v>
      </c>
      <c r="H8" s="312">
        <f t="shared" si="7"/>
        <v>0</v>
      </c>
      <c r="I8" s="312">
        <f t="shared" si="8"/>
        <v>0</v>
      </c>
      <c r="J8" s="312">
        <f t="shared" si="9"/>
        <v>0</v>
      </c>
      <c r="K8" s="313">
        <f t="shared" si="10"/>
        <v>0</v>
      </c>
      <c r="L8" s="66">
        <f>K8*D8*'B) D RI'!S10</f>
        <v>0</v>
      </c>
      <c r="M8" s="19">
        <f>(('B) D RI'!S10*C8)-(L8*$M$4))/'B) D RI'!S10</f>
        <v>11349.824285714287</v>
      </c>
      <c r="N8" s="302">
        <f t="shared" si="11"/>
        <v>25.795055194805197</v>
      </c>
      <c r="O8" s="71">
        <f t="shared" si="12"/>
        <v>0.5692894131195404</v>
      </c>
      <c r="R8" s="17"/>
    </row>
    <row r="9" spans="1:18" x14ac:dyDescent="0.25">
      <c r="A9" s="355">
        <f>'A) Base RI'!A11</f>
        <v>5405</v>
      </c>
      <c r="B9" s="40" t="str">
        <f>'A) Base RI'!B11</f>
        <v>Gryon</v>
      </c>
      <c r="C9" s="353">
        <f>'B) D RI'!U11</f>
        <v>64864.951911111115</v>
      </c>
      <c r="D9" s="40">
        <f>'B) D RI'!AA11</f>
        <v>1342</v>
      </c>
      <c r="E9" s="231">
        <f t="shared" si="4"/>
        <v>48.334539427057464</v>
      </c>
      <c r="F9" s="71">
        <f t="shared" si="5"/>
        <v>1.0372463642719476</v>
      </c>
      <c r="G9" s="312">
        <f t="shared" si="6"/>
        <v>0</v>
      </c>
      <c r="H9" s="312">
        <f t="shared" si="7"/>
        <v>0</v>
      </c>
      <c r="I9" s="312">
        <f t="shared" si="8"/>
        <v>0</v>
      </c>
      <c r="J9" s="312">
        <f t="shared" si="9"/>
        <v>0</v>
      </c>
      <c r="K9" s="313">
        <f t="shared" si="10"/>
        <v>0</v>
      </c>
      <c r="L9" s="66">
        <f>K9*D9*'B) D RI'!S11</f>
        <v>0</v>
      </c>
      <c r="M9" s="19">
        <f>(('B) D RI'!S11*C9)-(L9*$M$4))/'B) D RI'!S11</f>
        <v>64864.951911111115</v>
      </c>
      <c r="N9" s="302">
        <f t="shared" si="11"/>
        <v>48.334539427057464</v>
      </c>
      <c r="O9" s="71">
        <f t="shared" si="12"/>
        <v>1.0667293159882161</v>
      </c>
      <c r="R9" s="17"/>
    </row>
    <row r="10" spans="1:18" x14ac:dyDescent="0.25">
      <c r="A10" s="355">
        <f>'A) Base RI'!A12</f>
        <v>5406</v>
      </c>
      <c r="B10" s="40" t="str">
        <f>'A) Base RI'!B12</f>
        <v>Lavey-Morcles</v>
      </c>
      <c r="C10" s="353">
        <f>'B) D RI'!U12</f>
        <v>20248.886901408452</v>
      </c>
      <c r="D10" s="40">
        <f>'B) D RI'!AA12</f>
        <v>922</v>
      </c>
      <c r="E10" s="231">
        <f t="shared" si="4"/>
        <v>21.961916378967953</v>
      </c>
      <c r="F10" s="71">
        <f t="shared" si="5"/>
        <v>0.47129688596508995</v>
      </c>
      <c r="G10" s="312">
        <f t="shared" si="6"/>
        <v>0</v>
      </c>
      <c r="H10" s="312">
        <f t="shared" si="7"/>
        <v>0</v>
      </c>
      <c r="I10" s="312">
        <f t="shared" si="8"/>
        <v>0</v>
      </c>
      <c r="J10" s="312">
        <f t="shared" si="9"/>
        <v>0</v>
      </c>
      <c r="K10" s="313">
        <f t="shared" si="10"/>
        <v>0</v>
      </c>
      <c r="L10" s="66">
        <f>K10*D10*'B) D RI'!S12</f>
        <v>0</v>
      </c>
      <c r="M10" s="19">
        <f>(('B) D RI'!S12*C10)-(L10*$M$4))/'B) D RI'!S12</f>
        <v>20248.886901408452</v>
      </c>
      <c r="N10" s="302">
        <f t="shared" si="11"/>
        <v>21.961916378967953</v>
      </c>
      <c r="O10" s="71">
        <f t="shared" si="12"/>
        <v>0.48469314726959656</v>
      </c>
      <c r="R10" s="17"/>
    </row>
    <row r="11" spans="1:18" x14ac:dyDescent="0.25">
      <c r="A11" s="355">
        <f>'A) Base RI'!A13</f>
        <v>5407</v>
      </c>
      <c r="B11" s="40" t="str">
        <f>'A) Base RI'!B13</f>
        <v>Leysin</v>
      </c>
      <c r="C11" s="353">
        <f>'B) D RI'!U13</f>
        <v>82610.97474358973</v>
      </c>
      <c r="D11" s="40">
        <f>'B) D RI'!AA13</f>
        <v>4088</v>
      </c>
      <c r="E11" s="231">
        <f t="shared" si="4"/>
        <v>20.20816407622058</v>
      </c>
      <c r="F11" s="71">
        <f t="shared" si="5"/>
        <v>0.43366182785920965</v>
      </c>
      <c r="G11" s="312">
        <f t="shared" si="6"/>
        <v>0</v>
      </c>
      <c r="H11" s="312">
        <f t="shared" si="7"/>
        <v>0</v>
      </c>
      <c r="I11" s="312">
        <f t="shared" si="8"/>
        <v>0</v>
      </c>
      <c r="J11" s="312">
        <f t="shared" si="9"/>
        <v>0</v>
      </c>
      <c r="K11" s="313">
        <f t="shared" si="10"/>
        <v>0</v>
      </c>
      <c r="L11" s="66">
        <f>K11*D11*'B) D RI'!S13</f>
        <v>0</v>
      </c>
      <c r="M11" s="19">
        <f>(('B) D RI'!S13*C11)-(L11*$M$4))/'B) D RI'!S13</f>
        <v>82610.97474358973</v>
      </c>
      <c r="N11" s="302">
        <f t="shared" si="11"/>
        <v>20.20816407622058</v>
      </c>
      <c r="O11" s="71">
        <f t="shared" si="12"/>
        <v>0.44598834079997685</v>
      </c>
      <c r="R11" s="17"/>
    </row>
    <row r="12" spans="1:18" x14ac:dyDescent="0.25">
      <c r="A12" s="355">
        <f>'A) Base RI'!A14</f>
        <v>5408</v>
      </c>
      <c r="B12" s="40" t="str">
        <f>'A) Base RI'!B14</f>
        <v>Noville</v>
      </c>
      <c r="C12" s="353">
        <f>'B) D RI'!U14</f>
        <v>33419.560339702759</v>
      </c>
      <c r="D12" s="40">
        <f>'B) D RI'!AA14</f>
        <v>1056</v>
      </c>
      <c r="E12" s="231">
        <f t="shared" si="4"/>
        <v>31.647310927748826</v>
      </c>
      <c r="F12" s="71">
        <f t="shared" si="5"/>
        <v>0.67914287769990545</v>
      </c>
      <c r="G12" s="312">
        <f t="shared" si="6"/>
        <v>0</v>
      </c>
      <c r="H12" s="312">
        <f t="shared" si="7"/>
        <v>0</v>
      </c>
      <c r="I12" s="312">
        <f t="shared" si="8"/>
        <v>0</v>
      </c>
      <c r="J12" s="312">
        <f t="shared" si="9"/>
        <v>0</v>
      </c>
      <c r="K12" s="313">
        <f t="shared" si="10"/>
        <v>0</v>
      </c>
      <c r="L12" s="66">
        <f>K12*D12*'B) D RI'!S14</f>
        <v>0</v>
      </c>
      <c r="M12" s="19">
        <f>(('B) D RI'!S14*C12)-(L12*$M$4))/'B) D RI'!S14</f>
        <v>33419.560339702759</v>
      </c>
      <c r="N12" s="302">
        <f t="shared" si="11"/>
        <v>31.647310927748826</v>
      </c>
      <c r="O12" s="71">
        <f t="shared" si="12"/>
        <v>0.69844700578497076</v>
      </c>
      <c r="R12" s="17"/>
    </row>
    <row r="13" spans="1:18" x14ac:dyDescent="0.25">
      <c r="A13" s="355">
        <f>'A) Base RI'!A15</f>
        <v>5409</v>
      </c>
      <c r="B13" s="40" t="str">
        <f>'A) Base RI'!B15</f>
        <v>Ollon</v>
      </c>
      <c r="C13" s="353">
        <f>'B) D RI'!U15</f>
        <v>366034.73937782802</v>
      </c>
      <c r="D13" s="40">
        <f>'B) D RI'!AA15</f>
        <v>7473</v>
      </c>
      <c r="E13" s="231">
        <f t="shared" si="4"/>
        <v>48.980963385230567</v>
      </c>
      <c r="F13" s="71">
        <f t="shared" si="5"/>
        <v>1.0511184505345093</v>
      </c>
      <c r="G13" s="312">
        <f t="shared" si="6"/>
        <v>0</v>
      </c>
      <c r="H13" s="312">
        <f t="shared" si="7"/>
        <v>0</v>
      </c>
      <c r="I13" s="312">
        <f t="shared" si="8"/>
        <v>0</v>
      </c>
      <c r="J13" s="312">
        <f t="shared" si="9"/>
        <v>0</v>
      </c>
      <c r="K13" s="313">
        <f t="shared" si="10"/>
        <v>0</v>
      </c>
      <c r="L13" s="66">
        <f>K13*D13*'B) D RI'!S15</f>
        <v>0</v>
      </c>
      <c r="M13" s="19">
        <f>(('B) D RI'!S15*C13)-(L13*$M$4))/'B) D RI'!S15</f>
        <v>366034.73937782802</v>
      </c>
      <c r="N13" s="302">
        <f t="shared" si="11"/>
        <v>48.980963385230567</v>
      </c>
      <c r="O13" s="71">
        <f t="shared" si="12"/>
        <v>1.0809957059220856</v>
      </c>
      <c r="R13" s="17"/>
    </row>
    <row r="14" spans="1:18" x14ac:dyDescent="0.25">
      <c r="A14" s="355">
        <f>'A) Base RI'!A16</f>
        <v>5410</v>
      </c>
      <c r="B14" s="40" t="str">
        <f>'A) Base RI'!B16</f>
        <v>Ormont-Dessous</v>
      </c>
      <c r="C14" s="353">
        <f>'B) D RI'!U16</f>
        <v>36452.210276008496</v>
      </c>
      <c r="D14" s="40">
        <f>'B) D RI'!AA16</f>
        <v>1105</v>
      </c>
      <c r="E14" s="231">
        <f t="shared" si="4"/>
        <v>32.988425589147958</v>
      </c>
      <c r="F14" s="71">
        <f t="shared" si="5"/>
        <v>0.70792284174005815</v>
      </c>
      <c r="G14" s="312">
        <f t="shared" si="6"/>
        <v>0</v>
      </c>
      <c r="H14" s="312">
        <f t="shared" si="7"/>
        <v>0</v>
      </c>
      <c r="I14" s="312">
        <f t="shared" si="8"/>
        <v>0</v>
      </c>
      <c r="J14" s="312">
        <f t="shared" si="9"/>
        <v>0</v>
      </c>
      <c r="K14" s="313">
        <f t="shared" si="10"/>
        <v>0</v>
      </c>
      <c r="L14" s="66">
        <f>K14*D14*'B) D RI'!S16</f>
        <v>0</v>
      </c>
      <c r="M14" s="19">
        <f>(('B) D RI'!S16*C14)-(L14*$M$4))/'B) D RI'!S16</f>
        <v>36452.210276008496</v>
      </c>
      <c r="N14" s="302">
        <f t="shared" si="11"/>
        <v>32.988425589147958</v>
      </c>
      <c r="O14" s="71">
        <f t="shared" si="12"/>
        <v>0.72804501876645411</v>
      </c>
      <c r="R14" s="17"/>
    </row>
    <row r="15" spans="1:18" x14ac:dyDescent="0.25">
      <c r="A15" s="355">
        <f>'A) Base RI'!A17</f>
        <v>5411</v>
      </c>
      <c r="B15" s="40" t="str">
        <f>'A) Base RI'!B17</f>
        <v>Ormont-Dessus</v>
      </c>
      <c r="C15" s="353">
        <f>'B) D RI'!U17</f>
        <v>74047.924868421047</v>
      </c>
      <c r="D15" s="40">
        <f>'B) D RI'!AA17</f>
        <v>1479</v>
      </c>
      <c r="E15" s="231">
        <f t="shared" si="4"/>
        <v>50.066210188249528</v>
      </c>
      <c r="F15" s="71">
        <f t="shared" si="5"/>
        <v>1.074407558367386</v>
      </c>
      <c r="G15" s="312">
        <f t="shared" si="6"/>
        <v>0</v>
      </c>
      <c r="H15" s="312">
        <f t="shared" si="7"/>
        <v>0</v>
      </c>
      <c r="I15" s="312">
        <f t="shared" si="8"/>
        <v>0</v>
      </c>
      <c r="J15" s="312">
        <f t="shared" si="9"/>
        <v>0</v>
      </c>
      <c r="K15" s="313">
        <f t="shared" si="10"/>
        <v>0</v>
      </c>
      <c r="L15" s="66">
        <f>K15*D15*'B) D RI'!S17</f>
        <v>0</v>
      </c>
      <c r="M15" s="19">
        <f>(('B) D RI'!S17*C15)-(L15*$M$4))/'B) D RI'!S17</f>
        <v>74047.924868421047</v>
      </c>
      <c r="N15" s="302">
        <f t="shared" si="11"/>
        <v>50.066210188249528</v>
      </c>
      <c r="O15" s="71">
        <f t="shared" si="12"/>
        <v>1.1049467892174973</v>
      </c>
      <c r="R15" s="17"/>
    </row>
    <row r="16" spans="1:18" x14ac:dyDescent="0.25">
      <c r="A16" s="355">
        <f>'A) Base RI'!A18</f>
        <v>5412</v>
      </c>
      <c r="B16" s="40" t="str">
        <f>'A) Base RI'!B18</f>
        <v>Rennaz</v>
      </c>
      <c r="C16" s="353">
        <f>'B) D RI'!U18</f>
        <v>26224.228148148151</v>
      </c>
      <c r="D16" s="40">
        <f>'B) D RI'!AA18</f>
        <v>843</v>
      </c>
      <c r="E16" s="231">
        <f t="shared" si="4"/>
        <v>31.108218443829362</v>
      </c>
      <c r="F16" s="71">
        <f t="shared" si="5"/>
        <v>0.66757409633610132</v>
      </c>
      <c r="G16" s="312">
        <f t="shared" si="6"/>
        <v>0</v>
      </c>
      <c r="H16" s="312">
        <f t="shared" si="7"/>
        <v>0</v>
      </c>
      <c r="I16" s="312">
        <f t="shared" si="8"/>
        <v>0</v>
      </c>
      <c r="J16" s="312">
        <f t="shared" si="9"/>
        <v>0</v>
      </c>
      <c r="K16" s="313">
        <f t="shared" si="10"/>
        <v>0</v>
      </c>
      <c r="L16" s="66">
        <f>K16*D16*'B) D RI'!S18</f>
        <v>0</v>
      </c>
      <c r="M16" s="19">
        <f>(('B) D RI'!S18*C16)-(L16*$M$4))/'B) D RI'!S18</f>
        <v>26224.228148148151</v>
      </c>
      <c r="N16" s="302">
        <f t="shared" si="11"/>
        <v>31.108218443829362</v>
      </c>
      <c r="O16" s="71">
        <f t="shared" si="12"/>
        <v>0.686549390468006</v>
      </c>
      <c r="R16" s="17"/>
    </row>
    <row r="17" spans="1:18" x14ac:dyDescent="0.25">
      <c r="A17" s="355">
        <f>'A) Base RI'!A19</f>
        <v>5413</v>
      </c>
      <c r="B17" s="40" t="str">
        <f>'A) Base RI'!B19</f>
        <v>Roche</v>
      </c>
      <c r="C17" s="353">
        <f>'B) D RI'!U19</f>
        <v>38924.228382352943</v>
      </c>
      <c r="D17" s="40">
        <f>'B) D RI'!AA19</f>
        <v>1597</v>
      </c>
      <c r="E17" s="231">
        <f t="shared" si="4"/>
        <v>24.373342756639289</v>
      </c>
      <c r="F17" s="71">
        <f t="shared" si="5"/>
        <v>0.52304545484767417</v>
      </c>
      <c r="G17" s="312">
        <f t="shared" si="6"/>
        <v>0</v>
      </c>
      <c r="H17" s="312">
        <f t="shared" si="7"/>
        <v>0</v>
      </c>
      <c r="I17" s="312">
        <f t="shared" si="8"/>
        <v>0</v>
      </c>
      <c r="J17" s="312">
        <f t="shared" si="9"/>
        <v>0</v>
      </c>
      <c r="K17" s="313">
        <f t="shared" si="10"/>
        <v>0</v>
      </c>
      <c r="L17" s="66">
        <f>K17*D17*'B) D RI'!S19</f>
        <v>0</v>
      </c>
      <c r="M17" s="19">
        <f>(('B) D RI'!S19*C17)-(L17*$M$4))/'B) D RI'!S19</f>
        <v>38924.228382352943</v>
      </c>
      <c r="N17" s="302">
        <f t="shared" si="11"/>
        <v>24.373342756639289</v>
      </c>
      <c r="O17" s="71">
        <f t="shared" si="12"/>
        <v>0.53791263049838056</v>
      </c>
      <c r="R17" s="17"/>
    </row>
    <row r="18" spans="1:18" x14ac:dyDescent="0.25">
      <c r="A18" s="355">
        <f>'A) Base RI'!A20</f>
        <v>5414</v>
      </c>
      <c r="B18" s="40" t="str">
        <f>'A) Base RI'!B20</f>
        <v>Villeneuve</v>
      </c>
      <c r="C18" s="353">
        <f>'B) D RI'!U20</f>
        <v>159863.47130434786</v>
      </c>
      <c r="D18" s="40">
        <f>'B) D RI'!AA20</f>
        <v>5457</v>
      </c>
      <c r="E18" s="231">
        <f t="shared" si="4"/>
        <v>29.29512026834302</v>
      </c>
      <c r="F18" s="71">
        <f t="shared" si="5"/>
        <v>0.62866549158091578</v>
      </c>
      <c r="G18" s="312">
        <f t="shared" si="6"/>
        <v>0</v>
      </c>
      <c r="H18" s="312">
        <f t="shared" si="7"/>
        <v>0</v>
      </c>
      <c r="I18" s="312">
        <f t="shared" si="8"/>
        <v>0</v>
      </c>
      <c r="J18" s="312">
        <f t="shared" si="9"/>
        <v>0</v>
      </c>
      <c r="K18" s="313">
        <f t="shared" si="10"/>
        <v>0</v>
      </c>
      <c r="L18" s="66">
        <f>K18*D18*'B) D RI'!S20</f>
        <v>0</v>
      </c>
      <c r="M18" s="19">
        <f>(('B) D RI'!S20*C18)-(L18*$M$4))/'B) D RI'!S20</f>
        <v>159863.47130434786</v>
      </c>
      <c r="N18" s="302">
        <f t="shared" si="11"/>
        <v>29.29512026834302</v>
      </c>
      <c r="O18" s="71">
        <f t="shared" si="12"/>
        <v>0.64653483773859</v>
      </c>
      <c r="R18" s="17"/>
    </row>
    <row r="19" spans="1:18" x14ac:dyDescent="0.25">
      <c r="A19" s="355">
        <f>'A) Base RI'!A21</f>
        <v>5415</v>
      </c>
      <c r="B19" s="40" t="str">
        <f>'A) Base RI'!B21</f>
        <v>Yvorne</v>
      </c>
      <c r="C19" s="353">
        <f>'B) D RI'!U21</f>
        <v>35726.744476885644</v>
      </c>
      <c r="D19" s="40">
        <f>'B) D RI'!AA21</f>
        <v>1061</v>
      </c>
      <c r="E19" s="231">
        <f t="shared" si="4"/>
        <v>33.672709214783829</v>
      </c>
      <c r="F19" s="71">
        <f t="shared" si="5"/>
        <v>0.72260738639973698</v>
      </c>
      <c r="G19" s="312">
        <f t="shared" si="6"/>
        <v>0</v>
      </c>
      <c r="H19" s="312">
        <f t="shared" si="7"/>
        <v>0</v>
      </c>
      <c r="I19" s="312">
        <f t="shared" si="8"/>
        <v>0</v>
      </c>
      <c r="J19" s="312">
        <f t="shared" si="9"/>
        <v>0</v>
      </c>
      <c r="K19" s="313">
        <f t="shared" si="10"/>
        <v>0</v>
      </c>
      <c r="L19" s="66">
        <f>K19*D19*'B) D RI'!S21</f>
        <v>0</v>
      </c>
      <c r="M19" s="19">
        <f>(('B) D RI'!S21*C19)-(L19*$M$4))/'B) D RI'!S21</f>
        <v>35726.744476885644</v>
      </c>
      <c r="N19" s="302">
        <f t="shared" si="11"/>
        <v>33.672709214783829</v>
      </c>
      <c r="O19" s="71">
        <f t="shared" si="12"/>
        <v>0.743146960619403</v>
      </c>
      <c r="R19" s="17"/>
    </row>
    <row r="20" spans="1:18" x14ac:dyDescent="0.25">
      <c r="A20" s="355">
        <f>'A) Base RI'!A22</f>
        <v>5421</v>
      </c>
      <c r="B20" s="40" t="str">
        <f>'A) Base RI'!B22</f>
        <v>Apples</v>
      </c>
      <c r="C20" s="353">
        <f>'B) D RI'!U22</f>
        <v>59005.563421052633</v>
      </c>
      <c r="D20" s="40">
        <f>'B) D RI'!AA22</f>
        <v>1412</v>
      </c>
      <c r="E20" s="231">
        <f t="shared" si="4"/>
        <v>41.788642649470702</v>
      </c>
      <c r="F20" s="71">
        <f t="shared" si="5"/>
        <v>0.89677315993537166</v>
      </c>
      <c r="G20" s="312">
        <f t="shared" si="6"/>
        <v>0</v>
      </c>
      <c r="H20" s="312">
        <f t="shared" si="7"/>
        <v>0</v>
      </c>
      <c r="I20" s="312">
        <f t="shared" si="8"/>
        <v>0</v>
      </c>
      <c r="J20" s="312">
        <f t="shared" si="9"/>
        <v>0</v>
      </c>
      <c r="K20" s="313">
        <f t="shared" si="10"/>
        <v>0</v>
      </c>
      <c r="L20" s="66">
        <f>K20*D20*'B) D RI'!S22</f>
        <v>0</v>
      </c>
      <c r="M20" s="19">
        <f>(('B) D RI'!S22*C20)-(L20*$M$4))/'B) D RI'!S22</f>
        <v>59005.563421052633</v>
      </c>
      <c r="N20" s="302">
        <f t="shared" si="11"/>
        <v>41.788642649470702</v>
      </c>
      <c r="O20" s="71">
        <f t="shared" si="12"/>
        <v>0.92226326593673447</v>
      </c>
      <c r="R20" s="17"/>
    </row>
    <row r="21" spans="1:18" x14ac:dyDescent="0.25">
      <c r="A21" s="355">
        <f>'A) Base RI'!A23</f>
        <v>5422</v>
      </c>
      <c r="B21" s="40" t="str">
        <f>'A) Base RI'!B23</f>
        <v>Aubonne</v>
      </c>
      <c r="C21" s="353">
        <f>'B) D RI'!U23</f>
        <v>218988.17661764708</v>
      </c>
      <c r="D21" s="40">
        <f>'B) D RI'!AA23</f>
        <v>3272</v>
      </c>
      <c r="E21" s="231">
        <f t="shared" si="4"/>
        <v>66.927926839134201</v>
      </c>
      <c r="F21" s="71">
        <f t="shared" si="5"/>
        <v>1.4362555142770104</v>
      </c>
      <c r="G21" s="312">
        <f t="shared" si="6"/>
        <v>11.009247043924042</v>
      </c>
      <c r="H21" s="312">
        <f t="shared" si="7"/>
        <v>0</v>
      </c>
      <c r="I21" s="312">
        <f t="shared" si="8"/>
        <v>0</v>
      </c>
      <c r="J21" s="312">
        <f t="shared" si="9"/>
        <v>0</v>
      </c>
      <c r="K21" s="313">
        <f t="shared" si="10"/>
        <v>3.9633289358126547</v>
      </c>
      <c r="L21" s="66">
        <f>K21*D21*'B) D RI'!S23</f>
        <v>881824.83490257233</v>
      </c>
      <c r="M21" s="19">
        <f>(('B) D RI'!S23*C21)-(L21*$M$4))/'B) D RI'!S23</f>
        <v>212504.17047865759</v>
      </c>
      <c r="N21" s="302">
        <f t="shared" si="11"/>
        <v>64.946262371227874</v>
      </c>
      <c r="O21" s="71">
        <f t="shared" si="12"/>
        <v>1.433345240411424</v>
      </c>
      <c r="R21" s="17"/>
    </row>
    <row r="22" spans="1:18" x14ac:dyDescent="0.25">
      <c r="A22" s="355">
        <f>'A) Base RI'!A24</f>
        <v>5423</v>
      </c>
      <c r="B22" s="40" t="str">
        <f>'A) Base RI'!B24</f>
        <v>Ballens</v>
      </c>
      <c r="C22" s="353">
        <f>'B) D RI'!U24</f>
        <v>15358.055362318841</v>
      </c>
      <c r="D22" s="40">
        <f>'B) D RI'!AA24</f>
        <v>508</v>
      </c>
      <c r="E22" s="231">
        <f t="shared" si="4"/>
        <v>30.232392445509529</v>
      </c>
      <c r="F22" s="71">
        <f t="shared" si="5"/>
        <v>0.64877910328846822</v>
      </c>
      <c r="G22" s="312">
        <f t="shared" si="6"/>
        <v>0</v>
      </c>
      <c r="H22" s="312">
        <f t="shared" si="7"/>
        <v>0</v>
      </c>
      <c r="I22" s="312">
        <f t="shared" si="8"/>
        <v>0</v>
      </c>
      <c r="J22" s="312">
        <f t="shared" si="9"/>
        <v>0</v>
      </c>
      <c r="K22" s="313">
        <f t="shared" si="10"/>
        <v>0</v>
      </c>
      <c r="L22" s="66">
        <f>K22*D22*'B) D RI'!S24</f>
        <v>0</v>
      </c>
      <c r="M22" s="19">
        <f>(('B) D RI'!S24*C22)-(L22*$M$4))/'B) D RI'!S24</f>
        <v>15358.055362318841</v>
      </c>
      <c r="N22" s="302">
        <f t="shared" si="11"/>
        <v>30.232392445509529</v>
      </c>
      <c r="O22" s="71">
        <f t="shared" si="12"/>
        <v>0.66722016380758986</v>
      </c>
      <c r="R22" s="17"/>
    </row>
    <row r="23" spans="1:18" x14ac:dyDescent="0.25">
      <c r="A23" s="355">
        <f>'A) Base RI'!A25</f>
        <v>5424</v>
      </c>
      <c r="B23" s="40" t="str">
        <f>'A) Base RI'!B25</f>
        <v>Berolle</v>
      </c>
      <c r="C23" s="353">
        <f>'B) D RI'!U25</f>
        <v>9058.2428571428572</v>
      </c>
      <c r="D23" s="40">
        <f>'B) D RI'!AA25</f>
        <v>301</v>
      </c>
      <c r="E23" s="231">
        <f t="shared" si="4"/>
        <v>30.093830090175604</v>
      </c>
      <c r="F23" s="71">
        <f t="shared" si="5"/>
        <v>0.64580559198581133</v>
      </c>
      <c r="G23" s="312">
        <f t="shared" si="6"/>
        <v>0</v>
      </c>
      <c r="H23" s="312">
        <f t="shared" si="7"/>
        <v>0</v>
      </c>
      <c r="I23" s="312">
        <f t="shared" si="8"/>
        <v>0</v>
      </c>
      <c r="J23" s="312">
        <f t="shared" si="9"/>
        <v>0</v>
      </c>
      <c r="K23" s="313">
        <f t="shared" si="10"/>
        <v>0</v>
      </c>
      <c r="L23" s="66">
        <f>K23*D23*'B) D RI'!S25</f>
        <v>0</v>
      </c>
      <c r="M23" s="19">
        <f>(('B) D RI'!S25*C23)-(L23*$M$4))/'B) D RI'!S25</f>
        <v>9058.2428571428572</v>
      </c>
      <c r="N23" s="302">
        <f t="shared" si="11"/>
        <v>30.093830090175604</v>
      </c>
      <c r="O23" s="71">
        <f t="shared" si="12"/>
        <v>0.66416213267128132</v>
      </c>
      <c r="R23" s="17"/>
    </row>
    <row r="24" spans="1:18" x14ac:dyDescent="0.25">
      <c r="A24" s="355">
        <f>'A) Base RI'!A26</f>
        <v>5425</v>
      </c>
      <c r="B24" s="40" t="str">
        <f>'A) Base RI'!B26</f>
        <v>Bière</v>
      </c>
      <c r="C24" s="353">
        <f>'B) D RI'!U26</f>
        <v>39413.041470588236</v>
      </c>
      <c r="D24" s="40">
        <f>'B) D RI'!AA26</f>
        <v>1546</v>
      </c>
      <c r="E24" s="231">
        <f t="shared" si="4"/>
        <v>25.493558519138574</v>
      </c>
      <c r="F24" s="71">
        <f t="shared" si="5"/>
        <v>0.54708498725298471</v>
      </c>
      <c r="G24" s="312">
        <f t="shared" si="6"/>
        <v>0</v>
      </c>
      <c r="H24" s="312">
        <f t="shared" si="7"/>
        <v>0</v>
      </c>
      <c r="I24" s="312">
        <f t="shared" si="8"/>
        <v>0</v>
      </c>
      <c r="J24" s="312">
        <f t="shared" si="9"/>
        <v>0</v>
      </c>
      <c r="K24" s="313">
        <f t="shared" si="10"/>
        <v>0</v>
      </c>
      <c r="L24" s="66">
        <f>K24*D24*'B) D RI'!S26</f>
        <v>0</v>
      </c>
      <c r="M24" s="19">
        <f>(('B) D RI'!S26*C24)-(L24*$M$4))/'B) D RI'!S26</f>
        <v>39413.041470588236</v>
      </c>
      <c r="N24" s="302">
        <f t="shared" si="11"/>
        <v>25.493558519138574</v>
      </c>
      <c r="O24" s="71">
        <f t="shared" si="12"/>
        <v>0.56263546862314284</v>
      </c>
      <c r="R24" s="17"/>
    </row>
    <row r="25" spans="1:18" x14ac:dyDescent="0.25">
      <c r="A25" s="355">
        <f>'A) Base RI'!A27</f>
        <v>5426</v>
      </c>
      <c r="B25" s="40" t="str">
        <f>'A) Base RI'!B27</f>
        <v>Bougy-Villars</v>
      </c>
      <c r="C25" s="353">
        <f>'B) D RI'!U27</f>
        <v>42567.7185483871</v>
      </c>
      <c r="D25" s="40">
        <f>'B) D RI'!AA27</f>
        <v>467</v>
      </c>
      <c r="E25" s="231">
        <f t="shared" si="4"/>
        <v>91.151431581128691</v>
      </c>
      <c r="F25" s="71">
        <f t="shared" si="5"/>
        <v>1.956085485171339</v>
      </c>
      <c r="G25" s="312">
        <f t="shared" si="6"/>
        <v>35.232751785918531</v>
      </c>
      <c r="H25" s="312">
        <f t="shared" si="7"/>
        <v>21.253081837115985</v>
      </c>
      <c r="I25" s="312">
        <f t="shared" si="8"/>
        <v>0</v>
      </c>
      <c r="J25" s="312">
        <f t="shared" si="9"/>
        <v>0</v>
      </c>
      <c r="K25" s="313">
        <f t="shared" si="10"/>
        <v>14.80909882664227</v>
      </c>
      <c r="L25" s="66">
        <f>K25*D25*'B) D RI'!S27</f>
        <v>428782.64742660028</v>
      </c>
      <c r="M25" s="19">
        <f>(('B) D RI'!S27*C25)-(L25*$M$4))/'B) D RI'!S27</f>
        <v>39109.793972366126</v>
      </c>
      <c r="N25" s="302">
        <f t="shared" si="11"/>
        <v>83.746882167807556</v>
      </c>
      <c r="O25" s="71">
        <f t="shared" si="12"/>
        <v>1.848269485754148</v>
      </c>
      <c r="R25" s="17"/>
    </row>
    <row r="26" spans="1:18" x14ac:dyDescent="0.25">
      <c r="A26" s="355">
        <f>'A) Base RI'!A28</f>
        <v>5427</v>
      </c>
      <c r="B26" s="40" t="str">
        <f>'A) Base RI'!B28</f>
        <v>Féchy</v>
      </c>
      <c r="C26" s="353">
        <f>'B) D RI'!U28</f>
        <v>68786.678798076915</v>
      </c>
      <c r="D26" s="40">
        <f>'B) D RI'!AA28</f>
        <v>887</v>
      </c>
      <c r="E26" s="231">
        <f t="shared" si="4"/>
        <v>77.549806987685358</v>
      </c>
      <c r="F26" s="71">
        <f t="shared" si="5"/>
        <v>1.664198237977601</v>
      </c>
      <c r="G26" s="312">
        <f t="shared" si="6"/>
        <v>21.631127192475198</v>
      </c>
      <c r="H26" s="312">
        <f t="shared" si="7"/>
        <v>7.6514572436726525</v>
      </c>
      <c r="I26" s="312">
        <f t="shared" si="8"/>
        <v>0</v>
      </c>
      <c r="J26" s="312">
        <f t="shared" si="9"/>
        <v>0</v>
      </c>
      <c r="K26" s="313">
        <f t="shared" si="10"/>
        <v>8.552351513658337</v>
      </c>
      <c r="L26" s="66">
        <f>K26*D26*'B) D RI'!S28</f>
        <v>485499.89072735648</v>
      </c>
      <c r="M26" s="19">
        <f>(('B) D RI'!S28*C26)-(L26*$M$4))/'B) D RI'!S28</f>
        <v>64993.710901769446</v>
      </c>
      <c r="N26" s="302">
        <f t="shared" si="11"/>
        <v>73.273631230856196</v>
      </c>
      <c r="O26" s="71">
        <f t="shared" si="12"/>
        <v>1.6171278644502536</v>
      </c>
      <c r="R26" s="17"/>
    </row>
    <row r="27" spans="1:18" x14ac:dyDescent="0.25">
      <c r="A27" s="355">
        <f>'A) Base RI'!A29</f>
        <v>5428</v>
      </c>
      <c r="B27" s="40" t="str">
        <f>'A) Base RI'!B29</f>
        <v>Gimel</v>
      </c>
      <c r="C27" s="353">
        <f>'B) D RI'!U29</f>
        <v>58004.622727272719</v>
      </c>
      <c r="D27" s="40">
        <f>'B) D RI'!AA29</f>
        <v>1948</v>
      </c>
      <c r="E27" s="231">
        <f t="shared" si="4"/>
        <v>29.776500373343286</v>
      </c>
      <c r="F27" s="71">
        <f t="shared" si="5"/>
        <v>0.63899578063845186</v>
      </c>
      <c r="G27" s="312">
        <f t="shared" si="6"/>
        <v>0</v>
      </c>
      <c r="H27" s="312">
        <f t="shared" si="7"/>
        <v>0</v>
      </c>
      <c r="I27" s="312">
        <f t="shared" si="8"/>
        <v>0</v>
      </c>
      <c r="J27" s="312">
        <f t="shared" si="9"/>
        <v>0</v>
      </c>
      <c r="K27" s="313">
        <f t="shared" si="10"/>
        <v>0</v>
      </c>
      <c r="L27" s="66">
        <f>K27*D27*'B) D RI'!S29</f>
        <v>0</v>
      </c>
      <c r="M27" s="19">
        <f>(('B) D RI'!S29*C27)-(L27*$M$4))/'B) D RI'!S29</f>
        <v>58004.622727272719</v>
      </c>
      <c r="N27" s="302">
        <f t="shared" si="11"/>
        <v>29.776500373343286</v>
      </c>
      <c r="O27" s="71">
        <f t="shared" si="12"/>
        <v>0.65715875753226471</v>
      </c>
      <c r="R27" s="17"/>
    </row>
    <row r="28" spans="1:18" x14ac:dyDescent="0.25">
      <c r="A28" s="355">
        <f>'A) Base RI'!A30</f>
        <v>5429</v>
      </c>
      <c r="B28" s="40" t="str">
        <f>'A) Base RI'!B30</f>
        <v>Longirod</v>
      </c>
      <c r="C28" s="353">
        <f>'B) D RI'!U30</f>
        <v>12171.349506172839</v>
      </c>
      <c r="D28" s="40">
        <f>'B) D RI'!AA30</f>
        <v>460</v>
      </c>
      <c r="E28" s="231">
        <f t="shared" si="4"/>
        <v>26.459455448201822</v>
      </c>
      <c r="F28" s="71">
        <f t="shared" si="5"/>
        <v>0.56781287852510987</v>
      </c>
      <c r="G28" s="312">
        <f t="shared" si="6"/>
        <v>0</v>
      </c>
      <c r="H28" s="312">
        <f t="shared" si="7"/>
        <v>0</v>
      </c>
      <c r="I28" s="312">
        <f t="shared" si="8"/>
        <v>0</v>
      </c>
      <c r="J28" s="312">
        <f t="shared" si="9"/>
        <v>0</v>
      </c>
      <c r="K28" s="313">
        <f t="shared" si="10"/>
        <v>0</v>
      </c>
      <c r="L28" s="66">
        <f>K28*D28*'B) D RI'!S30</f>
        <v>0</v>
      </c>
      <c r="M28" s="19">
        <f>(('B) D RI'!S30*C28)-(L28*$M$4))/'B) D RI'!S30</f>
        <v>12171.349506172839</v>
      </c>
      <c r="N28" s="302">
        <f t="shared" si="11"/>
        <v>26.459455448201822</v>
      </c>
      <c r="O28" s="71">
        <f t="shared" si="12"/>
        <v>0.58395253469366326</v>
      </c>
      <c r="R28" s="17"/>
    </row>
    <row r="29" spans="1:18" x14ac:dyDescent="0.25">
      <c r="A29" s="355">
        <f>'A) Base RI'!A31</f>
        <v>5430</v>
      </c>
      <c r="B29" s="40" t="str">
        <f>'A) Base RI'!B31</f>
        <v>Marchissy</v>
      </c>
      <c r="C29" s="353">
        <f>'B) D RI'!U31</f>
        <v>10573.165189873416</v>
      </c>
      <c r="D29" s="40">
        <f>'B) D RI'!AA31</f>
        <v>430</v>
      </c>
      <c r="E29" s="231">
        <f t="shared" si="4"/>
        <v>24.588756255519574</v>
      </c>
      <c r="F29" s="71">
        <f t="shared" si="5"/>
        <v>0.52766817125662779</v>
      </c>
      <c r="G29" s="312">
        <f t="shared" si="6"/>
        <v>0</v>
      </c>
      <c r="H29" s="312">
        <f t="shared" si="7"/>
        <v>0</v>
      </c>
      <c r="I29" s="312">
        <f t="shared" si="8"/>
        <v>0</v>
      </c>
      <c r="J29" s="312">
        <f t="shared" si="9"/>
        <v>0</v>
      </c>
      <c r="K29" s="313">
        <f t="shared" si="10"/>
        <v>0</v>
      </c>
      <c r="L29" s="66">
        <f>K29*D29*'B) D RI'!S31</f>
        <v>0</v>
      </c>
      <c r="M29" s="19">
        <f>(('B) D RI'!S31*C29)-(L29*$M$4))/'B) D RI'!S31</f>
        <v>10573.165189873416</v>
      </c>
      <c r="N29" s="302">
        <f t="shared" si="11"/>
        <v>24.588756255519574</v>
      </c>
      <c r="O29" s="71">
        <f t="shared" si="12"/>
        <v>0.54266674416200555</v>
      </c>
      <c r="R29" s="17"/>
    </row>
    <row r="30" spans="1:18" x14ac:dyDescent="0.25">
      <c r="A30" s="355">
        <f>'A) Base RI'!A32</f>
        <v>5431</v>
      </c>
      <c r="B30" s="40" t="str">
        <f>'A) Base RI'!B32</f>
        <v>Mollens</v>
      </c>
      <c r="C30" s="353">
        <f>'B) D RI'!U32</f>
        <v>11206.031081081082</v>
      </c>
      <c r="D30" s="40">
        <f>'B) D RI'!AA32</f>
        <v>295</v>
      </c>
      <c r="E30" s="231">
        <f t="shared" si="4"/>
        <v>37.986546037562988</v>
      </c>
      <c r="F30" s="71">
        <f t="shared" si="5"/>
        <v>0.81518117759604491</v>
      </c>
      <c r="G30" s="312">
        <f t="shared" si="6"/>
        <v>0</v>
      </c>
      <c r="H30" s="312">
        <f t="shared" si="7"/>
        <v>0</v>
      </c>
      <c r="I30" s="312">
        <f t="shared" si="8"/>
        <v>0</v>
      </c>
      <c r="J30" s="312">
        <f t="shared" si="9"/>
        <v>0</v>
      </c>
      <c r="K30" s="313">
        <f t="shared" si="10"/>
        <v>0</v>
      </c>
      <c r="L30" s="66">
        <f>K30*D30*'B) D RI'!S32</f>
        <v>0</v>
      </c>
      <c r="M30" s="19">
        <f>(('B) D RI'!S32*C30)-(L30*$M$4))/'B) D RI'!S32</f>
        <v>11206.031081081082</v>
      </c>
      <c r="N30" s="302">
        <f t="shared" si="11"/>
        <v>37.986546037562988</v>
      </c>
      <c r="O30" s="71">
        <f t="shared" si="12"/>
        <v>0.83835209255600696</v>
      </c>
      <c r="R30" s="17"/>
    </row>
    <row r="31" spans="1:18" x14ac:dyDescent="0.25">
      <c r="A31" s="355">
        <f>'A) Base RI'!A33</f>
        <v>5432</v>
      </c>
      <c r="B31" s="40" t="str">
        <f>'A) Base RI'!B33</f>
        <v>Montherod</v>
      </c>
      <c r="C31" s="353">
        <f>'B) D RI'!U33</f>
        <v>17725.419230769232</v>
      </c>
      <c r="D31" s="40">
        <f>'B) D RI'!AA33</f>
        <v>522</v>
      </c>
      <c r="E31" s="231">
        <f t="shared" si="4"/>
        <v>33.956741821396996</v>
      </c>
      <c r="F31" s="71">
        <f t="shared" si="5"/>
        <v>0.72870265061527362</v>
      </c>
      <c r="G31" s="312">
        <f t="shared" si="6"/>
        <v>0</v>
      </c>
      <c r="H31" s="312">
        <f t="shared" si="7"/>
        <v>0</v>
      </c>
      <c r="I31" s="312">
        <f t="shared" si="8"/>
        <v>0</v>
      </c>
      <c r="J31" s="312">
        <f t="shared" si="9"/>
        <v>0</v>
      </c>
      <c r="K31" s="313">
        <f t="shared" si="10"/>
        <v>0</v>
      </c>
      <c r="L31" s="66">
        <f>K31*D31*'B) D RI'!S33</f>
        <v>0</v>
      </c>
      <c r="M31" s="19">
        <f>(('B) D RI'!S33*C31)-(L31*$M$4))/'B) D RI'!S33</f>
        <v>17725.419230769232</v>
      </c>
      <c r="N31" s="302">
        <f t="shared" si="11"/>
        <v>33.956741821396996</v>
      </c>
      <c r="O31" s="71">
        <f t="shared" si="12"/>
        <v>0.74941547815908194</v>
      </c>
      <c r="R31" s="17"/>
    </row>
    <row r="32" spans="1:18" x14ac:dyDescent="0.25">
      <c r="A32" s="355">
        <f>'A) Base RI'!A34</f>
        <v>5434</v>
      </c>
      <c r="B32" s="40" t="str">
        <f>'A) Base RI'!B34</f>
        <v>Saint-George</v>
      </c>
      <c r="C32" s="353">
        <f>'B) D RI'!U34</f>
        <v>35895.731094890507</v>
      </c>
      <c r="D32" s="40">
        <f>'B) D RI'!AA34</f>
        <v>991</v>
      </c>
      <c r="E32" s="231">
        <f t="shared" si="4"/>
        <v>36.221726634601922</v>
      </c>
      <c r="F32" s="71">
        <f t="shared" si="5"/>
        <v>0.77730862246224719</v>
      </c>
      <c r="G32" s="312">
        <f t="shared" si="6"/>
        <v>0</v>
      </c>
      <c r="H32" s="312">
        <f t="shared" si="7"/>
        <v>0</v>
      </c>
      <c r="I32" s="312">
        <f t="shared" si="8"/>
        <v>0</v>
      </c>
      <c r="J32" s="312">
        <f t="shared" si="9"/>
        <v>0</v>
      </c>
      <c r="K32" s="313">
        <f t="shared" si="10"/>
        <v>0</v>
      </c>
      <c r="L32" s="66">
        <f>K32*D32*'B) D RI'!S34</f>
        <v>0</v>
      </c>
      <c r="M32" s="19">
        <f>(('B) D RI'!S34*C32)-(L32*$M$4))/'B) D RI'!S34</f>
        <v>35895.731094890507</v>
      </c>
      <c r="N32" s="302">
        <f t="shared" si="11"/>
        <v>36.221726634601922</v>
      </c>
      <c r="O32" s="71">
        <f t="shared" si="12"/>
        <v>0.79940303838317406</v>
      </c>
      <c r="R32" s="17"/>
    </row>
    <row r="33" spans="1:18" x14ac:dyDescent="0.25">
      <c r="A33" s="355">
        <f>'A) Base RI'!A35</f>
        <v>5435</v>
      </c>
      <c r="B33" s="40" t="str">
        <f>'A) Base RI'!B35</f>
        <v>Saint-Livres</v>
      </c>
      <c r="C33" s="353">
        <f>'B) D RI'!U35</f>
        <v>22398.12956521739</v>
      </c>
      <c r="D33" s="40">
        <f>'B) D RI'!AA35</f>
        <v>689</v>
      </c>
      <c r="E33" s="231">
        <f t="shared" si="4"/>
        <v>32.508170631665301</v>
      </c>
      <c r="F33" s="71">
        <f t="shared" si="5"/>
        <v>0.69761669804908077</v>
      </c>
      <c r="G33" s="312">
        <f t="shared" si="6"/>
        <v>0</v>
      </c>
      <c r="H33" s="312">
        <f t="shared" si="7"/>
        <v>0</v>
      </c>
      <c r="I33" s="312">
        <f t="shared" si="8"/>
        <v>0</v>
      </c>
      <c r="J33" s="312">
        <f t="shared" si="9"/>
        <v>0</v>
      </c>
      <c r="K33" s="313">
        <f t="shared" si="10"/>
        <v>0</v>
      </c>
      <c r="L33" s="66">
        <f>K33*D33*'B) D RI'!S35</f>
        <v>0</v>
      </c>
      <c r="M33" s="19">
        <f>(('B) D RI'!S35*C33)-(L33*$M$4))/'B) D RI'!S35</f>
        <v>22398.12956521739</v>
      </c>
      <c r="N33" s="302">
        <f t="shared" si="11"/>
        <v>32.508170631665301</v>
      </c>
      <c r="O33" s="71">
        <f t="shared" si="12"/>
        <v>0.71744593065331408</v>
      </c>
      <c r="R33" s="17"/>
    </row>
    <row r="34" spans="1:18" x14ac:dyDescent="0.25">
      <c r="A34" s="355">
        <f>'A) Base RI'!A36</f>
        <v>5436</v>
      </c>
      <c r="B34" s="40" t="str">
        <f>'A) Base RI'!B36</f>
        <v>Saint-Oyens</v>
      </c>
      <c r="C34" s="353">
        <f>'B) D RI'!U36</f>
        <v>10474.604814814815</v>
      </c>
      <c r="D34" s="40">
        <f>'B) D RI'!AA36</f>
        <v>350</v>
      </c>
      <c r="E34" s="231">
        <f t="shared" si="4"/>
        <v>29.927442328042329</v>
      </c>
      <c r="F34" s="71">
        <f t="shared" si="5"/>
        <v>0.64223495485183102</v>
      </c>
      <c r="G34" s="312">
        <f t="shared" si="6"/>
        <v>0</v>
      </c>
      <c r="H34" s="312">
        <f t="shared" si="7"/>
        <v>0</v>
      </c>
      <c r="I34" s="312">
        <f t="shared" si="8"/>
        <v>0</v>
      </c>
      <c r="J34" s="312">
        <f t="shared" si="9"/>
        <v>0</v>
      </c>
      <c r="K34" s="313">
        <f t="shared" si="10"/>
        <v>0</v>
      </c>
      <c r="L34" s="66">
        <f>K34*D34*'B) D RI'!S36</f>
        <v>0</v>
      </c>
      <c r="M34" s="19">
        <f>(('B) D RI'!S36*C34)-(L34*$M$4))/'B) D RI'!S36</f>
        <v>10474.604814814815</v>
      </c>
      <c r="N34" s="302">
        <f t="shared" si="11"/>
        <v>29.927442328042329</v>
      </c>
      <c r="O34" s="71">
        <f t="shared" si="12"/>
        <v>0.66049000284873294</v>
      </c>
      <c r="R34" s="17"/>
    </row>
    <row r="35" spans="1:18" x14ac:dyDescent="0.25">
      <c r="A35" s="355">
        <f>'A) Base RI'!A37</f>
        <v>5437</v>
      </c>
      <c r="B35" s="40" t="str">
        <f>'A) Base RI'!B37</f>
        <v>Saubraz</v>
      </c>
      <c r="C35" s="353">
        <f>'B) D RI'!U37</f>
        <v>10138.793125</v>
      </c>
      <c r="D35" s="40">
        <f>'B) D RI'!AA37</f>
        <v>420</v>
      </c>
      <c r="E35" s="231">
        <f t="shared" si="4"/>
        <v>24.139983630952383</v>
      </c>
      <c r="F35" s="71">
        <f t="shared" si="5"/>
        <v>0.51803763005907333</v>
      </c>
      <c r="G35" s="312">
        <f t="shared" si="6"/>
        <v>0</v>
      </c>
      <c r="H35" s="312">
        <f t="shared" si="7"/>
        <v>0</v>
      </c>
      <c r="I35" s="312">
        <f t="shared" si="8"/>
        <v>0</v>
      </c>
      <c r="J35" s="312">
        <f t="shared" si="9"/>
        <v>0</v>
      </c>
      <c r="K35" s="313">
        <f t="shared" si="10"/>
        <v>0</v>
      </c>
      <c r="L35" s="66">
        <f>K35*D35*'B) D RI'!S37</f>
        <v>0</v>
      </c>
      <c r="M35" s="19">
        <f>(('B) D RI'!S37*C35)-(L35*$M$4))/'B) D RI'!S37</f>
        <v>10138.793125</v>
      </c>
      <c r="N35" s="302">
        <f t="shared" si="11"/>
        <v>24.139983630952383</v>
      </c>
      <c r="O35" s="71">
        <f t="shared" si="12"/>
        <v>0.53276246203759969</v>
      </c>
      <c r="R35" s="17"/>
    </row>
    <row r="36" spans="1:18" x14ac:dyDescent="0.25">
      <c r="A36" s="355">
        <f>'A) Base RI'!A38</f>
        <v>5451</v>
      </c>
      <c r="B36" s="40" t="str">
        <f>'A) Base RI'!B38</f>
        <v>Avenches</v>
      </c>
      <c r="C36" s="353">
        <f>'B) D RI'!U38</f>
        <v>109207.82382352941</v>
      </c>
      <c r="D36" s="40">
        <f>'B) D RI'!AA38</f>
        <v>4129</v>
      </c>
      <c r="E36" s="231">
        <f t="shared" si="4"/>
        <v>26.448976464889661</v>
      </c>
      <c r="F36" s="71">
        <f t="shared" si="5"/>
        <v>0.56758800232952289</v>
      </c>
      <c r="G36" s="312">
        <f t="shared" si="6"/>
        <v>0</v>
      </c>
      <c r="H36" s="312">
        <f t="shared" si="7"/>
        <v>0</v>
      </c>
      <c r="I36" s="312">
        <f t="shared" si="8"/>
        <v>0</v>
      </c>
      <c r="J36" s="312">
        <f t="shared" si="9"/>
        <v>0</v>
      </c>
      <c r="K36" s="313">
        <f t="shared" si="10"/>
        <v>0</v>
      </c>
      <c r="L36" s="66">
        <f>K36*D36*'B) D RI'!S38</f>
        <v>0</v>
      </c>
      <c r="M36" s="19">
        <f>(('B) D RI'!S38*C36)-(L36*$M$4))/'B) D RI'!S38</f>
        <v>109207.82382352941</v>
      </c>
      <c r="N36" s="302">
        <f t="shared" si="11"/>
        <v>26.448976464889661</v>
      </c>
      <c r="O36" s="71">
        <f t="shared" si="12"/>
        <v>0.58372126656049517</v>
      </c>
      <c r="R36" s="17"/>
    </row>
    <row r="37" spans="1:18" x14ac:dyDescent="0.25">
      <c r="A37" s="355">
        <f>'A) Base RI'!A39</f>
        <v>5456</v>
      </c>
      <c r="B37" s="40" t="str">
        <f>'A) Base RI'!B39</f>
        <v>Cudrefin</v>
      </c>
      <c r="C37" s="353">
        <f>'B) D RI'!U39</f>
        <v>51373.818644067804</v>
      </c>
      <c r="D37" s="40">
        <f>'B) D RI'!AA39</f>
        <v>1555</v>
      </c>
      <c r="E37" s="231">
        <f t="shared" si="4"/>
        <v>33.037825494577369</v>
      </c>
      <c r="F37" s="71">
        <f t="shared" si="5"/>
        <v>0.70898295057546679</v>
      </c>
      <c r="G37" s="312">
        <f t="shared" si="6"/>
        <v>0</v>
      </c>
      <c r="H37" s="312">
        <f t="shared" si="7"/>
        <v>0</v>
      </c>
      <c r="I37" s="312">
        <f t="shared" si="8"/>
        <v>0</v>
      </c>
      <c r="J37" s="312">
        <f t="shared" si="9"/>
        <v>0</v>
      </c>
      <c r="K37" s="313">
        <f t="shared" si="10"/>
        <v>0</v>
      </c>
      <c r="L37" s="66">
        <f>K37*D37*'B) D RI'!S39</f>
        <v>0</v>
      </c>
      <c r="M37" s="19">
        <f>(('B) D RI'!S39*C37)-(L37*$M$4))/'B) D RI'!S39</f>
        <v>51373.818644067804</v>
      </c>
      <c r="N37" s="302">
        <f t="shared" si="11"/>
        <v>33.037825494577369</v>
      </c>
      <c r="O37" s="71">
        <f t="shared" si="12"/>
        <v>0.72913526040221277</v>
      </c>
      <c r="R37" s="17"/>
    </row>
    <row r="38" spans="1:18" x14ac:dyDescent="0.25">
      <c r="A38" s="355">
        <f>'A) Base RI'!A40</f>
        <v>5458</v>
      </c>
      <c r="B38" s="40" t="str">
        <f>'A) Base RI'!B40</f>
        <v>Faoug</v>
      </c>
      <c r="C38" s="353">
        <f>'B) D RI'!U40</f>
        <v>31692.092968750003</v>
      </c>
      <c r="D38" s="40">
        <f>'B) D RI'!AA40</f>
        <v>870</v>
      </c>
      <c r="E38" s="231">
        <f t="shared" si="4"/>
        <v>36.427693067528736</v>
      </c>
      <c r="F38" s="71">
        <f t="shared" si="5"/>
        <v>0.7817286073477514</v>
      </c>
      <c r="G38" s="312">
        <f t="shared" si="6"/>
        <v>0</v>
      </c>
      <c r="H38" s="312">
        <f t="shared" si="7"/>
        <v>0</v>
      </c>
      <c r="I38" s="312">
        <f t="shared" si="8"/>
        <v>0</v>
      </c>
      <c r="J38" s="312">
        <f t="shared" si="9"/>
        <v>0</v>
      </c>
      <c r="K38" s="313">
        <f t="shared" si="10"/>
        <v>0</v>
      </c>
      <c r="L38" s="66">
        <f>K38*D38*'B) D RI'!S40</f>
        <v>0</v>
      </c>
      <c r="M38" s="19">
        <f>(('B) D RI'!S40*C38)-(L38*$M$4))/'B) D RI'!S40</f>
        <v>31692.092968750003</v>
      </c>
      <c r="N38" s="302">
        <f t="shared" si="11"/>
        <v>36.427693067528736</v>
      </c>
      <c r="O38" s="71">
        <f t="shared" si="12"/>
        <v>0.80394865803150284</v>
      </c>
      <c r="R38" s="17"/>
    </row>
    <row r="39" spans="1:18" x14ac:dyDescent="0.25">
      <c r="A39" s="355">
        <f>'A) Base RI'!A41</f>
        <v>5464</v>
      </c>
      <c r="B39" s="40" t="str">
        <f>'A) Base RI'!B41</f>
        <v>Vully-les-Lacs</v>
      </c>
      <c r="C39" s="353">
        <f>'B) D RI'!U41</f>
        <v>96310.385124378095</v>
      </c>
      <c r="D39" s="40">
        <f>'B) D RI'!AA41</f>
        <v>2935</v>
      </c>
      <c r="E39" s="231">
        <f t="shared" si="4"/>
        <v>32.814441268953352</v>
      </c>
      <c r="F39" s="71">
        <f t="shared" si="5"/>
        <v>0.70418918448995593</v>
      </c>
      <c r="G39" s="312">
        <f t="shared" si="6"/>
        <v>0</v>
      </c>
      <c r="H39" s="312">
        <f t="shared" si="7"/>
        <v>0</v>
      </c>
      <c r="I39" s="312">
        <f t="shared" si="8"/>
        <v>0</v>
      </c>
      <c r="J39" s="312">
        <f t="shared" si="9"/>
        <v>0</v>
      </c>
      <c r="K39" s="313">
        <f t="shared" si="10"/>
        <v>0</v>
      </c>
      <c r="L39" s="66">
        <f>K39*D39*'B) D RI'!S41</f>
        <v>0</v>
      </c>
      <c r="M39" s="19">
        <f>(('B) D RI'!S41*C39)-(L39*$M$4))/'B) D RI'!S41</f>
        <v>96310.385124378095</v>
      </c>
      <c r="N39" s="302">
        <f t="shared" si="11"/>
        <v>32.814441268953352</v>
      </c>
      <c r="O39" s="71">
        <f t="shared" si="12"/>
        <v>0.72420523510297363</v>
      </c>
      <c r="R39" s="17"/>
    </row>
    <row r="40" spans="1:18" x14ac:dyDescent="0.25">
      <c r="A40" s="355">
        <f>'A) Base RI'!A42</f>
        <v>5471</v>
      </c>
      <c r="B40" s="40" t="str">
        <f>'A) Base RI'!B42</f>
        <v>Bettens</v>
      </c>
      <c r="C40" s="353">
        <f>'B) D RI'!U42</f>
        <v>16449.086587301586</v>
      </c>
      <c r="D40" s="40">
        <f>'B) D RI'!AA42</f>
        <v>584</v>
      </c>
      <c r="E40" s="231">
        <f t="shared" si="4"/>
        <v>28.166244156338333</v>
      </c>
      <c r="F40" s="71">
        <f t="shared" si="5"/>
        <v>0.60444011037794865</v>
      </c>
      <c r="G40" s="312">
        <f t="shared" si="6"/>
        <v>0</v>
      </c>
      <c r="H40" s="312">
        <f t="shared" si="7"/>
        <v>0</v>
      </c>
      <c r="I40" s="312">
        <f t="shared" si="8"/>
        <v>0</v>
      </c>
      <c r="J40" s="312">
        <f t="shared" si="9"/>
        <v>0</v>
      </c>
      <c r="K40" s="313">
        <f t="shared" si="10"/>
        <v>0</v>
      </c>
      <c r="L40" s="66">
        <f>K40*D40*'B) D RI'!S42</f>
        <v>0</v>
      </c>
      <c r="M40" s="19">
        <f>(('B) D RI'!S42*C40)-(L40*$M$4))/'B) D RI'!S42</f>
        <v>16449.086587301586</v>
      </c>
      <c r="N40" s="302">
        <f t="shared" si="11"/>
        <v>28.166244156338333</v>
      </c>
      <c r="O40" s="71">
        <f t="shared" si="12"/>
        <v>0.62162086820317142</v>
      </c>
      <c r="R40" s="17"/>
    </row>
    <row r="41" spans="1:18" x14ac:dyDescent="0.25">
      <c r="A41" s="355">
        <f>'A) Base RI'!A43</f>
        <v>5472</v>
      </c>
      <c r="B41" s="40" t="str">
        <f>'A) Base RI'!B43</f>
        <v>Bournens</v>
      </c>
      <c r="C41" s="353">
        <f>'B) D RI'!U43</f>
        <v>14191.801124999998</v>
      </c>
      <c r="D41" s="40">
        <f>'B) D RI'!AA43</f>
        <v>370</v>
      </c>
      <c r="E41" s="231">
        <f t="shared" si="4"/>
        <v>38.356219256756752</v>
      </c>
      <c r="F41" s="71">
        <f t="shared" si="5"/>
        <v>0.82311426658629172</v>
      </c>
      <c r="G41" s="312">
        <f t="shared" si="6"/>
        <v>0</v>
      </c>
      <c r="H41" s="312">
        <f t="shared" si="7"/>
        <v>0</v>
      </c>
      <c r="I41" s="312">
        <f t="shared" si="8"/>
        <v>0</v>
      </c>
      <c r="J41" s="312">
        <f t="shared" si="9"/>
        <v>0</v>
      </c>
      <c r="K41" s="313">
        <f t="shared" si="10"/>
        <v>0</v>
      </c>
      <c r="L41" s="66">
        <f>K41*D41*'B) D RI'!S43</f>
        <v>0</v>
      </c>
      <c r="M41" s="19">
        <f>(('B) D RI'!S43*C41)-(L41*$M$4))/'B) D RI'!S43</f>
        <v>14191.801124999998</v>
      </c>
      <c r="N41" s="302">
        <f t="shared" si="11"/>
        <v>38.356219256756752</v>
      </c>
      <c r="O41" s="71">
        <f t="shared" si="12"/>
        <v>0.84651067366434329</v>
      </c>
      <c r="R41" s="17"/>
    </row>
    <row r="42" spans="1:18" x14ac:dyDescent="0.25">
      <c r="A42" s="355">
        <f>'A) Base RI'!A44</f>
        <v>5473</v>
      </c>
      <c r="B42" s="40" t="str">
        <f>'A) Base RI'!B44</f>
        <v>Boussens</v>
      </c>
      <c r="C42" s="353">
        <f>'B) D RI'!U44</f>
        <v>32757.052898550723</v>
      </c>
      <c r="D42" s="40">
        <f>'B) D RI'!AA44</f>
        <v>980</v>
      </c>
      <c r="E42" s="231">
        <f t="shared" si="4"/>
        <v>33.425564182194613</v>
      </c>
      <c r="F42" s="71">
        <f t="shared" si="5"/>
        <v>0.7173037197145935</v>
      </c>
      <c r="G42" s="312">
        <f t="shared" si="6"/>
        <v>0</v>
      </c>
      <c r="H42" s="312">
        <f t="shared" si="7"/>
        <v>0</v>
      </c>
      <c r="I42" s="312">
        <f t="shared" si="8"/>
        <v>0</v>
      </c>
      <c r="J42" s="312">
        <f t="shared" si="9"/>
        <v>0</v>
      </c>
      <c r="K42" s="313">
        <f t="shared" si="10"/>
        <v>0</v>
      </c>
      <c r="L42" s="66">
        <f>K42*D42*'B) D RI'!S44</f>
        <v>0</v>
      </c>
      <c r="M42" s="19">
        <f>(('B) D RI'!S44*C42)-(L42*$M$4))/'B) D RI'!S44</f>
        <v>32757.052898550723</v>
      </c>
      <c r="N42" s="302">
        <f t="shared" si="11"/>
        <v>33.425564182194613</v>
      </c>
      <c r="O42" s="71">
        <f t="shared" si="12"/>
        <v>0.73769254117755356</v>
      </c>
      <c r="R42" s="17"/>
    </row>
    <row r="43" spans="1:18" x14ac:dyDescent="0.25">
      <c r="A43" s="355">
        <f>'A) Base RI'!A45</f>
        <v>5474</v>
      </c>
      <c r="B43" s="40" t="str">
        <f>'A) Base RI'!B45</f>
        <v>La Chaux (Cossonay)</v>
      </c>
      <c r="C43" s="353">
        <f>'B) D RI'!U45</f>
        <v>12924.858852813852</v>
      </c>
      <c r="D43" s="40">
        <f>'B) D RI'!AA45</f>
        <v>421</v>
      </c>
      <c r="E43" s="231">
        <f t="shared" si="4"/>
        <v>30.700377322598221</v>
      </c>
      <c r="F43" s="71">
        <f t="shared" si="5"/>
        <v>0.65882193431672387</v>
      </c>
      <c r="G43" s="312">
        <f t="shared" si="6"/>
        <v>0</v>
      </c>
      <c r="H43" s="312">
        <f t="shared" si="7"/>
        <v>0</v>
      </c>
      <c r="I43" s="312">
        <f t="shared" si="8"/>
        <v>0</v>
      </c>
      <c r="J43" s="312">
        <f t="shared" si="9"/>
        <v>0</v>
      </c>
      <c r="K43" s="313">
        <f t="shared" si="10"/>
        <v>0</v>
      </c>
      <c r="L43" s="66">
        <f>K43*D43*'B) D RI'!S45</f>
        <v>0</v>
      </c>
      <c r="M43" s="19">
        <f>(('B) D RI'!S45*C43)-(L43*$M$4))/'B) D RI'!S45</f>
        <v>12924.858852813852</v>
      </c>
      <c r="N43" s="302">
        <f t="shared" si="11"/>
        <v>30.700377322598221</v>
      </c>
      <c r="O43" s="71">
        <f t="shared" si="12"/>
        <v>0.6775484547926115</v>
      </c>
      <c r="R43" s="17"/>
    </row>
    <row r="44" spans="1:18" x14ac:dyDescent="0.25">
      <c r="A44" s="355">
        <f>'A) Base RI'!A46</f>
        <v>5475</v>
      </c>
      <c r="B44" s="40" t="str">
        <f>'A) Base RI'!B46</f>
        <v>Chavannes-le-Veyron</v>
      </c>
      <c r="C44" s="353">
        <f>'B) D RI'!U46</f>
        <v>2672.7945454545452</v>
      </c>
      <c r="D44" s="40">
        <f>'B) D RI'!AA46</f>
        <v>143</v>
      </c>
      <c r="E44" s="231">
        <f t="shared" si="4"/>
        <v>18.690870947234583</v>
      </c>
      <c r="F44" s="71">
        <f t="shared" si="5"/>
        <v>0.40110112074932619</v>
      </c>
      <c r="G44" s="312">
        <f t="shared" si="6"/>
        <v>0</v>
      </c>
      <c r="H44" s="312">
        <f t="shared" si="7"/>
        <v>0</v>
      </c>
      <c r="I44" s="312">
        <f t="shared" si="8"/>
        <v>0</v>
      </c>
      <c r="J44" s="312">
        <f t="shared" si="9"/>
        <v>0</v>
      </c>
      <c r="K44" s="313">
        <f t="shared" si="10"/>
        <v>0</v>
      </c>
      <c r="L44" s="66">
        <f>K44*D44*'B) D RI'!S46</f>
        <v>0</v>
      </c>
      <c r="M44" s="19">
        <f>(('B) D RI'!S46*C44)-(L44*$M$4))/'B) D RI'!S46</f>
        <v>2672.7945454545452</v>
      </c>
      <c r="N44" s="302">
        <f t="shared" si="11"/>
        <v>18.690870947234583</v>
      </c>
      <c r="O44" s="71">
        <f t="shared" si="12"/>
        <v>0.41250211995619651</v>
      </c>
      <c r="R44" s="17"/>
    </row>
    <row r="45" spans="1:18" x14ac:dyDescent="0.25">
      <c r="A45" s="355">
        <f>'A) Base RI'!A47</f>
        <v>5476</v>
      </c>
      <c r="B45" s="40" t="str">
        <f>'A) Base RI'!B47</f>
        <v>Chevilly</v>
      </c>
      <c r="C45" s="353">
        <f>'B) D RI'!U47</f>
        <v>10247.952162162162</v>
      </c>
      <c r="D45" s="40">
        <f>'B) D RI'!AA47</f>
        <v>299</v>
      </c>
      <c r="E45" s="231">
        <f t="shared" si="4"/>
        <v>34.274087498870109</v>
      </c>
      <c r="F45" s="71">
        <f t="shared" si="5"/>
        <v>0.73551280447374079</v>
      </c>
      <c r="G45" s="312">
        <f t="shared" si="6"/>
        <v>0</v>
      </c>
      <c r="H45" s="312">
        <f t="shared" si="7"/>
        <v>0</v>
      </c>
      <c r="I45" s="312">
        <f t="shared" si="8"/>
        <v>0</v>
      </c>
      <c r="J45" s="312">
        <f t="shared" si="9"/>
        <v>0</v>
      </c>
      <c r="K45" s="313">
        <f t="shared" si="10"/>
        <v>0</v>
      </c>
      <c r="L45" s="66">
        <f>K45*D45*'B) D RI'!S47</f>
        <v>0</v>
      </c>
      <c r="M45" s="19">
        <f>(('B) D RI'!S47*C45)-(L45*$M$4))/'B) D RI'!S47</f>
        <v>10247.952162162162</v>
      </c>
      <c r="N45" s="302">
        <f t="shared" si="11"/>
        <v>34.274087498870109</v>
      </c>
      <c r="O45" s="71">
        <f t="shared" si="12"/>
        <v>0.75641920554482811</v>
      </c>
      <c r="R45" s="17"/>
    </row>
    <row r="46" spans="1:18" x14ac:dyDescent="0.25">
      <c r="A46" s="355">
        <f>'A) Base RI'!A48</f>
        <v>5477</v>
      </c>
      <c r="B46" s="40" t="str">
        <f>'A) Base RI'!B48</f>
        <v>Cossonay</v>
      </c>
      <c r="C46" s="353">
        <f>'B) D RI'!U48</f>
        <v>125937.08528138528</v>
      </c>
      <c r="D46" s="40">
        <f>'B) D RI'!AA48</f>
        <v>3632</v>
      </c>
      <c r="E46" s="231">
        <f t="shared" si="4"/>
        <v>34.674307621526786</v>
      </c>
      <c r="F46" s="71">
        <f t="shared" si="5"/>
        <v>0.7441014218900831</v>
      </c>
      <c r="G46" s="312">
        <f t="shared" si="6"/>
        <v>0</v>
      </c>
      <c r="H46" s="312">
        <f t="shared" si="7"/>
        <v>0</v>
      </c>
      <c r="I46" s="312">
        <f t="shared" si="8"/>
        <v>0</v>
      </c>
      <c r="J46" s="312">
        <f t="shared" si="9"/>
        <v>0</v>
      </c>
      <c r="K46" s="313">
        <f t="shared" si="10"/>
        <v>0</v>
      </c>
      <c r="L46" s="66">
        <f>K46*D46*'B) D RI'!S48</f>
        <v>0</v>
      </c>
      <c r="M46" s="19">
        <f>(('B) D RI'!S48*C46)-(L46*$M$4))/'B) D RI'!S48</f>
        <v>125937.08528138528</v>
      </c>
      <c r="N46" s="302">
        <f t="shared" si="11"/>
        <v>34.674307621526786</v>
      </c>
      <c r="O46" s="71">
        <f t="shared" si="12"/>
        <v>0.76525194798422924</v>
      </c>
      <c r="R46" s="17"/>
    </row>
    <row r="47" spans="1:18" x14ac:dyDescent="0.25">
      <c r="A47" s="355">
        <f>'A) Base RI'!A49</f>
        <v>5478</v>
      </c>
      <c r="B47" s="40" t="str">
        <f>'A) Base RI'!B49</f>
        <v>Cottens</v>
      </c>
      <c r="C47" s="353">
        <f>'B) D RI'!U49</f>
        <v>14465.317702702703</v>
      </c>
      <c r="D47" s="40">
        <f>'B) D RI'!AA49</f>
        <v>483</v>
      </c>
      <c r="E47" s="231">
        <f t="shared" si="4"/>
        <v>29.948897935202282</v>
      </c>
      <c r="F47" s="71">
        <f t="shared" si="5"/>
        <v>0.64269538647658031</v>
      </c>
      <c r="G47" s="312">
        <f t="shared" si="6"/>
        <v>0</v>
      </c>
      <c r="H47" s="312">
        <f t="shared" si="7"/>
        <v>0</v>
      </c>
      <c r="I47" s="312">
        <f t="shared" si="8"/>
        <v>0</v>
      </c>
      <c r="J47" s="312">
        <f t="shared" si="9"/>
        <v>0</v>
      </c>
      <c r="K47" s="313">
        <f t="shared" si="10"/>
        <v>0</v>
      </c>
      <c r="L47" s="66">
        <f>K47*D47*'B) D RI'!S49</f>
        <v>0</v>
      </c>
      <c r="M47" s="19">
        <f>(('B) D RI'!S49*C47)-(L47*$M$4))/'B) D RI'!S49</f>
        <v>14465.317702702703</v>
      </c>
      <c r="N47" s="302">
        <f t="shared" si="11"/>
        <v>29.948897935202282</v>
      </c>
      <c r="O47" s="71">
        <f t="shared" si="12"/>
        <v>0.66096352189786733</v>
      </c>
      <c r="R47" s="17"/>
    </row>
    <row r="48" spans="1:18" x14ac:dyDescent="0.25">
      <c r="A48" s="355">
        <f>'A) Base RI'!A50</f>
        <v>5479</v>
      </c>
      <c r="B48" s="40" t="str">
        <f>'A) Base RI'!B50</f>
        <v>Cuarnens</v>
      </c>
      <c r="C48" s="353">
        <f>'B) D RI'!U50</f>
        <v>11562.819350649352</v>
      </c>
      <c r="D48" s="40">
        <f>'B) D RI'!AA50</f>
        <v>481</v>
      </c>
      <c r="E48" s="231">
        <f t="shared" si="4"/>
        <v>24.039125469125473</v>
      </c>
      <c r="F48" s="71">
        <f t="shared" si="5"/>
        <v>0.51587324072378249</v>
      </c>
      <c r="G48" s="312">
        <f t="shared" si="6"/>
        <v>0</v>
      </c>
      <c r="H48" s="312">
        <f t="shared" si="7"/>
        <v>0</v>
      </c>
      <c r="I48" s="312">
        <f t="shared" si="8"/>
        <v>0</v>
      </c>
      <c r="J48" s="312">
        <f t="shared" si="9"/>
        <v>0</v>
      </c>
      <c r="K48" s="313">
        <f t="shared" si="10"/>
        <v>0</v>
      </c>
      <c r="L48" s="66">
        <f>K48*D48*'B) D RI'!S50</f>
        <v>0</v>
      </c>
      <c r="M48" s="19">
        <f>(('B) D RI'!S50*C48)-(L48*$M$4))/'B) D RI'!S50</f>
        <v>11562.819350649352</v>
      </c>
      <c r="N48" s="302">
        <f t="shared" si="11"/>
        <v>24.039125469125473</v>
      </c>
      <c r="O48" s="71">
        <f t="shared" si="12"/>
        <v>0.53053655155510071</v>
      </c>
      <c r="R48" s="17"/>
    </row>
    <row r="49" spans="1:18" x14ac:dyDescent="0.25">
      <c r="A49" s="355">
        <f>'A) Base RI'!A51</f>
        <v>5480</v>
      </c>
      <c r="B49" s="40" t="str">
        <f>'A) Base RI'!B51</f>
        <v>Daillens</v>
      </c>
      <c r="C49" s="353">
        <f>'B) D RI'!U51</f>
        <v>34852.093380281687</v>
      </c>
      <c r="D49" s="40">
        <f>'B) D RI'!AA51</f>
        <v>958</v>
      </c>
      <c r="E49" s="231">
        <f t="shared" si="4"/>
        <v>36.380055720544561</v>
      </c>
      <c r="F49" s="71">
        <f t="shared" si="5"/>
        <v>0.78070632254792482</v>
      </c>
      <c r="G49" s="312">
        <f t="shared" si="6"/>
        <v>0</v>
      </c>
      <c r="H49" s="312">
        <f t="shared" si="7"/>
        <v>0</v>
      </c>
      <c r="I49" s="312">
        <f t="shared" si="8"/>
        <v>0</v>
      </c>
      <c r="J49" s="312">
        <f t="shared" si="9"/>
        <v>0</v>
      </c>
      <c r="K49" s="313">
        <f t="shared" si="10"/>
        <v>0</v>
      </c>
      <c r="L49" s="66">
        <f>K49*D49*'B) D RI'!S51</f>
        <v>0</v>
      </c>
      <c r="M49" s="19">
        <f>(('B) D RI'!S51*C49)-(L49*$M$4))/'B) D RI'!S51</f>
        <v>34852.093380281687</v>
      </c>
      <c r="N49" s="302">
        <f t="shared" si="11"/>
        <v>36.380055720544561</v>
      </c>
      <c r="O49" s="71">
        <f t="shared" si="12"/>
        <v>0.80289731555123345</v>
      </c>
      <c r="R49" s="17"/>
    </row>
    <row r="50" spans="1:18" x14ac:dyDescent="0.25">
      <c r="A50" s="355">
        <f>'A) Base RI'!A52</f>
        <v>5481</v>
      </c>
      <c r="B50" s="40" t="str">
        <f>'A) Base RI'!B52</f>
        <v>Dizy</v>
      </c>
      <c r="C50" s="353">
        <f>'B) D RI'!U52</f>
        <v>8900.2526582278479</v>
      </c>
      <c r="D50" s="40">
        <f>'B) D RI'!AA52</f>
        <v>222</v>
      </c>
      <c r="E50" s="231">
        <f t="shared" si="4"/>
        <v>40.091228190215531</v>
      </c>
      <c r="F50" s="71">
        <f t="shared" si="5"/>
        <v>0.860347096970976</v>
      </c>
      <c r="G50" s="312">
        <f t="shared" si="6"/>
        <v>0</v>
      </c>
      <c r="H50" s="312">
        <f t="shared" si="7"/>
        <v>0</v>
      </c>
      <c r="I50" s="312">
        <f t="shared" si="8"/>
        <v>0</v>
      </c>
      <c r="J50" s="312">
        <f t="shared" si="9"/>
        <v>0</v>
      </c>
      <c r="K50" s="313">
        <f t="shared" si="10"/>
        <v>0</v>
      </c>
      <c r="L50" s="66">
        <f>K50*D50*'B) D RI'!S52</f>
        <v>0</v>
      </c>
      <c r="M50" s="19">
        <f>(('B) D RI'!S52*C50)-(L50*$M$4))/'B) D RI'!S52</f>
        <v>8900.2526582278479</v>
      </c>
      <c r="N50" s="302">
        <f t="shared" si="11"/>
        <v>40.091228190215531</v>
      </c>
      <c r="O50" s="71">
        <f t="shared" si="12"/>
        <v>0.8848018193907855</v>
      </c>
      <c r="R50" s="17"/>
    </row>
    <row r="51" spans="1:18" x14ac:dyDescent="0.25">
      <c r="A51" s="355">
        <f>'A) Base RI'!A53</f>
        <v>5482</v>
      </c>
      <c r="B51" s="40" t="str">
        <f>'A) Base RI'!B53</f>
        <v>Eclépens</v>
      </c>
      <c r="C51" s="353">
        <f>'B) D RI'!U53</f>
        <v>26792.007391304349</v>
      </c>
      <c r="D51" s="40">
        <f>'B) D RI'!AA53</f>
        <v>1043</v>
      </c>
      <c r="E51" s="231">
        <f t="shared" si="4"/>
        <v>25.687447163283171</v>
      </c>
      <c r="F51" s="71">
        <f t="shared" si="5"/>
        <v>0.5512457860026263</v>
      </c>
      <c r="G51" s="312">
        <f t="shared" si="6"/>
        <v>0</v>
      </c>
      <c r="H51" s="312">
        <f t="shared" si="7"/>
        <v>0</v>
      </c>
      <c r="I51" s="312">
        <f t="shared" si="8"/>
        <v>0</v>
      </c>
      <c r="J51" s="312">
        <f t="shared" si="9"/>
        <v>0</v>
      </c>
      <c r="K51" s="313">
        <f t="shared" si="10"/>
        <v>0</v>
      </c>
      <c r="L51" s="66">
        <f>K51*D51*'B) D RI'!S53</f>
        <v>0</v>
      </c>
      <c r="M51" s="19">
        <f>(('B) D RI'!S53*C51)-(L51*$M$4))/'B) D RI'!S53</f>
        <v>26792.007391304349</v>
      </c>
      <c r="N51" s="302">
        <f t="shared" si="11"/>
        <v>25.687447163283171</v>
      </c>
      <c r="O51" s="71">
        <f t="shared" si="12"/>
        <v>0.56691453496365019</v>
      </c>
      <c r="R51" s="17"/>
    </row>
    <row r="52" spans="1:18" x14ac:dyDescent="0.25">
      <c r="A52" s="355">
        <f>'A) Base RI'!A54</f>
        <v>5483</v>
      </c>
      <c r="B52" s="40" t="str">
        <f>'A) Base RI'!B54</f>
        <v>Ferreyres</v>
      </c>
      <c r="C52" s="353">
        <f>'B) D RI'!U54</f>
        <v>9773.8555263157887</v>
      </c>
      <c r="D52" s="40">
        <f>'B) D RI'!AA54</f>
        <v>316</v>
      </c>
      <c r="E52" s="231">
        <f t="shared" si="4"/>
        <v>30.929922551632242</v>
      </c>
      <c r="F52" s="71">
        <f t="shared" si="5"/>
        <v>0.66374791389724352</v>
      </c>
      <c r="G52" s="312">
        <f t="shared" si="6"/>
        <v>0</v>
      </c>
      <c r="H52" s="312">
        <f t="shared" si="7"/>
        <v>0</v>
      </c>
      <c r="I52" s="312">
        <f t="shared" si="8"/>
        <v>0</v>
      </c>
      <c r="J52" s="312">
        <f t="shared" si="9"/>
        <v>0</v>
      </c>
      <c r="K52" s="313">
        <f t="shared" si="10"/>
        <v>0</v>
      </c>
      <c r="L52" s="66">
        <f>K52*D52*'B) D RI'!S54</f>
        <v>0</v>
      </c>
      <c r="M52" s="19">
        <f>(('B) D RI'!S54*C52)-(L52*$M$4))/'B) D RI'!S54</f>
        <v>9773.8555263157887</v>
      </c>
      <c r="N52" s="302">
        <f t="shared" si="11"/>
        <v>30.929922551632242</v>
      </c>
      <c r="O52" s="71">
        <f t="shared" si="12"/>
        <v>0.68261445165651757</v>
      </c>
      <c r="R52" s="17"/>
    </row>
    <row r="53" spans="1:18" x14ac:dyDescent="0.25">
      <c r="A53" s="355">
        <f>'A) Base RI'!A55</f>
        <v>5484</v>
      </c>
      <c r="B53" s="40" t="str">
        <f>'A) Base RI'!B55</f>
        <v>Gollion</v>
      </c>
      <c r="C53" s="353">
        <f>'B) D RI'!U55</f>
        <v>29063.721351351356</v>
      </c>
      <c r="D53" s="40">
        <f>'B) D RI'!AA55</f>
        <v>902</v>
      </c>
      <c r="E53" s="231">
        <f t="shared" si="4"/>
        <v>32.221420566908378</v>
      </c>
      <c r="F53" s="71">
        <f t="shared" si="5"/>
        <v>0.69146311790433312</v>
      </c>
      <c r="G53" s="312">
        <f t="shared" si="6"/>
        <v>0</v>
      </c>
      <c r="H53" s="312">
        <f t="shared" si="7"/>
        <v>0</v>
      </c>
      <c r="I53" s="312">
        <f t="shared" si="8"/>
        <v>0</v>
      </c>
      <c r="J53" s="312">
        <f t="shared" si="9"/>
        <v>0</v>
      </c>
      <c r="K53" s="313">
        <f t="shared" si="10"/>
        <v>0</v>
      </c>
      <c r="L53" s="66">
        <f>K53*D53*'B) D RI'!S55</f>
        <v>0</v>
      </c>
      <c r="M53" s="19">
        <f>(('B) D RI'!S55*C53)-(L53*$M$4))/'B) D RI'!S55</f>
        <v>29063.721351351356</v>
      </c>
      <c r="N53" s="302">
        <f t="shared" si="11"/>
        <v>32.221420566908378</v>
      </c>
      <c r="O53" s="71">
        <f t="shared" si="12"/>
        <v>0.71111743959777507</v>
      </c>
      <c r="R53" s="17"/>
    </row>
    <row r="54" spans="1:18" x14ac:dyDescent="0.25">
      <c r="A54" s="355">
        <f>'A) Base RI'!A56</f>
        <v>5485</v>
      </c>
      <c r="B54" s="40" t="str">
        <f>'A) Base RI'!B56</f>
        <v>Grancy</v>
      </c>
      <c r="C54" s="353">
        <f>'B) D RI'!U56</f>
        <v>15073.947999999999</v>
      </c>
      <c r="D54" s="40">
        <f>'B) D RI'!AA56</f>
        <v>408</v>
      </c>
      <c r="E54" s="231">
        <f t="shared" si="4"/>
        <v>36.945950980392155</v>
      </c>
      <c r="F54" s="71">
        <f t="shared" si="5"/>
        <v>0.79285028435646665</v>
      </c>
      <c r="G54" s="312">
        <f t="shared" si="6"/>
        <v>0</v>
      </c>
      <c r="H54" s="312">
        <f t="shared" si="7"/>
        <v>0</v>
      </c>
      <c r="I54" s="312">
        <f t="shared" si="8"/>
        <v>0</v>
      </c>
      <c r="J54" s="312">
        <f t="shared" si="9"/>
        <v>0</v>
      </c>
      <c r="K54" s="313">
        <f t="shared" si="10"/>
        <v>0</v>
      </c>
      <c r="L54" s="66">
        <f>K54*D54*'B) D RI'!S56</f>
        <v>0</v>
      </c>
      <c r="M54" s="19">
        <f>(('B) D RI'!S56*C54)-(L54*$M$4))/'B) D RI'!S56</f>
        <v>15073.947999999999</v>
      </c>
      <c r="N54" s="302">
        <f t="shared" si="11"/>
        <v>36.945950980392155</v>
      </c>
      <c r="O54" s="71">
        <f t="shared" si="12"/>
        <v>0.81538646038666085</v>
      </c>
      <c r="R54" s="17"/>
    </row>
    <row r="55" spans="1:18" x14ac:dyDescent="0.25">
      <c r="A55" s="355">
        <f>'A) Base RI'!A57</f>
        <v>5486</v>
      </c>
      <c r="B55" s="40" t="str">
        <f>'A) Base RI'!B57</f>
        <v>L'Isle</v>
      </c>
      <c r="C55" s="353">
        <f>'B) D RI'!U57</f>
        <v>29834.586052631581</v>
      </c>
      <c r="D55" s="40">
        <f>'B) D RI'!AA57</f>
        <v>1033</v>
      </c>
      <c r="E55" s="231">
        <f t="shared" si="4"/>
        <v>28.881496662760483</v>
      </c>
      <c r="F55" s="71">
        <f t="shared" si="5"/>
        <v>0.61978923898488159</v>
      </c>
      <c r="G55" s="312">
        <f t="shared" si="6"/>
        <v>0</v>
      </c>
      <c r="H55" s="312">
        <f t="shared" si="7"/>
        <v>0</v>
      </c>
      <c r="I55" s="312">
        <f t="shared" si="8"/>
        <v>0</v>
      </c>
      <c r="J55" s="312">
        <f t="shared" si="9"/>
        <v>0</v>
      </c>
      <c r="K55" s="313">
        <f t="shared" si="10"/>
        <v>0</v>
      </c>
      <c r="L55" s="66">
        <f>K55*D55*'B) D RI'!S57</f>
        <v>0</v>
      </c>
      <c r="M55" s="19">
        <f>(('B) D RI'!S57*C55)-(L55*$M$4))/'B) D RI'!S57</f>
        <v>29834.586052631581</v>
      </c>
      <c r="N55" s="302">
        <f t="shared" si="11"/>
        <v>28.881496662760483</v>
      </c>
      <c r="O55" s="71">
        <f t="shared" si="12"/>
        <v>0.63740628430475621</v>
      </c>
      <c r="R55" s="17"/>
    </row>
    <row r="56" spans="1:18" x14ac:dyDescent="0.25">
      <c r="A56" s="355">
        <f>'A) Base RI'!A58</f>
        <v>5487</v>
      </c>
      <c r="B56" s="40" t="str">
        <f>'A) Base RI'!B58</f>
        <v>Lussery-Villars</v>
      </c>
      <c r="C56" s="353">
        <f>'B) D RI'!U58</f>
        <v>13143.798970588234</v>
      </c>
      <c r="D56" s="40">
        <f>'B) D RI'!AA58</f>
        <v>462</v>
      </c>
      <c r="E56" s="231">
        <f t="shared" si="4"/>
        <v>28.449781321619554</v>
      </c>
      <c r="F56" s="71">
        <f t="shared" si="5"/>
        <v>0.61052474255423639</v>
      </c>
      <c r="G56" s="312">
        <f t="shared" si="6"/>
        <v>0</v>
      </c>
      <c r="H56" s="312">
        <f t="shared" si="7"/>
        <v>0</v>
      </c>
      <c r="I56" s="312">
        <f t="shared" si="8"/>
        <v>0</v>
      </c>
      <c r="J56" s="312">
        <f t="shared" si="9"/>
        <v>0</v>
      </c>
      <c r="K56" s="313">
        <f t="shared" si="10"/>
        <v>0</v>
      </c>
      <c r="L56" s="66">
        <f>K56*D56*'B) D RI'!S58</f>
        <v>0</v>
      </c>
      <c r="M56" s="19">
        <f>(('B) D RI'!S58*C56)-(L56*$M$4))/'B) D RI'!S58</f>
        <v>13143.798970588234</v>
      </c>
      <c r="N56" s="302">
        <f t="shared" si="11"/>
        <v>28.449781321619554</v>
      </c>
      <c r="O56" s="71">
        <f t="shared" si="12"/>
        <v>0.62787845149584187</v>
      </c>
      <c r="R56" s="17"/>
    </row>
    <row r="57" spans="1:18" x14ac:dyDescent="0.25">
      <c r="A57" s="355">
        <f>'A) Base RI'!A59</f>
        <v>5488</v>
      </c>
      <c r="B57" s="40" t="str">
        <f>'A) Base RI'!B59</f>
        <v>Mauraz</v>
      </c>
      <c r="C57" s="353">
        <f>'B) D RI'!U59</f>
        <v>1604.8968918918922</v>
      </c>
      <c r="D57" s="40">
        <f>'B) D RI'!AA59</f>
        <v>53</v>
      </c>
      <c r="E57" s="231">
        <f t="shared" si="4"/>
        <v>30.281073431922493</v>
      </c>
      <c r="F57" s="71">
        <f t="shared" si="5"/>
        <v>0.64982378431293975</v>
      </c>
      <c r="G57" s="312">
        <f t="shared" si="6"/>
        <v>0</v>
      </c>
      <c r="H57" s="312">
        <f t="shared" si="7"/>
        <v>0</v>
      </c>
      <c r="I57" s="312">
        <f t="shared" si="8"/>
        <v>0</v>
      </c>
      <c r="J57" s="312">
        <f t="shared" si="9"/>
        <v>0</v>
      </c>
      <c r="K57" s="313">
        <f t="shared" si="10"/>
        <v>0</v>
      </c>
      <c r="L57" s="66">
        <f>K57*D57*'B) D RI'!S59</f>
        <v>0</v>
      </c>
      <c r="M57" s="19">
        <f>(('B) D RI'!S59*C57)-(L57*$M$4))/'B) D RI'!S59</f>
        <v>1604.8968918918922</v>
      </c>
      <c r="N57" s="302">
        <f t="shared" si="11"/>
        <v>30.281073431922493</v>
      </c>
      <c r="O57" s="71">
        <f t="shared" si="12"/>
        <v>0.6682945391084304</v>
      </c>
      <c r="R57" s="17"/>
    </row>
    <row r="58" spans="1:18" x14ac:dyDescent="0.25">
      <c r="A58" s="355">
        <f>'A) Base RI'!A60</f>
        <v>5489</v>
      </c>
      <c r="B58" s="40" t="str">
        <f>'A) Base RI'!B60</f>
        <v>Mex</v>
      </c>
      <c r="C58" s="353">
        <f>'B) D RI'!U60</f>
        <v>46901.97049180328</v>
      </c>
      <c r="D58" s="40">
        <f>'B) D RI'!AA60</f>
        <v>710</v>
      </c>
      <c r="E58" s="231">
        <f t="shared" si="4"/>
        <v>66.059113368737016</v>
      </c>
      <c r="F58" s="71">
        <f t="shared" si="5"/>
        <v>1.4176110082140128</v>
      </c>
      <c r="G58" s="312">
        <f t="shared" si="6"/>
        <v>10.140433573526856</v>
      </c>
      <c r="H58" s="312">
        <f t="shared" si="7"/>
        <v>0</v>
      </c>
      <c r="I58" s="312">
        <f t="shared" si="8"/>
        <v>0</v>
      </c>
      <c r="J58" s="312">
        <f t="shared" si="9"/>
        <v>0</v>
      </c>
      <c r="K58" s="313">
        <f t="shared" si="10"/>
        <v>3.6505560864696682</v>
      </c>
      <c r="L58" s="66">
        <f>K58*D58*'B) D RI'!S60</f>
        <v>158105.58410500133</v>
      </c>
      <c r="M58" s="19">
        <f>(('B) D RI'!S60*C58)-(L58*$M$4))/'B) D RI'!S60</f>
        <v>45606.023081106548</v>
      </c>
      <c r="N58" s="302">
        <f t="shared" si="11"/>
        <v>64.233835325502184</v>
      </c>
      <c r="O58" s="71">
        <f t="shared" si="12"/>
        <v>1.4176221814108236</v>
      </c>
      <c r="R58" s="17"/>
    </row>
    <row r="59" spans="1:18" x14ac:dyDescent="0.25">
      <c r="A59" s="355">
        <f>'A) Base RI'!A61</f>
        <v>5490</v>
      </c>
      <c r="B59" s="40" t="str">
        <f>'A) Base RI'!B61</f>
        <v>Moiry</v>
      </c>
      <c r="C59" s="353">
        <f>'B) D RI'!U61</f>
        <v>7445.9272839506175</v>
      </c>
      <c r="D59" s="40">
        <f>'B) D RI'!AA61</f>
        <v>304</v>
      </c>
      <c r="E59" s="231">
        <f t="shared" si="4"/>
        <v>24.493181855100715</v>
      </c>
      <c r="F59" s="71">
        <f t="shared" si="5"/>
        <v>0.52561717003623676</v>
      </c>
      <c r="G59" s="312">
        <f t="shared" si="6"/>
        <v>0</v>
      </c>
      <c r="H59" s="312">
        <f t="shared" si="7"/>
        <v>0</v>
      </c>
      <c r="I59" s="312">
        <f t="shared" si="8"/>
        <v>0</v>
      </c>
      <c r="J59" s="312">
        <f t="shared" si="9"/>
        <v>0</v>
      </c>
      <c r="K59" s="313">
        <f t="shared" si="10"/>
        <v>0</v>
      </c>
      <c r="L59" s="66">
        <f>K59*D59*'B) D RI'!S61</f>
        <v>0</v>
      </c>
      <c r="M59" s="19">
        <f>(('B) D RI'!S61*C59)-(L59*$M$4))/'B) D RI'!S61</f>
        <v>7445.9272839506175</v>
      </c>
      <c r="N59" s="302">
        <f t="shared" si="11"/>
        <v>24.493181855100715</v>
      </c>
      <c r="O59" s="71">
        <f t="shared" si="12"/>
        <v>0.54055744476672218</v>
      </c>
      <c r="R59" s="17"/>
    </row>
    <row r="60" spans="1:18" x14ac:dyDescent="0.25">
      <c r="A60" s="355">
        <f>'A) Base RI'!A62</f>
        <v>5491</v>
      </c>
      <c r="B60" s="40" t="str">
        <f>'A) Base RI'!B62</f>
        <v>Mont-la-Ville</v>
      </c>
      <c r="C60" s="353">
        <f>'B) D RI'!U62</f>
        <v>8756.4323684210522</v>
      </c>
      <c r="D60" s="40">
        <f>'B) D RI'!AA62</f>
        <v>402</v>
      </c>
      <c r="E60" s="231">
        <f t="shared" si="4"/>
        <v>21.782170070699134</v>
      </c>
      <c r="F60" s="71">
        <f t="shared" si="5"/>
        <v>0.46743957798298952</v>
      </c>
      <c r="G60" s="312">
        <f t="shared" si="6"/>
        <v>0</v>
      </c>
      <c r="H60" s="312">
        <f t="shared" si="7"/>
        <v>0</v>
      </c>
      <c r="I60" s="312">
        <f t="shared" si="8"/>
        <v>0</v>
      </c>
      <c r="J60" s="312">
        <f t="shared" si="9"/>
        <v>0</v>
      </c>
      <c r="K60" s="313">
        <f t="shared" si="10"/>
        <v>0</v>
      </c>
      <c r="L60" s="66">
        <f>K60*D60*'B) D RI'!S62</f>
        <v>0</v>
      </c>
      <c r="M60" s="19">
        <f>(('B) D RI'!S62*C60)-(L60*$M$4))/'B) D RI'!S62</f>
        <v>8756.4323684210522</v>
      </c>
      <c r="N60" s="302">
        <f t="shared" si="11"/>
        <v>21.782170070699134</v>
      </c>
      <c r="O60" s="71">
        <f t="shared" si="12"/>
        <v>0.48072619819459061</v>
      </c>
      <c r="R60" s="17"/>
    </row>
    <row r="61" spans="1:18" x14ac:dyDescent="0.25">
      <c r="A61" s="355">
        <f>'A) Base RI'!A63</f>
        <v>5492</v>
      </c>
      <c r="B61" s="40" t="str">
        <f>'A) Base RI'!B63</f>
        <v>Montricher</v>
      </c>
      <c r="C61" s="353">
        <f>'B) D RI'!U63</f>
        <v>201844.58625000002</v>
      </c>
      <c r="D61" s="40">
        <f>'B) D RI'!AA63</f>
        <v>951</v>
      </c>
      <c r="E61" s="231">
        <f t="shared" si="4"/>
        <v>212.24457018927447</v>
      </c>
      <c r="F61" s="71">
        <f t="shared" si="5"/>
        <v>4.5547120418416185</v>
      </c>
      <c r="G61" s="312">
        <f t="shared" si="6"/>
        <v>156.32589039406432</v>
      </c>
      <c r="H61" s="312">
        <f t="shared" si="7"/>
        <v>142.34622044526176</v>
      </c>
      <c r="I61" s="312">
        <f t="shared" si="8"/>
        <v>119.04677053059086</v>
      </c>
      <c r="J61" s="312">
        <f t="shared" si="9"/>
        <v>72.447870701249059</v>
      </c>
      <c r="K61" s="313">
        <f t="shared" si="10"/>
        <v>89.661406709573328</v>
      </c>
      <c r="L61" s="66">
        <f>K61*D61*'B) D RI'!S63</f>
        <v>5457151.8579714708</v>
      </c>
      <c r="M61" s="19">
        <f>(('B) D RI'!S63*C61)-(L61*$M$4))/'B) D RI'!S63</f>
        <v>159210.58735959791</v>
      </c>
      <c r="N61" s="302">
        <f t="shared" si="11"/>
        <v>167.41386683448781</v>
      </c>
      <c r="O61" s="71">
        <f t="shared" si="12"/>
        <v>3.694775656749596</v>
      </c>
      <c r="R61" s="17"/>
    </row>
    <row r="62" spans="1:18" x14ac:dyDescent="0.25">
      <c r="A62" s="355">
        <f>'A) Base RI'!A64</f>
        <v>5493</v>
      </c>
      <c r="B62" s="40" t="str">
        <f>'A) Base RI'!B64</f>
        <v>Orny</v>
      </c>
      <c r="C62" s="353">
        <f>'B) D RI'!U64</f>
        <v>9079.112581664911</v>
      </c>
      <c r="D62" s="40">
        <f>'B) D RI'!AA64</f>
        <v>371</v>
      </c>
      <c r="E62" s="231">
        <f t="shared" si="4"/>
        <v>24.472001567829949</v>
      </c>
      <c r="F62" s="71">
        <f t="shared" si="5"/>
        <v>0.52516264670310375</v>
      </c>
      <c r="G62" s="312">
        <f t="shared" si="6"/>
        <v>0</v>
      </c>
      <c r="H62" s="312">
        <f t="shared" si="7"/>
        <v>0</v>
      </c>
      <c r="I62" s="312">
        <f t="shared" si="8"/>
        <v>0</v>
      </c>
      <c r="J62" s="312">
        <f t="shared" si="9"/>
        <v>0</v>
      </c>
      <c r="K62" s="313">
        <f t="shared" si="10"/>
        <v>0</v>
      </c>
      <c r="L62" s="66">
        <f>K62*D62*'B) D RI'!S64</f>
        <v>0</v>
      </c>
      <c r="M62" s="19">
        <f>(('B) D RI'!S64*C62)-(L62*$M$4))/'B) D RI'!S64</f>
        <v>9079.112581664911</v>
      </c>
      <c r="N62" s="302">
        <f t="shared" si="11"/>
        <v>24.472001567829949</v>
      </c>
      <c r="O62" s="71">
        <f t="shared" si="12"/>
        <v>0.54009000194797196</v>
      </c>
      <c r="R62" s="17"/>
    </row>
    <row r="63" spans="1:18" x14ac:dyDescent="0.25">
      <c r="A63" s="355">
        <f>'A) Base RI'!A65</f>
        <v>5494</v>
      </c>
      <c r="B63" s="40" t="str">
        <f>'A) Base RI'!B65</f>
        <v>Pampigny</v>
      </c>
      <c r="C63" s="353">
        <f>'B) D RI'!U65</f>
        <v>36797.992425396827</v>
      </c>
      <c r="D63" s="40">
        <f>'B) D RI'!AA65</f>
        <v>1116</v>
      </c>
      <c r="E63" s="231">
        <f t="shared" si="4"/>
        <v>32.973111492291061</v>
      </c>
      <c r="F63" s="71">
        <f t="shared" si="5"/>
        <v>0.70759420529342565</v>
      </c>
      <c r="G63" s="312">
        <f t="shared" si="6"/>
        <v>0</v>
      </c>
      <c r="H63" s="312">
        <f t="shared" si="7"/>
        <v>0</v>
      </c>
      <c r="I63" s="312">
        <f t="shared" si="8"/>
        <v>0</v>
      </c>
      <c r="J63" s="312">
        <f t="shared" si="9"/>
        <v>0</v>
      </c>
      <c r="K63" s="313">
        <f t="shared" si="10"/>
        <v>0</v>
      </c>
      <c r="L63" s="66">
        <f>K63*D63*'B) D RI'!S65</f>
        <v>0</v>
      </c>
      <c r="M63" s="19">
        <f>(('B) D RI'!S65*C63)-(L63*$M$4))/'B) D RI'!S65</f>
        <v>36797.992425396827</v>
      </c>
      <c r="N63" s="302">
        <f t="shared" si="11"/>
        <v>32.973111492291061</v>
      </c>
      <c r="O63" s="71">
        <f t="shared" si="12"/>
        <v>0.72770704107475004</v>
      </c>
      <c r="R63" s="17"/>
    </row>
    <row r="64" spans="1:18" x14ac:dyDescent="0.25">
      <c r="A64" s="355">
        <f>'A) Base RI'!A66</f>
        <v>5495</v>
      </c>
      <c r="B64" s="40" t="str">
        <f>'A) Base RI'!B66</f>
        <v>Penthalaz</v>
      </c>
      <c r="C64" s="353">
        <f>'B) D RI'!U66</f>
        <v>99436.02810810809</v>
      </c>
      <c r="D64" s="40">
        <f>'B) D RI'!AA66</f>
        <v>3252</v>
      </c>
      <c r="E64" s="231">
        <f t="shared" si="4"/>
        <v>30.57688441208736</v>
      </c>
      <c r="F64" s="71">
        <f t="shared" si="5"/>
        <v>0.6561718092931047</v>
      </c>
      <c r="G64" s="312">
        <f t="shared" si="6"/>
        <v>0</v>
      </c>
      <c r="H64" s="312">
        <f t="shared" si="7"/>
        <v>0</v>
      </c>
      <c r="I64" s="312">
        <f t="shared" si="8"/>
        <v>0</v>
      </c>
      <c r="J64" s="312">
        <f t="shared" si="9"/>
        <v>0</v>
      </c>
      <c r="K64" s="313">
        <f t="shared" si="10"/>
        <v>0</v>
      </c>
      <c r="L64" s="66">
        <f>K64*D64*'B) D RI'!S66</f>
        <v>0</v>
      </c>
      <c r="M64" s="19">
        <f>(('B) D RI'!S66*C64)-(L64*$M$4))/'B) D RI'!S66</f>
        <v>99436.02810810809</v>
      </c>
      <c r="N64" s="302">
        <f t="shared" si="11"/>
        <v>30.57688441208736</v>
      </c>
      <c r="O64" s="71">
        <f t="shared" si="12"/>
        <v>0.67482300194832723</v>
      </c>
      <c r="R64" s="17"/>
    </row>
    <row r="65" spans="1:18" x14ac:dyDescent="0.25">
      <c r="A65" s="355">
        <f>'A) Base RI'!A67</f>
        <v>5496</v>
      </c>
      <c r="B65" s="40" t="str">
        <f>'A) Base RI'!B67</f>
        <v>Penthaz</v>
      </c>
      <c r="C65" s="353">
        <f>'B) D RI'!U67</f>
        <v>52905.64732394366</v>
      </c>
      <c r="D65" s="40">
        <f>'B) D RI'!AA67</f>
        <v>1703</v>
      </c>
      <c r="E65" s="231">
        <f t="shared" si="4"/>
        <v>31.066146402785474</v>
      </c>
      <c r="F65" s="71">
        <f t="shared" si="5"/>
        <v>0.66667124152197554</v>
      </c>
      <c r="G65" s="312">
        <f t="shared" si="6"/>
        <v>0</v>
      </c>
      <c r="H65" s="312">
        <f t="shared" si="7"/>
        <v>0</v>
      </c>
      <c r="I65" s="312">
        <f t="shared" si="8"/>
        <v>0</v>
      </c>
      <c r="J65" s="312">
        <f t="shared" si="9"/>
        <v>0</v>
      </c>
      <c r="K65" s="313">
        <f t="shared" si="10"/>
        <v>0</v>
      </c>
      <c r="L65" s="66">
        <f>K65*D65*'B) D RI'!S67</f>
        <v>0</v>
      </c>
      <c r="M65" s="19">
        <f>(('B) D RI'!S67*C65)-(L65*$M$4))/'B) D RI'!S67</f>
        <v>52905.64732394366</v>
      </c>
      <c r="N65" s="302">
        <f t="shared" si="11"/>
        <v>31.066146402785474</v>
      </c>
      <c r="O65" s="71">
        <f t="shared" si="12"/>
        <v>0.68562087268140948</v>
      </c>
      <c r="R65" s="17"/>
    </row>
    <row r="66" spans="1:18" x14ac:dyDescent="0.25">
      <c r="A66" s="355">
        <f>'A) Base RI'!A68</f>
        <v>5497</v>
      </c>
      <c r="B66" s="40" t="str">
        <f>'A) Base RI'!B68</f>
        <v>Pompaples</v>
      </c>
      <c r="C66" s="353">
        <f>'B) D RI'!U68</f>
        <v>22272.608181818188</v>
      </c>
      <c r="D66" s="40">
        <f>'B) D RI'!AA68</f>
        <v>859</v>
      </c>
      <c r="E66" s="231">
        <f t="shared" si="4"/>
        <v>25.928531061487995</v>
      </c>
      <c r="F66" s="71">
        <f t="shared" si="5"/>
        <v>0.55641938235549604</v>
      </c>
      <c r="G66" s="312">
        <f t="shared" si="6"/>
        <v>0</v>
      </c>
      <c r="H66" s="312">
        <f t="shared" si="7"/>
        <v>0</v>
      </c>
      <c r="I66" s="312">
        <f t="shared" si="8"/>
        <v>0</v>
      </c>
      <c r="J66" s="312">
        <f t="shared" si="9"/>
        <v>0</v>
      </c>
      <c r="K66" s="313">
        <f t="shared" si="10"/>
        <v>0</v>
      </c>
      <c r="L66" s="66">
        <f>K66*D66*'B) D RI'!S68</f>
        <v>0</v>
      </c>
      <c r="M66" s="19">
        <f>(('B) D RI'!S68*C66)-(L66*$M$4))/'B) D RI'!S68</f>
        <v>22272.608181818188</v>
      </c>
      <c r="N66" s="302">
        <f t="shared" si="11"/>
        <v>25.928531061487995</v>
      </c>
      <c r="O66" s="71">
        <f t="shared" si="12"/>
        <v>0.57223518692136477</v>
      </c>
      <c r="R66" s="17"/>
    </row>
    <row r="67" spans="1:18" x14ac:dyDescent="0.25">
      <c r="A67" s="355">
        <f>'A) Base RI'!A69</f>
        <v>5498</v>
      </c>
      <c r="B67" s="40" t="str">
        <f>'A) Base RI'!B69</f>
        <v>La Sarraz</v>
      </c>
      <c r="C67" s="353">
        <f>'B) D RI'!U69</f>
        <v>73804.61909090908</v>
      </c>
      <c r="D67" s="40">
        <f>'B) D RI'!AA69</f>
        <v>2567</v>
      </c>
      <c r="E67" s="231">
        <f t="shared" si="4"/>
        <v>28.751312462372059</v>
      </c>
      <c r="F67" s="71">
        <f t="shared" si="5"/>
        <v>0.61699552065965935</v>
      </c>
      <c r="G67" s="312">
        <f t="shared" si="6"/>
        <v>0</v>
      </c>
      <c r="H67" s="312">
        <f t="shared" si="7"/>
        <v>0</v>
      </c>
      <c r="I67" s="312">
        <f t="shared" si="8"/>
        <v>0</v>
      </c>
      <c r="J67" s="312">
        <f t="shared" si="9"/>
        <v>0</v>
      </c>
      <c r="K67" s="313">
        <f t="shared" si="10"/>
        <v>0</v>
      </c>
      <c r="L67" s="66">
        <f>K67*D67*'B) D RI'!S69</f>
        <v>0</v>
      </c>
      <c r="M67" s="19">
        <f>(('B) D RI'!S69*C67)-(L67*$M$4))/'B) D RI'!S69</f>
        <v>73804.61909090908</v>
      </c>
      <c r="N67" s="302">
        <f t="shared" si="11"/>
        <v>28.751312462372059</v>
      </c>
      <c r="O67" s="71">
        <f t="shared" si="12"/>
        <v>0.63453315662672405</v>
      </c>
      <c r="R67" s="17"/>
    </row>
    <row r="68" spans="1:18" x14ac:dyDescent="0.25">
      <c r="A68" s="355">
        <f>'A) Base RI'!A70</f>
        <v>5499</v>
      </c>
      <c r="B68" s="40" t="str">
        <f>'A) Base RI'!B70</f>
        <v>Senarclens</v>
      </c>
      <c r="C68" s="353">
        <f>'B) D RI'!U70</f>
        <v>18585.936788321167</v>
      </c>
      <c r="D68" s="40">
        <f>'B) D RI'!AA70</f>
        <v>459</v>
      </c>
      <c r="E68" s="231">
        <f t="shared" si="4"/>
        <v>40.492237011592955</v>
      </c>
      <c r="F68" s="71">
        <f t="shared" si="5"/>
        <v>0.86895263965215586</v>
      </c>
      <c r="G68" s="312">
        <f t="shared" si="6"/>
        <v>0</v>
      </c>
      <c r="H68" s="312">
        <f t="shared" si="7"/>
        <v>0</v>
      </c>
      <c r="I68" s="312">
        <f t="shared" si="8"/>
        <v>0</v>
      </c>
      <c r="J68" s="312">
        <f t="shared" si="9"/>
        <v>0</v>
      </c>
      <c r="K68" s="313">
        <f t="shared" si="10"/>
        <v>0</v>
      </c>
      <c r="L68" s="66">
        <f>K68*D68*'B) D RI'!S70</f>
        <v>0</v>
      </c>
      <c r="M68" s="19">
        <f>(('B) D RI'!S70*C68)-(L68*$M$4))/'B) D RI'!S70</f>
        <v>18585.936788321167</v>
      </c>
      <c r="N68" s="302">
        <f t="shared" si="11"/>
        <v>40.492237011592955</v>
      </c>
      <c r="O68" s="71">
        <f t="shared" si="12"/>
        <v>0.89365196818301174</v>
      </c>
      <c r="R68" s="17"/>
    </row>
    <row r="69" spans="1:18" x14ac:dyDescent="0.25">
      <c r="A69" s="355">
        <f>'A) Base RI'!A71</f>
        <v>5500</v>
      </c>
      <c r="B69" s="40" t="str">
        <f>'A) Base RI'!B71</f>
        <v>Sévery</v>
      </c>
      <c r="C69" s="353">
        <f>'B) D RI'!U71</f>
        <v>8028.7526973684207</v>
      </c>
      <c r="D69" s="40">
        <f>'B) D RI'!AA71</f>
        <v>243</v>
      </c>
      <c r="E69" s="231">
        <f t="shared" si="4"/>
        <v>33.040134557071688</v>
      </c>
      <c r="F69" s="71">
        <f t="shared" si="5"/>
        <v>0.7090325024426305</v>
      </c>
      <c r="G69" s="312">
        <f t="shared" si="6"/>
        <v>0</v>
      </c>
      <c r="H69" s="312">
        <f t="shared" si="7"/>
        <v>0</v>
      </c>
      <c r="I69" s="312">
        <f t="shared" si="8"/>
        <v>0</v>
      </c>
      <c r="J69" s="312">
        <f t="shared" si="9"/>
        <v>0</v>
      </c>
      <c r="K69" s="313">
        <f t="shared" si="10"/>
        <v>0</v>
      </c>
      <c r="L69" s="66">
        <f>K69*D69*'B) D RI'!S71</f>
        <v>0</v>
      </c>
      <c r="M69" s="19">
        <f>(('B) D RI'!S71*C69)-(L69*$M$4))/'B) D RI'!S71</f>
        <v>8028.7526973684207</v>
      </c>
      <c r="N69" s="302">
        <f t="shared" si="11"/>
        <v>33.040134557071688</v>
      </c>
      <c r="O69" s="71">
        <f t="shared" si="12"/>
        <v>0.72918622074412021</v>
      </c>
      <c r="R69" s="17"/>
    </row>
    <row r="70" spans="1:18" x14ac:dyDescent="0.25">
      <c r="A70" s="355">
        <f>'A) Base RI'!A72</f>
        <v>5501</v>
      </c>
      <c r="B70" s="40" t="str">
        <f>'A) Base RI'!B72</f>
        <v>Sullens</v>
      </c>
      <c r="C70" s="353">
        <f>'B) D RI'!U72</f>
        <v>35737.650142857143</v>
      </c>
      <c r="D70" s="40">
        <f>'B) D RI'!AA72</f>
        <v>978</v>
      </c>
      <c r="E70" s="231">
        <f t="shared" ref="E70:E133" si="13">C70/D70</f>
        <v>36.541564563248613</v>
      </c>
      <c r="F70" s="71">
        <f t="shared" ref="F70:F133" si="14">E70/$E$314</f>
        <v>0.78417225936822621</v>
      </c>
      <c r="G70" s="312">
        <f t="shared" ref="G70:G133" si="15">IF(E70-$G$2&lt;0,0,E70-$G$2)</f>
        <v>0</v>
      </c>
      <c r="H70" s="312">
        <f t="shared" ref="H70:H133" si="16">IF(E70-$H$2&lt;0,0,E70-$H$2)</f>
        <v>0</v>
      </c>
      <c r="I70" s="312">
        <f t="shared" ref="I70:I133" si="17">IF(E70-$I$2&lt;0,0,E70-$I$2)</f>
        <v>0</v>
      </c>
      <c r="J70" s="312">
        <f t="shared" ref="J70:J133" si="18">IF(E70-$J$2&lt;0,0,E70-$J$2)</f>
        <v>0</v>
      </c>
      <c r="K70" s="313">
        <f t="shared" ref="K70:K133" si="19">(G70-H70)*$G$3+(H70-I70)*$H$3+(I70-J70)*$I$3+(J70*$J$3)</f>
        <v>0</v>
      </c>
      <c r="L70" s="66">
        <f>K70*D70*'B) D RI'!S72</f>
        <v>0</v>
      </c>
      <c r="M70" s="19">
        <f>(('B) D RI'!S72*C70)-(L70*$M$4))/'B) D RI'!S72</f>
        <v>35737.650142857143</v>
      </c>
      <c r="N70" s="302">
        <f t="shared" ref="N70:N133" si="20">M70/D70</f>
        <v>36.541564563248613</v>
      </c>
      <c r="O70" s="71">
        <f t="shared" ref="O70:O133" si="21">N70/N$314</f>
        <v>0.80646176903203548</v>
      </c>
      <c r="R70" s="17"/>
    </row>
    <row r="71" spans="1:18" x14ac:dyDescent="0.25">
      <c r="A71" s="355">
        <f>'A) Base RI'!A73</f>
        <v>5503</v>
      </c>
      <c r="B71" s="40" t="str">
        <f>'A) Base RI'!B73</f>
        <v>Vufflens-la-Ville</v>
      </c>
      <c r="C71" s="353">
        <f>'B) D RI'!U73</f>
        <v>64927.66542288557</v>
      </c>
      <c r="D71" s="40">
        <f>'B) D RI'!AA73</f>
        <v>1252</v>
      </c>
      <c r="E71" s="231">
        <f t="shared" si="13"/>
        <v>51.859157686010839</v>
      </c>
      <c r="F71" s="71">
        <f t="shared" si="14"/>
        <v>1.1128837349365237</v>
      </c>
      <c r="G71" s="312">
        <f t="shared" si="15"/>
        <v>0</v>
      </c>
      <c r="H71" s="312">
        <f t="shared" si="16"/>
        <v>0</v>
      </c>
      <c r="I71" s="312">
        <f t="shared" si="17"/>
        <v>0</v>
      </c>
      <c r="J71" s="312">
        <f t="shared" si="18"/>
        <v>0</v>
      </c>
      <c r="K71" s="313">
        <f t="shared" si="19"/>
        <v>0</v>
      </c>
      <c r="L71" s="66">
        <f>K71*D71*'B) D RI'!S73</f>
        <v>0</v>
      </c>
      <c r="M71" s="19">
        <f>(('B) D RI'!S73*C71)-(L71*$M$4))/'B) D RI'!S73</f>
        <v>64927.66542288557</v>
      </c>
      <c r="N71" s="302">
        <f t="shared" si="20"/>
        <v>51.859157686010839</v>
      </c>
      <c r="O71" s="71">
        <f t="shared" si="21"/>
        <v>1.1445166223132699</v>
      </c>
      <c r="R71" s="17"/>
    </row>
    <row r="72" spans="1:18" x14ac:dyDescent="0.25">
      <c r="A72" s="355">
        <f>'A) Base RI'!A74</f>
        <v>5511</v>
      </c>
      <c r="B72" s="40" t="str">
        <f>'A) Base RI'!B74</f>
        <v>Assens</v>
      </c>
      <c r="C72" s="353">
        <f>'B) D RI'!U74</f>
        <v>39993.346428571429</v>
      </c>
      <c r="D72" s="40">
        <f>'B) D RI'!AA74</f>
        <v>1060</v>
      </c>
      <c r="E72" s="231">
        <f t="shared" si="13"/>
        <v>37.729572102425877</v>
      </c>
      <c r="F72" s="71">
        <f t="shared" si="14"/>
        <v>0.80966658527566349</v>
      </c>
      <c r="G72" s="312">
        <f t="shared" si="15"/>
        <v>0</v>
      </c>
      <c r="H72" s="312">
        <f t="shared" si="16"/>
        <v>0</v>
      </c>
      <c r="I72" s="312">
        <f t="shared" si="17"/>
        <v>0</v>
      </c>
      <c r="J72" s="312">
        <f t="shared" si="18"/>
        <v>0</v>
      </c>
      <c r="K72" s="313">
        <f t="shared" si="19"/>
        <v>0</v>
      </c>
      <c r="L72" s="66">
        <f>K72*D72*'B) D RI'!S74</f>
        <v>0</v>
      </c>
      <c r="M72" s="19">
        <f>(('B) D RI'!S74*C72)-(L72*$M$4))/'B) D RI'!S74</f>
        <v>39993.346428571429</v>
      </c>
      <c r="N72" s="302">
        <f t="shared" si="20"/>
        <v>37.729572102425877</v>
      </c>
      <c r="O72" s="71">
        <f t="shared" si="21"/>
        <v>0.83268075207557701</v>
      </c>
      <c r="R72" s="17"/>
    </row>
    <row r="73" spans="1:18" x14ac:dyDescent="0.25">
      <c r="A73" s="355">
        <f>'A) Base RI'!A75</f>
        <v>5512</v>
      </c>
      <c r="B73" s="40" t="str">
        <f>'A) Base RI'!B75</f>
        <v>Bercher</v>
      </c>
      <c r="C73" s="353">
        <f>'B) D RI'!U75</f>
        <v>35096.262278481016</v>
      </c>
      <c r="D73" s="40">
        <f>'B) D RI'!AA75</f>
        <v>1157</v>
      </c>
      <c r="E73" s="231">
        <f t="shared" si="13"/>
        <v>30.333848123146947</v>
      </c>
      <c r="F73" s="71">
        <f t="shared" si="14"/>
        <v>0.65095631515417696</v>
      </c>
      <c r="G73" s="312">
        <f t="shared" si="15"/>
        <v>0</v>
      </c>
      <c r="H73" s="312">
        <f t="shared" si="16"/>
        <v>0</v>
      </c>
      <c r="I73" s="312">
        <f t="shared" si="17"/>
        <v>0</v>
      </c>
      <c r="J73" s="312">
        <f t="shared" si="18"/>
        <v>0</v>
      </c>
      <c r="K73" s="313">
        <f t="shared" si="19"/>
        <v>0</v>
      </c>
      <c r="L73" s="66">
        <f>K73*D73*'B) D RI'!S75</f>
        <v>0</v>
      </c>
      <c r="M73" s="19">
        <f>(('B) D RI'!S75*C73)-(L73*$M$4))/'B) D RI'!S75</f>
        <v>35096.262278481016</v>
      </c>
      <c r="N73" s="302">
        <f t="shared" si="20"/>
        <v>30.333848123146947</v>
      </c>
      <c r="O73" s="71">
        <f t="shared" si="21"/>
        <v>0.6694592612913387</v>
      </c>
      <c r="R73" s="17"/>
    </row>
    <row r="74" spans="1:18" x14ac:dyDescent="0.25">
      <c r="A74" s="355">
        <f>'A) Base RI'!A76</f>
        <v>5513</v>
      </c>
      <c r="B74" s="40" t="str">
        <f>'A) Base RI'!B76</f>
        <v>Bioley-Orjulaz</v>
      </c>
      <c r="C74" s="353">
        <f>'B) D RI'!U76</f>
        <v>22441.228030303031</v>
      </c>
      <c r="D74" s="40">
        <f>'B) D RI'!AA76</f>
        <v>483</v>
      </c>
      <c r="E74" s="231">
        <f t="shared" si="13"/>
        <v>46.462169834995926</v>
      </c>
      <c r="F74" s="71">
        <f t="shared" si="14"/>
        <v>0.99706581067693401</v>
      </c>
      <c r="G74" s="312">
        <f t="shared" si="15"/>
        <v>0</v>
      </c>
      <c r="H74" s="312">
        <f t="shared" si="16"/>
        <v>0</v>
      </c>
      <c r="I74" s="312">
        <f t="shared" si="17"/>
        <v>0</v>
      </c>
      <c r="J74" s="312">
        <f t="shared" si="18"/>
        <v>0</v>
      </c>
      <c r="K74" s="313">
        <f t="shared" si="19"/>
        <v>0</v>
      </c>
      <c r="L74" s="66">
        <f>K74*D74*'B) D RI'!S76</f>
        <v>0</v>
      </c>
      <c r="M74" s="19">
        <f>(('B) D RI'!S76*C74)-(L74*$M$4))/'B) D RI'!S76</f>
        <v>22441.228030303031</v>
      </c>
      <c r="N74" s="302">
        <f t="shared" si="20"/>
        <v>46.462169834995926</v>
      </c>
      <c r="O74" s="71">
        <f t="shared" si="21"/>
        <v>1.0254066602250198</v>
      </c>
      <c r="R74" s="17"/>
    </row>
    <row r="75" spans="1:18" x14ac:dyDescent="0.25">
      <c r="A75" s="355">
        <f>'A) Base RI'!A77</f>
        <v>5514</v>
      </c>
      <c r="B75" s="40" t="str">
        <f>'A) Base RI'!B77</f>
        <v>Bottens</v>
      </c>
      <c r="C75" s="353">
        <f>'B) D RI'!U77</f>
        <v>40579.944927536235</v>
      </c>
      <c r="D75" s="40">
        <f>'B) D RI'!AA77</f>
        <v>1240</v>
      </c>
      <c r="E75" s="231">
        <f t="shared" si="13"/>
        <v>32.725762038335674</v>
      </c>
      <c r="F75" s="71">
        <f t="shared" si="14"/>
        <v>0.70228615178011844</v>
      </c>
      <c r="G75" s="312">
        <f t="shared" si="15"/>
        <v>0</v>
      </c>
      <c r="H75" s="312">
        <f t="shared" si="16"/>
        <v>0</v>
      </c>
      <c r="I75" s="312">
        <f t="shared" si="17"/>
        <v>0</v>
      </c>
      <c r="J75" s="312">
        <f t="shared" si="18"/>
        <v>0</v>
      </c>
      <c r="K75" s="313">
        <f t="shared" si="19"/>
        <v>0</v>
      </c>
      <c r="L75" s="66">
        <f>K75*D75*'B) D RI'!S77</f>
        <v>0</v>
      </c>
      <c r="M75" s="19">
        <f>(('B) D RI'!S77*C75)-(L75*$M$4))/'B) D RI'!S77</f>
        <v>40579.944927536235</v>
      </c>
      <c r="N75" s="302">
        <f t="shared" si="20"/>
        <v>32.725762038335674</v>
      </c>
      <c r="O75" s="71">
        <f t="shared" si="21"/>
        <v>0.72224811011242906</v>
      </c>
      <c r="R75" s="17"/>
    </row>
    <row r="76" spans="1:18" x14ac:dyDescent="0.25">
      <c r="A76" s="355">
        <f>'A) Base RI'!A78</f>
        <v>5515</v>
      </c>
      <c r="B76" s="40" t="str">
        <f>'A) Base RI'!B78</f>
        <v>Bretigny-sur-Morrens</v>
      </c>
      <c r="C76" s="353">
        <f>'B) D RI'!U78</f>
        <v>25654.980410958906</v>
      </c>
      <c r="D76" s="40">
        <f>'B) D RI'!AA78</f>
        <v>817</v>
      </c>
      <c r="E76" s="231">
        <f t="shared" si="13"/>
        <v>31.40144481145521</v>
      </c>
      <c r="F76" s="71">
        <f t="shared" si="14"/>
        <v>0.67386665621841024</v>
      </c>
      <c r="G76" s="312">
        <f t="shared" si="15"/>
        <v>0</v>
      </c>
      <c r="H76" s="312">
        <f t="shared" si="16"/>
        <v>0</v>
      </c>
      <c r="I76" s="312">
        <f t="shared" si="17"/>
        <v>0</v>
      </c>
      <c r="J76" s="312">
        <f t="shared" si="18"/>
        <v>0</v>
      </c>
      <c r="K76" s="313">
        <f t="shared" si="19"/>
        <v>0</v>
      </c>
      <c r="L76" s="66">
        <f>K76*D76*'B) D RI'!S78</f>
        <v>0</v>
      </c>
      <c r="M76" s="19">
        <f>(('B) D RI'!S78*C76)-(L76*$M$4))/'B) D RI'!S78</f>
        <v>25654.980410958906</v>
      </c>
      <c r="N76" s="302">
        <f t="shared" si="20"/>
        <v>31.40144481145521</v>
      </c>
      <c r="O76" s="71">
        <f t="shared" si="21"/>
        <v>0.6930208116561456</v>
      </c>
      <c r="R76" s="17"/>
    </row>
    <row r="77" spans="1:18" x14ac:dyDescent="0.25">
      <c r="A77" s="355">
        <f>'A) Base RI'!A79</f>
        <v>5516</v>
      </c>
      <c r="B77" s="40" t="str">
        <f>'A) Base RI'!B79</f>
        <v>Cugy</v>
      </c>
      <c r="C77" s="353">
        <f>'B) D RI'!U79</f>
        <v>107712.55485714282</v>
      </c>
      <c r="D77" s="40">
        <f>'B) D RI'!AA79</f>
        <v>2739</v>
      </c>
      <c r="E77" s="231">
        <f t="shared" si="13"/>
        <v>39.325503781359188</v>
      </c>
      <c r="F77" s="71">
        <f t="shared" si="14"/>
        <v>0.8439148547579487</v>
      </c>
      <c r="G77" s="312">
        <f t="shared" si="15"/>
        <v>0</v>
      </c>
      <c r="H77" s="312">
        <f t="shared" si="16"/>
        <v>0</v>
      </c>
      <c r="I77" s="312">
        <f t="shared" si="17"/>
        <v>0</v>
      </c>
      <c r="J77" s="312">
        <f t="shared" si="18"/>
        <v>0</v>
      </c>
      <c r="K77" s="313">
        <f t="shared" si="19"/>
        <v>0</v>
      </c>
      <c r="L77" s="66">
        <f>K77*D77*'B) D RI'!S79</f>
        <v>0</v>
      </c>
      <c r="M77" s="19">
        <f>(('B) D RI'!S79*C77)-(L77*$M$4))/'B) D RI'!S79</f>
        <v>107712.55485714282</v>
      </c>
      <c r="N77" s="302">
        <f t="shared" si="20"/>
        <v>39.325503781359188</v>
      </c>
      <c r="O77" s="71">
        <f t="shared" si="21"/>
        <v>0.86790250298936444</v>
      </c>
      <c r="R77" s="17"/>
    </row>
    <row r="78" spans="1:18" x14ac:dyDescent="0.25">
      <c r="A78" s="355">
        <f>'A) Base RI'!A80</f>
        <v>5518</v>
      </c>
      <c r="B78" s="40" t="str">
        <f>'A) Base RI'!B80</f>
        <v>Echallens</v>
      </c>
      <c r="C78" s="353">
        <f>'B) D RI'!U80</f>
        <v>187267.45324324328</v>
      </c>
      <c r="D78" s="40">
        <f>'B) D RI'!AA80</f>
        <v>5677</v>
      </c>
      <c r="E78" s="231">
        <f t="shared" si="13"/>
        <v>32.987044784788317</v>
      </c>
      <c r="F78" s="71">
        <f t="shared" si="14"/>
        <v>0.70789321004564687</v>
      </c>
      <c r="G78" s="312">
        <f t="shared" si="15"/>
        <v>0</v>
      </c>
      <c r="H78" s="312">
        <f t="shared" si="16"/>
        <v>0</v>
      </c>
      <c r="I78" s="312">
        <f t="shared" si="17"/>
        <v>0</v>
      </c>
      <c r="J78" s="312">
        <f t="shared" si="18"/>
        <v>0</v>
      </c>
      <c r="K78" s="313">
        <f t="shared" si="19"/>
        <v>0</v>
      </c>
      <c r="L78" s="66">
        <f>K78*D78*'B) D RI'!S80</f>
        <v>0</v>
      </c>
      <c r="M78" s="19">
        <f>(('B) D RI'!S80*C78)-(L78*$M$4))/'B) D RI'!S80</f>
        <v>187267.45324324328</v>
      </c>
      <c r="N78" s="302">
        <f t="shared" si="20"/>
        <v>32.987044784788317</v>
      </c>
      <c r="O78" s="71">
        <f t="shared" si="21"/>
        <v>0.72801454481330308</v>
      </c>
      <c r="R78" s="17"/>
    </row>
    <row r="79" spans="1:18" x14ac:dyDescent="0.25">
      <c r="A79" s="355">
        <f>'A) Base RI'!A81</f>
        <v>5520</v>
      </c>
      <c r="B79" s="40" t="str">
        <f>'A) Base RI'!B81</f>
        <v>Essertines-sur-Yverdon</v>
      </c>
      <c r="C79" s="353">
        <f>'B) D RI'!U81</f>
        <v>28096.496575342466</v>
      </c>
      <c r="D79" s="40">
        <f>'B) D RI'!AA81</f>
        <v>943</v>
      </c>
      <c r="E79" s="231">
        <f t="shared" si="13"/>
        <v>29.79480018594111</v>
      </c>
      <c r="F79" s="71">
        <f t="shared" si="14"/>
        <v>0.6393884897510026</v>
      </c>
      <c r="G79" s="312">
        <f t="shared" si="15"/>
        <v>0</v>
      </c>
      <c r="H79" s="312">
        <f t="shared" si="16"/>
        <v>0</v>
      </c>
      <c r="I79" s="312">
        <f t="shared" si="17"/>
        <v>0</v>
      </c>
      <c r="J79" s="312">
        <f t="shared" si="18"/>
        <v>0</v>
      </c>
      <c r="K79" s="313">
        <f t="shared" si="19"/>
        <v>0</v>
      </c>
      <c r="L79" s="66">
        <f>K79*D79*'B) D RI'!S81</f>
        <v>0</v>
      </c>
      <c r="M79" s="19">
        <f>(('B) D RI'!S81*C79)-(L79*$M$4))/'B) D RI'!S81</f>
        <v>28096.496575342466</v>
      </c>
      <c r="N79" s="302">
        <f t="shared" si="20"/>
        <v>29.79480018594111</v>
      </c>
      <c r="O79" s="71">
        <f t="shared" si="21"/>
        <v>0.65756262910746921</v>
      </c>
      <c r="R79" s="17"/>
    </row>
    <row r="80" spans="1:18" x14ac:dyDescent="0.25">
      <c r="A80" s="355">
        <f>'A) Base RI'!A82</f>
        <v>5521</v>
      </c>
      <c r="B80" s="40" t="str">
        <f>'A) Base RI'!B82</f>
        <v>Etagnières</v>
      </c>
      <c r="C80" s="353">
        <f>'B) D RI'!U82</f>
        <v>40658.047260273968</v>
      </c>
      <c r="D80" s="40">
        <f>'B) D RI'!AA82</f>
        <v>1118</v>
      </c>
      <c r="E80" s="231">
        <f t="shared" si="13"/>
        <v>36.366768569118037</v>
      </c>
      <c r="F80" s="71">
        <f t="shared" si="14"/>
        <v>0.78042118381127679</v>
      </c>
      <c r="G80" s="312">
        <f t="shared" si="15"/>
        <v>0</v>
      </c>
      <c r="H80" s="312">
        <f t="shared" si="16"/>
        <v>0</v>
      </c>
      <c r="I80" s="312">
        <f t="shared" si="17"/>
        <v>0</v>
      </c>
      <c r="J80" s="312">
        <f t="shared" si="18"/>
        <v>0</v>
      </c>
      <c r="K80" s="313">
        <f t="shared" si="19"/>
        <v>0</v>
      </c>
      <c r="L80" s="66">
        <f>K80*D80*'B) D RI'!S82</f>
        <v>0</v>
      </c>
      <c r="M80" s="19">
        <f>(('B) D RI'!S82*C80)-(L80*$M$4))/'B) D RI'!S82</f>
        <v>40658.047260273968</v>
      </c>
      <c r="N80" s="302">
        <f t="shared" si="20"/>
        <v>36.366768569118037</v>
      </c>
      <c r="O80" s="71">
        <f t="shared" si="21"/>
        <v>0.80260407195937011</v>
      </c>
      <c r="R80" s="17"/>
    </row>
    <row r="81" spans="1:18" x14ac:dyDescent="0.25">
      <c r="A81" s="355">
        <f>'A) Base RI'!A83</f>
        <v>5522</v>
      </c>
      <c r="B81" s="40" t="str">
        <f>'A) Base RI'!B83</f>
        <v>Fey</v>
      </c>
      <c r="C81" s="353">
        <f>'B) D RI'!U83</f>
        <v>19109.159333333333</v>
      </c>
      <c r="D81" s="40">
        <f>'B) D RI'!AA83</f>
        <v>696</v>
      </c>
      <c r="E81" s="231">
        <f t="shared" si="13"/>
        <v>27.455688697318006</v>
      </c>
      <c r="F81" s="71">
        <f t="shared" si="14"/>
        <v>0.58919177915934529</v>
      </c>
      <c r="G81" s="312">
        <f t="shared" si="15"/>
        <v>0</v>
      </c>
      <c r="H81" s="312">
        <f t="shared" si="16"/>
        <v>0</v>
      </c>
      <c r="I81" s="312">
        <f t="shared" si="17"/>
        <v>0</v>
      </c>
      <c r="J81" s="312">
        <f t="shared" si="18"/>
        <v>0</v>
      </c>
      <c r="K81" s="313">
        <f t="shared" si="19"/>
        <v>0</v>
      </c>
      <c r="L81" s="66">
        <f>K81*D81*'B) D RI'!S83</f>
        <v>0</v>
      </c>
      <c r="M81" s="19">
        <f>(('B) D RI'!S83*C81)-(L81*$M$4))/'B) D RI'!S83</f>
        <v>19109.159333333333</v>
      </c>
      <c r="N81" s="302">
        <f t="shared" si="20"/>
        <v>27.455688697318006</v>
      </c>
      <c r="O81" s="71">
        <f t="shared" si="21"/>
        <v>0.60593911458025107</v>
      </c>
      <c r="R81" s="17"/>
    </row>
    <row r="82" spans="1:18" x14ac:dyDescent="0.25">
      <c r="A82" s="355">
        <f>'A) Base RI'!A84</f>
        <v>5523</v>
      </c>
      <c r="B82" s="40" t="str">
        <f>'A) Base RI'!B84</f>
        <v>Froideville</v>
      </c>
      <c r="C82" s="353">
        <f>'B) D RI'!U84</f>
        <v>77198.057236842113</v>
      </c>
      <c r="D82" s="40">
        <f>'B) D RI'!AA84</f>
        <v>2459</v>
      </c>
      <c r="E82" s="231">
        <f t="shared" si="13"/>
        <v>31.394085903555151</v>
      </c>
      <c r="F82" s="71">
        <f t="shared" si="14"/>
        <v>0.67370873601155967</v>
      </c>
      <c r="G82" s="312">
        <f t="shared" si="15"/>
        <v>0</v>
      </c>
      <c r="H82" s="312">
        <f t="shared" si="16"/>
        <v>0</v>
      </c>
      <c r="I82" s="312">
        <f t="shared" si="17"/>
        <v>0</v>
      </c>
      <c r="J82" s="312">
        <f t="shared" si="18"/>
        <v>0</v>
      </c>
      <c r="K82" s="313">
        <f t="shared" si="19"/>
        <v>0</v>
      </c>
      <c r="L82" s="66">
        <f>K82*D82*'B) D RI'!S84</f>
        <v>0</v>
      </c>
      <c r="M82" s="19">
        <f>(('B) D RI'!S84*C82)-(L82*$M$4))/'B) D RI'!S84</f>
        <v>77198.057236842113</v>
      </c>
      <c r="N82" s="302">
        <f t="shared" si="20"/>
        <v>31.394085903555151</v>
      </c>
      <c r="O82" s="71">
        <f t="shared" si="21"/>
        <v>0.69285840268558951</v>
      </c>
      <c r="R82" s="17"/>
    </row>
    <row r="83" spans="1:18" x14ac:dyDescent="0.25">
      <c r="A83" s="355">
        <f>'A) Base RI'!A85</f>
        <v>5527</v>
      </c>
      <c r="B83" s="40" t="str">
        <f>'A) Base RI'!B85</f>
        <v>Morrens</v>
      </c>
      <c r="C83" s="353">
        <f>'B) D RI'!U85</f>
        <v>37560.717323943667</v>
      </c>
      <c r="D83" s="40">
        <f>'B) D RI'!AA85</f>
        <v>1074</v>
      </c>
      <c r="E83" s="231">
        <f t="shared" si="13"/>
        <v>34.972734938495037</v>
      </c>
      <c r="F83" s="71">
        <f t="shared" si="14"/>
        <v>0.75050559276238216</v>
      </c>
      <c r="G83" s="312">
        <f t="shared" si="15"/>
        <v>0</v>
      </c>
      <c r="H83" s="312">
        <f t="shared" si="16"/>
        <v>0</v>
      </c>
      <c r="I83" s="312">
        <f t="shared" si="17"/>
        <v>0</v>
      </c>
      <c r="J83" s="312">
        <f t="shared" si="18"/>
        <v>0</v>
      </c>
      <c r="K83" s="313">
        <f t="shared" si="19"/>
        <v>0</v>
      </c>
      <c r="L83" s="66">
        <f>K83*D83*'B) D RI'!S85</f>
        <v>0</v>
      </c>
      <c r="M83" s="19">
        <f>(('B) D RI'!S85*C83)-(L83*$M$4))/'B) D RI'!S85</f>
        <v>37560.717323943667</v>
      </c>
      <c r="N83" s="302">
        <f t="shared" si="20"/>
        <v>34.972734938495037</v>
      </c>
      <c r="O83" s="71">
        <f t="shared" si="21"/>
        <v>0.77183815262122923</v>
      </c>
      <c r="R83" s="17"/>
    </row>
    <row r="84" spans="1:18" x14ac:dyDescent="0.25">
      <c r="A84" s="355">
        <f>'A) Base RI'!A86</f>
        <v>5529</v>
      </c>
      <c r="B84" s="40" t="str">
        <f>'A) Base RI'!B86</f>
        <v>Oulens-sous-Echallens</v>
      </c>
      <c r="C84" s="353">
        <f>'B) D RI'!U86</f>
        <v>19874.862394366199</v>
      </c>
      <c r="D84" s="40">
        <f>'B) D RI'!AA86</f>
        <v>560</v>
      </c>
      <c r="E84" s="231">
        <f t="shared" si="13"/>
        <v>35.490825704225358</v>
      </c>
      <c r="F84" s="71">
        <f t="shared" si="14"/>
        <v>0.76162368283806448</v>
      </c>
      <c r="G84" s="312">
        <f t="shared" si="15"/>
        <v>0</v>
      </c>
      <c r="H84" s="312">
        <f t="shared" si="16"/>
        <v>0</v>
      </c>
      <c r="I84" s="312">
        <f t="shared" si="17"/>
        <v>0</v>
      </c>
      <c r="J84" s="312">
        <f t="shared" si="18"/>
        <v>0</v>
      </c>
      <c r="K84" s="313">
        <f t="shared" si="19"/>
        <v>0</v>
      </c>
      <c r="L84" s="66">
        <f>K84*D84*'B) D RI'!S86</f>
        <v>0</v>
      </c>
      <c r="M84" s="19">
        <f>(('B) D RI'!S86*C84)-(L84*$M$4))/'B) D RI'!S86</f>
        <v>19874.862394366199</v>
      </c>
      <c r="N84" s="302">
        <f t="shared" si="20"/>
        <v>35.490825704225358</v>
      </c>
      <c r="O84" s="71">
        <f t="shared" si="21"/>
        <v>0.78327226608746692</v>
      </c>
      <c r="R84" s="17"/>
    </row>
    <row r="85" spans="1:18" x14ac:dyDescent="0.25">
      <c r="A85" s="355">
        <f>'A) Base RI'!A87</f>
        <v>5530</v>
      </c>
      <c r="B85" s="40" t="str">
        <f>'A) Base RI'!B87</f>
        <v>Pailly</v>
      </c>
      <c r="C85" s="353">
        <f>'B) D RI'!U87</f>
        <v>15272.027655913982</v>
      </c>
      <c r="D85" s="40">
        <f>'B) D RI'!AA87</f>
        <v>534</v>
      </c>
      <c r="E85" s="231">
        <f t="shared" si="13"/>
        <v>28.599302726430679</v>
      </c>
      <c r="F85" s="71">
        <f t="shared" si="14"/>
        <v>0.61373343214473564</v>
      </c>
      <c r="G85" s="312">
        <f t="shared" si="15"/>
        <v>0</v>
      </c>
      <c r="H85" s="312">
        <f t="shared" si="16"/>
        <v>0</v>
      </c>
      <c r="I85" s="312">
        <f t="shared" si="17"/>
        <v>0</v>
      </c>
      <c r="J85" s="312">
        <f t="shared" si="18"/>
        <v>0</v>
      </c>
      <c r="K85" s="313">
        <f t="shared" si="19"/>
        <v>0</v>
      </c>
      <c r="L85" s="66">
        <f>K85*D85*'B) D RI'!S87</f>
        <v>0</v>
      </c>
      <c r="M85" s="19">
        <f>(('B) D RI'!S87*C85)-(L85*$M$4))/'B) D RI'!S87</f>
        <v>15272.027655913982</v>
      </c>
      <c r="N85" s="302">
        <f t="shared" si="20"/>
        <v>28.599302726430679</v>
      </c>
      <c r="O85" s="71">
        <f t="shared" si="21"/>
        <v>0.63117834568683684</v>
      </c>
      <c r="R85" s="17"/>
    </row>
    <row r="86" spans="1:18" x14ac:dyDescent="0.25">
      <c r="A86" s="355">
        <f>'A) Base RI'!A88</f>
        <v>5531</v>
      </c>
      <c r="B86" s="40" t="str">
        <f>'A) Base RI'!B88</f>
        <v>Penthéréaz</v>
      </c>
      <c r="C86" s="353">
        <f>'B) D RI'!U88</f>
        <v>12101.700128205126</v>
      </c>
      <c r="D86" s="40">
        <f>'B) D RI'!AA88</f>
        <v>411</v>
      </c>
      <c r="E86" s="231">
        <f t="shared" si="13"/>
        <v>29.444525859379869</v>
      </c>
      <c r="F86" s="71">
        <f t="shared" si="14"/>
        <v>0.63187169583861325</v>
      </c>
      <c r="G86" s="312">
        <f t="shared" si="15"/>
        <v>0</v>
      </c>
      <c r="H86" s="312">
        <f t="shared" si="16"/>
        <v>0</v>
      </c>
      <c r="I86" s="312">
        <f t="shared" si="17"/>
        <v>0</v>
      </c>
      <c r="J86" s="312">
        <f t="shared" si="18"/>
        <v>0</v>
      </c>
      <c r="K86" s="313">
        <f t="shared" si="19"/>
        <v>0</v>
      </c>
      <c r="L86" s="66">
        <f>K86*D86*'B) D RI'!S88</f>
        <v>0</v>
      </c>
      <c r="M86" s="19">
        <f>(('B) D RI'!S88*C86)-(L86*$M$4))/'B) D RI'!S88</f>
        <v>12101.700128205126</v>
      </c>
      <c r="N86" s="302">
        <f t="shared" si="20"/>
        <v>29.444525859379869</v>
      </c>
      <c r="O86" s="71">
        <f t="shared" si="21"/>
        <v>0.64983217595305809</v>
      </c>
      <c r="R86" s="17"/>
    </row>
    <row r="87" spans="1:18" x14ac:dyDescent="0.25">
      <c r="A87" s="355">
        <f>'A) Base RI'!A89</f>
        <v>5533</v>
      </c>
      <c r="B87" s="40" t="str">
        <f>'A) Base RI'!B89</f>
        <v>Poliez-Pittet</v>
      </c>
      <c r="C87" s="353">
        <f>'B) D RI'!U89</f>
        <v>27045.170985915491</v>
      </c>
      <c r="D87" s="40">
        <f>'B) D RI'!AA89</f>
        <v>844</v>
      </c>
      <c r="E87" s="231">
        <f t="shared" si="13"/>
        <v>32.044041452506505</v>
      </c>
      <c r="F87" s="71">
        <f t="shared" si="14"/>
        <v>0.68765660927319616</v>
      </c>
      <c r="G87" s="312">
        <f t="shared" si="15"/>
        <v>0</v>
      </c>
      <c r="H87" s="312">
        <f t="shared" si="16"/>
        <v>0</v>
      </c>
      <c r="I87" s="312">
        <f t="shared" si="17"/>
        <v>0</v>
      </c>
      <c r="J87" s="312">
        <f t="shared" si="18"/>
        <v>0</v>
      </c>
      <c r="K87" s="313">
        <f t="shared" si="19"/>
        <v>0</v>
      </c>
      <c r="L87" s="66">
        <f>K87*D87*'B) D RI'!S89</f>
        <v>0</v>
      </c>
      <c r="M87" s="19">
        <f>(('B) D RI'!S89*C87)-(L87*$M$4))/'B) D RI'!S89</f>
        <v>27045.170985915491</v>
      </c>
      <c r="N87" s="302">
        <f t="shared" si="20"/>
        <v>32.044041452506505</v>
      </c>
      <c r="O87" s="71">
        <f t="shared" si="21"/>
        <v>0.70720273380726983</v>
      </c>
      <c r="R87" s="17"/>
    </row>
    <row r="88" spans="1:18" x14ac:dyDescent="0.25">
      <c r="A88" s="355">
        <f>'A) Base RI'!A90</f>
        <v>5534</v>
      </c>
      <c r="B88" s="40" t="str">
        <f>'A) Base RI'!B90</f>
        <v>Rueyres</v>
      </c>
      <c r="C88" s="353">
        <f>'B) D RI'!U90</f>
        <v>10934.157945205479</v>
      </c>
      <c r="D88" s="40">
        <f>'B) D RI'!AA90</f>
        <v>271</v>
      </c>
      <c r="E88" s="231">
        <f t="shared" si="13"/>
        <v>40.347446292271144</v>
      </c>
      <c r="F88" s="71">
        <f t="shared" si="14"/>
        <v>0.86584546931439943</v>
      </c>
      <c r="G88" s="312">
        <f t="shared" si="15"/>
        <v>0</v>
      </c>
      <c r="H88" s="312">
        <f t="shared" si="16"/>
        <v>0</v>
      </c>
      <c r="I88" s="312">
        <f t="shared" si="17"/>
        <v>0</v>
      </c>
      <c r="J88" s="312">
        <f t="shared" si="18"/>
        <v>0</v>
      </c>
      <c r="K88" s="313">
        <f t="shared" si="19"/>
        <v>0</v>
      </c>
      <c r="L88" s="66">
        <f>K88*D88*'B) D RI'!S90</f>
        <v>0</v>
      </c>
      <c r="M88" s="19">
        <f>(('B) D RI'!S90*C88)-(L88*$M$4))/'B) D RI'!S90</f>
        <v>10934.157945205479</v>
      </c>
      <c r="N88" s="302">
        <f t="shared" si="20"/>
        <v>40.347446292271144</v>
      </c>
      <c r="O88" s="71">
        <f t="shared" si="21"/>
        <v>0.89045647885355017</v>
      </c>
      <c r="R88" s="17"/>
    </row>
    <row r="89" spans="1:18" x14ac:dyDescent="0.25">
      <c r="A89" s="355">
        <f>'A) Base RI'!A91</f>
        <v>5535</v>
      </c>
      <c r="B89" s="40" t="str">
        <f>'A) Base RI'!B91</f>
        <v>Saint-Barthélemy</v>
      </c>
      <c r="C89" s="353">
        <f>'B) D RI'!U91</f>
        <v>20697.547200000001</v>
      </c>
      <c r="D89" s="40">
        <f>'B) D RI'!AA91</f>
        <v>777</v>
      </c>
      <c r="E89" s="231">
        <f t="shared" si="13"/>
        <v>26.637769884169884</v>
      </c>
      <c r="F89" s="71">
        <f t="shared" si="14"/>
        <v>0.57163945890836143</v>
      </c>
      <c r="G89" s="312">
        <f t="shared" si="15"/>
        <v>0</v>
      </c>
      <c r="H89" s="312">
        <f t="shared" si="16"/>
        <v>0</v>
      </c>
      <c r="I89" s="312">
        <f t="shared" si="17"/>
        <v>0</v>
      </c>
      <c r="J89" s="312">
        <f t="shared" si="18"/>
        <v>0</v>
      </c>
      <c r="K89" s="313">
        <f t="shared" si="19"/>
        <v>0</v>
      </c>
      <c r="L89" s="66">
        <f>K89*D89*'B) D RI'!S91</f>
        <v>0</v>
      </c>
      <c r="M89" s="19">
        <f>(('B) D RI'!S91*C89)-(L89*$M$4))/'B) D RI'!S91</f>
        <v>20697.547200000001</v>
      </c>
      <c r="N89" s="302">
        <f t="shared" si="20"/>
        <v>26.637769884169884</v>
      </c>
      <c r="O89" s="71">
        <f t="shared" si="21"/>
        <v>0.58788788276081694</v>
      </c>
      <c r="R89" s="17"/>
    </row>
    <row r="90" spans="1:18" x14ac:dyDescent="0.25">
      <c r="A90" s="355">
        <f>'A) Base RI'!A92</f>
        <v>5537</v>
      </c>
      <c r="B90" s="40" t="str">
        <f>'A) Base RI'!B92</f>
        <v>Villars-le-Terroir</v>
      </c>
      <c r="C90" s="353">
        <f>'B) D RI'!U92</f>
        <v>30041.138287671231</v>
      </c>
      <c r="D90" s="40">
        <f>'B) D RI'!AA92</f>
        <v>1066</v>
      </c>
      <c r="E90" s="231">
        <f t="shared" si="13"/>
        <v>28.181180382430799</v>
      </c>
      <c r="F90" s="71">
        <f t="shared" si="14"/>
        <v>0.6047606378184498</v>
      </c>
      <c r="G90" s="312">
        <f t="shared" si="15"/>
        <v>0</v>
      </c>
      <c r="H90" s="312">
        <f t="shared" si="16"/>
        <v>0</v>
      </c>
      <c r="I90" s="312">
        <f t="shared" si="17"/>
        <v>0</v>
      </c>
      <c r="J90" s="312">
        <f t="shared" si="18"/>
        <v>0</v>
      </c>
      <c r="K90" s="313">
        <f t="shared" si="19"/>
        <v>0</v>
      </c>
      <c r="L90" s="66">
        <f>K90*D90*'B) D RI'!S92</f>
        <v>0</v>
      </c>
      <c r="M90" s="19">
        <f>(('B) D RI'!S92*C90)-(L90*$M$4))/'B) D RI'!S92</f>
        <v>30041.138287671231</v>
      </c>
      <c r="N90" s="302">
        <f t="shared" si="20"/>
        <v>28.181180382430799</v>
      </c>
      <c r="O90" s="71">
        <f t="shared" si="21"/>
        <v>0.62195050639631289</v>
      </c>
      <c r="R90" s="17"/>
    </row>
    <row r="91" spans="1:18" x14ac:dyDescent="0.25">
      <c r="A91" s="355">
        <f>'A) Base RI'!A93</f>
        <v>5539</v>
      </c>
      <c r="B91" s="40" t="str">
        <f>'A) Base RI'!B93</f>
        <v>Vuarrens</v>
      </c>
      <c r="C91" s="353">
        <f>'B) D RI'!U93</f>
        <v>22727.031566666661</v>
      </c>
      <c r="D91" s="40">
        <f>'B) D RI'!AA93</f>
        <v>993</v>
      </c>
      <c r="E91" s="231">
        <f t="shared" si="13"/>
        <v>22.887242262504191</v>
      </c>
      <c r="F91" s="71">
        <f t="shared" si="14"/>
        <v>0.49115413338777675</v>
      </c>
      <c r="G91" s="312">
        <f t="shared" si="15"/>
        <v>0</v>
      </c>
      <c r="H91" s="312">
        <f t="shared" si="16"/>
        <v>0</v>
      </c>
      <c r="I91" s="312">
        <f t="shared" si="17"/>
        <v>0</v>
      </c>
      <c r="J91" s="312">
        <f t="shared" si="18"/>
        <v>0</v>
      </c>
      <c r="K91" s="313">
        <f t="shared" si="19"/>
        <v>0</v>
      </c>
      <c r="L91" s="66">
        <f>K91*D91*'B) D RI'!S93</f>
        <v>0</v>
      </c>
      <c r="M91" s="19">
        <f>(('B) D RI'!S93*C91)-(L91*$M$4))/'B) D RI'!S93</f>
        <v>22727.031566666661</v>
      </c>
      <c r="N91" s="302">
        <f t="shared" si="20"/>
        <v>22.887242262504191</v>
      </c>
      <c r="O91" s="71">
        <f t="shared" si="21"/>
        <v>0.50511482209077518</v>
      </c>
      <c r="R91" s="17"/>
    </row>
    <row r="92" spans="1:18" x14ac:dyDescent="0.25">
      <c r="A92" s="355">
        <f>'A) Base RI'!A94</f>
        <v>5540</v>
      </c>
      <c r="B92" s="40" t="str">
        <f>'A) Base RI'!B94</f>
        <v>Montilliez</v>
      </c>
      <c r="C92" s="353">
        <f>'B) D RI'!U94</f>
        <v>54875.674391891895</v>
      </c>
      <c r="D92" s="40">
        <f>'B) D RI'!AA94</f>
        <v>1698</v>
      </c>
      <c r="E92" s="231">
        <f t="shared" si="13"/>
        <v>32.317829441632448</v>
      </c>
      <c r="F92" s="71">
        <f t="shared" si="14"/>
        <v>0.69353202672143277</v>
      </c>
      <c r="G92" s="312">
        <f t="shared" si="15"/>
        <v>0</v>
      </c>
      <c r="H92" s="312">
        <f t="shared" si="16"/>
        <v>0</v>
      </c>
      <c r="I92" s="312">
        <f t="shared" si="17"/>
        <v>0</v>
      </c>
      <c r="J92" s="312">
        <f t="shared" si="18"/>
        <v>0</v>
      </c>
      <c r="K92" s="313">
        <f t="shared" si="19"/>
        <v>0</v>
      </c>
      <c r="L92" s="66">
        <f>K92*D92*'B) D RI'!S94</f>
        <v>0</v>
      </c>
      <c r="M92" s="19">
        <f>(('B) D RI'!S94*C92)-(L92*$M$4))/'B) D RI'!S94</f>
        <v>54875.674391891895</v>
      </c>
      <c r="N92" s="302">
        <f t="shared" si="20"/>
        <v>32.317829441632448</v>
      </c>
      <c r="O92" s="71">
        <f t="shared" si="21"/>
        <v>0.71324515559980295</v>
      </c>
      <c r="R92" s="17"/>
    </row>
    <row r="93" spans="1:18" x14ac:dyDescent="0.25">
      <c r="A93" s="355">
        <f>'A) Base RI'!A95</f>
        <v>5541</v>
      </c>
      <c r="B93" s="40" t="str">
        <f>'A) Base RI'!B95</f>
        <v>Goumoëns</v>
      </c>
      <c r="C93" s="353">
        <f>'B) D RI'!U95</f>
        <v>32498.070519480509</v>
      </c>
      <c r="D93" s="40">
        <f>'B) D RI'!AA95</f>
        <v>1051</v>
      </c>
      <c r="E93" s="231">
        <f t="shared" si="13"/>
        <v>30.921094690276412</v>
      </c>
      <c r="F93" s="71">
        <f t="shared" si="14"/>
        <v>0.66355847033981707</v>
      </c>
      <c r="G93" s="312">
        <f t="shared" si="15"/>
        <v>0</v>
      </c>
      <c r="H93" s="312">
        <f t="shared" si="16"/>
        <v>0</v>
      </c>
      <c r="I93" s="312">
        <f t="shared" si="17"/>
        <v>0</v>
      </c>
      <c r="J93" s="312">
        <f t="shared" si="18"/>
        <v>0</v>
      </c>
      <c r="K93" s="313">
        <f t="shared" si="19"/>
        <v>0</v>
      </c>
      <c r="L93" s="66">
        <f>K93*D93*'B) D RI'!S95</f>
        <v>0</v>
      </c>
      <c r="M93" s="19">
        <f>(('B) D RI'!S95*C93)-(L93*$M$4))/'B) D RI'!S95</f>
        <v>32498.070519480509</v>
      </c>
      <c r="N93" s="302">
        <f t="shared" si="20"/>
        <v>30.921094690276412</v>
      </c>
      <c r="O93" s="71">
        <f t="shared" si="21"/>
        <v>0.68241962330773498</v>
      </c>
      <c r="R93" s="17"/>
    </row>
    <row r="94" spans="1:18" x14ac:dyDescent="0.25">
      <c r="A94" s="355">
        <f>'A) Base RI'!A96</f>
        <v>5551</v>
      </c>
      <c r="B94" s="40" t="str">
        <f>'A) Base RI'!B96</f>
        <v>Bonvillars</v>
      </c>
      <c r="C94" s="353">
        <f>'B) D RI'!U96</f>
        <v>19291.965896103895</v>
      </c>
      <c r="D94" s="40">
        <f>'B) D RI'!AA96</f>
        <v>495</v>
      </c>
      <c r="E94" s="231">
        <f t="shared" si="13"/>
        <v>38.973668476977565</v>
      </c>
      <c r="F94" s="71">
        <f t="shared" si="14"/>
        <v>0.83636456267658754</v>
      </c>
      <c r="G94" s="312">
        <f t="shared" si="15"/>
        <v>0</v>
      </c>
      <c r="H94" s="312">
        <f t="shared" si="16"/>
        <v>0</v>
      </c>
      <c r="I94" s="312">
        <f t="shared" si="17"/>
        <v>0</v>
      </c>
      <c r="J94" s="312">
        <f t="shared" si="18"/>
        <v>0</v>
      </c>
      <c r="K94" s="313">
        <f t="shared" si="19"/>
        <v>0</v>
      </c>
      <c r="L94" s="66">
        <f>K94*D94*'B) D RI'!S96</f>
        <v>0</v>
      </c>
      <c r="M94" s="19">
        <f>(('B) D RI'!S96*C94)-(L94*$M$4))/'B) D RI'!S96</f>
        <v>19291.965896103895</v>
      </c>
      <c r="N94" s="302">
        <f t="shared" si="20"/>
        <v>38.973668476977565</v>
      </c>
      <c r="O94" s="71">
        <f t="shared" si="21"/>
        <v>0.86013759950559576</v>
      </c>
      <c r="R94" s="17"/>
    </row>
    <row r="95" spans="1:18" x14ac:dyDescent="0.25">
      <c r="A95" s="355">
        <f>'A) Base RI'!A97</f>
        <v>5552</v>
      </c>
      <c r="B95" s="40" t="str">
        <f>'A) Base RI'!B97</f>
        <v>Bullet</v>
      </c>
      <c r="C95" s="353">
        <f>'B) D RI'!U97</f>
        <v>15735.537571428569</v>
      </c>
      <c r="D95" s="40">
        <f>'B) D RI'!AA97</f>
        <v>629</v>
      </c>
      <c r="E95" s="231">
        <f t="shared" si="13"/>
        <v>25.016752895752891</v>
      </c>
      <c r="F95" s="71">
        <f t="shared" si="14"/>
        <v>0.53685286535457344</v>
      </c>
      <c r="G95" s="312">
        <f t="shared" si="15"/>
        <v>0</v>
      </c>
      <c r="H95" s="312">
        <f t="shared" si="16"/>
        <v>0</v>
      </c>
      <c r="I95" s="312">
        <f t="shared" si="17"/>
        <v>0</v>
      </c>
      <c r="J95" s="312">
        <f t="shared" si="18"/>
        <v>0</v>
      </c>
      <c r="K95" s="313">
        <f t="shared" si="19"/>
        <v>0</v>
      </c>
      <c r="L95" s="66">
        <f>K95*D95*'B) D RI'!S97</f>
        <v>0</v>
      </c>
      <c r="M95" s="19">
        <f>(('B) D RI'!S97*C95)-(L95*$M$4))/'B) D RI'!S97</f>
        <v>15735.537571428569</v>
      </c>
      <c r="N95" s="302">
        <f t="shared" si="20"/>
        <v>25.016752895752891</v>
      </c>
      <c r="O95" s="71">
        <f t="shared" si="21"/>
        <v>0.55211250631663078</v>
      </c>
      <c r="R95" s="17"/>
    </row>
    <row r="96" spans="1:18" x14ac:dyDescent="0.25">
      <c r="A96" s="355">
        <f>'A) Base RI'!A98</f>
        <v>5553</v>
      </c>
      <c r="B96" s="40" t="str">
        <f>'A) Base RI'!B98</f>
        <v>Champagne</v>
      </c>
      <c r="C96" s="353">
        <f>'B) D RI'!U98</f>
        <v>33369.783650793652</v>
      </c>
      <c r="D96" s="40">
        <f>'B) D RI'!AA98</f>
        <v>1027</v>
      </c>
      <c r="E96" s="231">
        <f t="shared" si="13"/>
        <v>32.492486514891581</v>
      </c>
      <c r="F96" s="71">
        <f t="shared" si="14"/>
        <v>0.69728012107341908</v>
      </c>
      <c r="G96" s="312">
        <f t="shared" si="15"/>
        <v>0</v>
      </c>
      <c r="H96" s="312">
        <f t="shared" si="16"/>
        <v>0</v>
      </c>
      <c r="I96" s="312">
        <f t="shared" si="17"/>
        <v>0</v>
      </c>
      <c r="J96" s="312">
        <f t="shared" si="18"/>
        <v>0</v>
      </c>
      <c r="K96" s="313">
        <f t="shared" si="19"/>
        <v>0</v>
      </c>
      <c r="L96" s="66">
        <f>K96*D96*'B) D RI'!S98</f>
        <v>0</v>
      </c>
      <c r="M96" s="19">
        <f>(('B) D RI'!S98*C96)-(L96*$M$4))/'B) D RI'!S98</f>
        <v>33369.783650793652</v>
      </c>
      <c r="N96" s="302">
        <f t="shared" si="20"/>
        <v>32.492486514891581</v>
      </c>
      <c r="O96" s="71">
        <f t="shared" si="21"/>
        <v>0.71709978672898522</v>
      </c>
      <c r="R96" s="17"/>
    </row>
    <row r="97" spans="1:18" x14ac:dyDescent="0.25">
      <c r="A97" s="355">
        <f>'A) Base RI'!A99</f>
        <v>5554</v>
      </c>
      <c r="B97" s="40" t="str">
        <f>'A) Base RI'!B99</f>
        <v>Concise</v>
      </c>
      <c r="C97" s="353">
        <f>'B) D RI'!U99</f>
        <v>28986.7088</v>
      </c>
      <c r="D97" s="40">
        <f>'B) D RI'!AA99</f>
        <v>960</v>
      </c>
      <c r="E97" s="231">
        <f t="shared" si="13"/>
        <v>30.194488333333332</v>
      </c>
      <c r="F97" s="71">
        <f t="shared" si="14"/>
        <v>0.64796569111961844</v>
      </c>
      <c r="G97" s="312">
        <f t="shared" si="15"/>
        <v>0</v>
      </c>
      <c r="H97" s="312">
        <f t="shared" si="16"/>
        <v>0</v>
      </c>
      <c r="I97" s="312">
        <f t="shared" si="17"/>
        <v>0</v>
      </c>
      <c r="J97" s="312">
        <f t="shared" si="18"/>
        <v>0</v>
      </c>
      <c r="K97" s="313">
        <f t="shared" si="19"/>
        <v>0</v>
      </c>
      <c r="L97" s="66">
        <f>K97*D97*'B) D RI'!S99</f>
        <v>0</v>
      </c>
      <c r="M97" s="19">
        <f>(('B) D RI'!S99*C97)-(L97*$M$4))/'B) D RI'!S99</f>
        <v>28986.7088</v>
      </c>
      <c r="N97" s="302">
        <f t="shared" si="20"/>
        <v>30.194488333333332</v>
      </c>
      <c r="O97" s="71">
        <f t="shared" si="21"/>
        <v>0.66638363100652998</v>
      </c>
      <c r="R97" s="17"/>
    </row>
    <row r="98" spans="1:18" x14ac:dyDescent="0.25">
      <c r="A98" s="355">
        <f>'A) Base RI'!A100</f>
        <v>5555</v>
      </c>
      <c r="B98" s="40" t="str">
        <f>'A) Base RI'!B100</f>
        <v>Corcelles-près-Concise</v>
      </c>
      <c r="C98" s="353">
        <f>'B) D RI'!U100</f>
        <v>11040.372394366199</v>
      </c>
      <c r="D98" s="40">
        <f>'B) D RI'!AA100</f>
        <v>379</v>
      </c>
      <c r="E98" s="231">
        <f t="shared" si="13"/>
        <v>29.130270169831661</v>
      </c>
      <c r="F98" s="71">
        <f t="shared" si="14"/>
        <v>0.62512785229940737</v>
      </c>
      <c r="G98" s="312">
        <f t="shared" si="15"/>
        <v>0</v>
      </c>
      <c r="H98" s="312">
        <f t="shared" si="16"/>
        <v>0</v>
      </c>
      <c r="I98" s="312">
        <f t="shared" si="17"/>
        <v>0</v>
      </c>
      <c r="J98" s="312">
        <f t="shared" si="18"/>
        <v>0</v>
      </c>
      <c r="K98" s="313">
        <f t="shared" si="19"/>
        <v>0</v>
      </c>
      <c r="L98" s="66">
        <f>K98*D98*'B) D RI'!S100</f>
        <v>0</v>
      </c>
      <c r="M98" s="19">
        <f>(('B) D RI'!S100*C98)-(L98*$M$4))/'B) D RI'!S100</f>
        <v>11040.372394366199</v>
      </c>
      <c r="N98" s="302">
        <f t="shared" si="20"/>
        <v>29.130270169831661</v>
      </c>
      <c r="O98" s="71">
        <f t="shared" si="21"/>
        <v>0.64289664370777699</v>
      </c>
      <c r="R98" s="17"/>
    </row>
    <row r="99" spans="1:18" x14ac:dyDescent="0.25">
      <c r="A99" s="355">
        <f>'A) Base RI'!A101</f>
        <v>5556</v>
      </c>
      <c r="B99" s="40" t="str">
        <f>'A) Base RI'!B101</f>
        <v>Fiez</v>
      </c>
      <c r="C99" s="353">
        <f>'B) D RI'!U101</f>
        <v>12472.754202898552</v>
      </c>
      <c r="D99" s="40">
        <f>'B) D RI'!AA101</f>
        <v>427</v>
      </c>
      <c r="E99" s="231">
        <f t="shared" si="13"/>
        <v>29.210197196483726</v>
      </c>
      <c r="F99" s="71">
        <f t="shared" si="14"/>
        <v>0.62684306503929565</v>
      </c>
      <c r="G99" s="312">
        <f t="shared" si="15"/>
        <v>0</v>
      </c>
      <c r="H99" s="312">
        <f t="shared" si="16"/>
        <v>0</v>
      </c>
      <c r="I99" s="312">
        <f t="shared" si="17"/>
        <v>0</v>
      </c>
      <c r="J99" s="312">
        <f t="shared" si="18"/>
        <v>0</v>
      </c>
      <c r="K99" s="313">
        <f t="shared" si="19"/>
        <v>0</v>
      </c>
      <c r="L99" s="66">
        <f>K99*D99*'B) D RI'!S101</f>
        <v>0</v>
      </c>
      <c r="M99" s="19">
        <f>(('B) D RI'!S101*C99)-(L99*$M$4))/'B) D RI'!S101</f>
        <v>12472.754202898552</v>
      </c>
      <c r="N99" s="302">
        <f t="shared" si="20"/>
        <v>29.210197196483726</v>
      </c>
      <c r="O99" s="71">
        <f t="shared" si="21"/>
        <v>0.64466061008627529</v>
      </c>
      <c r="R99" s="17"/>
    </row>
    <row r="100" spans="1:18" x14ac:dyDescent="0.25">
      <c r="A100" s="355">
        <f>'A) Base RI'!A102</f>
        <v>5557</v>
      </c>
      <c r="B100" s="40" t="str">
        <f>'A) Base RI'!B102</f>
        <v>Fontaines-sur-Grandson</v>
      </c>
      <c r="C100" s="353">
        <f>'B) D RI'!U102</f>
        <v>4030.2872463768117</v>
      </c>
      <c r="D100" s="40">
        <f>'B) D RI'!AA102</f>
        <v>200</v>
      </c>
      <c r="E100" s="231">
        <f t="shared" si="13"/>
        <v>20.151436231884059</v>
      </c>
      <c r="F100" s="71">
        <f t="shared" si="14"/>
        <v>0.43244446340330461</v>
      </c>
      <c r="G100" s="312">
        <f t="shared" si="15"/>
        <v>0</v>
      </c>
      <c r="H100" s="312">
        <f t="shared" si="16"/>
        <v>0</v>
      </c>
      <c r="I100" s="312">
        <f t="shared" si="17"/>
        <v>0</v>
      </c>
      <c r="J100" s="312">
        <f t="shared" si="18"/>
        <v>0</v>
      </c>
      <c r="K100" s="313">
        <f t="shared" si="19"/>
        <v>0</v>
      </c>
      <c r="L100" s="66">
        <f>K100*D100*'B) D RI'!S102</f>
        <v>0</v>
      </c>
      <c r="M100" s="19">
        <f>(('B) D RI'!S102*C100)-(L100*$M$4))/'B) D RI'!S102</f>
        <v>4030.2872463768117</v>
      </c>
      <c r="N100" s="302">
        <f t="shared" si="20"/>
        <v>20.151436231884059</v>
      </c>
      <c r="O100" s="71">
        <f t="shared" si="21"/>
        <v>0.4447363736703861</v>
      </c>
      <c r="R100" s="17"/>
    </row>
    <row r="101" spans="1:18" x14ac:dyDescent="0.25">
      <c r="A101" s="355">
        <f>'A) Base RI'!A103</f>
        <v>5559</v>
      </c>
      <c r="B101" s="40" t="str">
        <f>'A) Base RI'!B103</f>
        <v>Giez</v>
      </c>
      <c r="C101" s="353">
        <f>'B) D RI'!U103</f>
        <v>18149.138484848489</v>
      </c>
      <c r="D101" s="40">
        <f>'B) D RI'!AA103</f>
        <v>408</v>
      </c>
      <c r="E101" s="231">
        <f t="shared" si="13"/>
        <v>44.48318256090316</v>
      </c>
      <c r="F101" s="71">
        <f t="shared" si="14"/>
        <v>0.95459726997446304</v>
      </c>
      <c r="G101" s="312">
        <f t="shared" si="15"/>
        <v>0</v>
      </c>
      <c r="H101" s="312">
        <f t="shared" si="16"/>
        <v>0</v>
      </c>
      <c r="I101" s="312">
        <f t="shared" si="17"/>
        <v>0</v>
      </c>
      <c r="J101" s="312">
        <f t="shared" si="18"/>
        <v>0</v>
      </c>
      <c r="K101" s="313">
        <f t="shared" si="19"/>
        <v>0</v>
      </c>
      <c r="L101" s="66">
        <f>K101*D101*'B) D RI'!S103</f>
        <v>0</v>
      </c>
      <c r="M101" s="19">
        <f>(('B) D RI'!S103*C101)-(L101*$M$4))/'B) D RI'!S103</f>
        <v>18149.138484848489</v>
      </c>
      <c r="N101" s="302">
        <f t="shared" si="20"/>
        <v>44.48318256090316</v>
      </c>
      <c r="O101" s="71">
        <f t="shared" si="21"/>
        <v>0.98173098303297412</v>
      </c>
      <c r="R101" s="17"/>
    </row>
    <row r="102" spans="1:18" x14ac:dyDescent="0.25">
      <c r="A102" s="355">
        <f>'A) Base RI'!A104</f>
        <v>5560</v>
      </c>
      <c r="B102" s="40" t="str">
        <f>'A) Base RI'!B104</f>
        <v>Grandevent</v>
      </c>
      <c r="C102" s="353">
        <f>'B) D RI'!U104</f>
        <v>6446.6273529411765</v>
      </c>
      <c r="D102" s="40">
        <f>'B) D RI'!AA104</f>
        <v>232</v>
      </c>
      <c r="E102" s="231">
        <f t="shared" si="13"/>
        <v>27.787186866125761</v>
      </c>
      <c r="F102" s="71">
        <f t="shared" si="14"/>
        <v>0.59630564171880041</v>
      </c>
      <c r="G102" s="312">
        <f t="shared" si="15"/>
        <v>0</v>
      </c>
      <c r="H102" s="312">
        <f t="shared" si="16"/>
        <v>0</v>
      </c>
      <c r="I102" s="312">
        <f t="shared" si="17"/>
        <v>0</v>
      </c>
      <c r="J102" s="312">
        <f t="shared" si="18"/>
        <v>0</v>
      </c>
      <c r="K102" s="313">
        <f t="shared" si="19"/>
        <v>0</v>
      </c>
      <c r="L102" s="66">
        <f>K102*D102*'B) D RI'!S104</f>
        <v>0</v>
      </c>
      <c r="M102" s="19">
        <f>(('B) D RI'!S104*C102)-(L102*$M$4))/'B) D RI'!S104</f>
        <v>6446.6273529411765</v>
      </c>
      <c r="N102" s="302">
        <f t="shared" si="20"/>
        <v>27.787186866125761</v>
      </c>
      <c r="O102" s="71">
        <f t="shared" si="21"/>
        <v>0.61325518335954077</v>
      </c>
      <c r="R102" s="17"/>
    </row>
    <row r="103" spans="1:18" x14ac:dyDescent="0.25">
      <c r="A103" s="355">
        <f>'A) Base RI'!A105</f>
        <v>5561</v>
      </c>
      <c r="B103" s="40" t="str">
        <f>'A) Base RI'!B105</f>
        <v>Grandson</v>
      </c>
      <c r="C103" s="353">
        <f>'B) D RI'!U105</f>
        <v>115170.40130434782</v>
      </c>
      <c r="D103" s="40">
        <f>'B) D RI'!AA105</f>
        <v>3313</v>
      </c>
      <c r="E103" s="231">
        <f t="shared" si="13"/>
        <v>34.763175763461462</v>
      </c>
      <c r="F103" s="71">
        <f t="shared" si="14"/>
        <v>0.7460085085865531</v>
      </c>
      <c r="G103" s="312">
        <f t="shared" si="15"/>
        <v>0</v>
      </c>
      <c r="H103" s="312">
        <f t="shared" si="16"/>
        <v>0</v>
      </c>
      <c r="I103" s="312">
        <f t="shared" si="17"/>
        <v>0</v>
      </c>
      <c r="J103" s="312">
        <f t="shared" si="18"/>
        <v>0</v>
      </c>
      <c r="K103" s="313">
        <f t="shared" si="19"/>
        <v>0</v>
      </c>
      <c r="L103" s="66">
        <f>K103*D103*'B) D RI'!S105</f>
        <v>0</v>
      </c>
      <c r="M103" s="19">
        <f>(('B) D RI'!S105*C103)-(L103*$M$4))/'B) D RI'!S105</f>
        <v>115170.40130434782</v>
      </c>
      <c r="N103" s="302">
        <f t="shared" si="20"/>
        <v>34.763175763461462</v>
      </c>
      <c r="O103" s="71">
        <f t="shared" si="21"/>
        <v>0.76721324219294273</v>
      </c>
      <c r="R103" s="17"/>
    </row>
    <row r="104" spans="1:18" x14ac:dyDescent="0.25">
      <c r="A104" s="355">
        <f>'A) Base RI'!A106</f>
        <v>5562</v>
      </c>
      <c r="B104" s="40" t="str">
        <f>'A) Base RI'!B106</f>
        <v>Mauborget</v>
      </c>
      <c r="C104" s="353">
        <f>'B) D RI'!U106</f>
        <v>3662.5545714285713</v>
      </c>
      <c r="D104" s="40">
        <f>'B) D RI'!AA106</f>
        <v>123</v>
      </c>
      <c r="E104" s="231">
        <f t="shared" si="13"/>
        <v>29.776866434378629</v>
      </c>
      <c r="F104" s="71">
        <f t="shared" si="14"/>
        <v>0.63900363621093714</v>
      </c>
      <c r="G104" s="312">
        <f t="shared" si="15"/>
        <v>0</v>
      </c>
      <c r="H104" s="312">
        <f t="shared" si="16"/>
        <v>0</v>
      </c>
      <c r="I104" s="312">
        <f t="shared" si="17"/>
        <v>0</v>
      </c>
      <c r="J104" s="312">
        <f t="shared" si="18"/>
        <v>0</v>
      </c>
      <c r="K104" s="313">
        <f t="shared" si="19"/>
        <v>0</v>
      </c>
      <c r="L104" s="66">
        <f>K104*D104*'B) D RI'!S106</f>
        <v>0</v>
      </c>
      <c r="M104" s="19">
        <f>(('B) D RI'!S106*C104)-(L104*$M$4))/'B) D RI'!S106</f>
        <v>3662.5545714285713</v>
      </c>
      <c r="N104" s="302">
        <f t="shared" si="20"/>
        <v>29.776866434378629</v>
      </c>
      <c r="O104" s="71">
        <f t="shared" si="21"/>
        <v>0.65716683639351947</v>
      </c>
      <c r="R104" s="17"/>
    </row>
    <row r="105" spans="1:18" x14ac:dyDescent="0.25">
      <c r="A105" s="355">
        <f>'A) Base RI'!A107</f>
        <v>5563</v>
      </c>
      <c r="B105" s="40" t="str">
        <f>'A) Base RI'!B107</f>
        <v>Mutrux</v>
      </c>
      <c r="C105" s="353">
        <f>'B) D RI'!U107</f>
        <v>4275.1686624203812</v>
      </c>
      <c r="D105" s="40">
        <f>'B) D RI'!AA107</f>
        <v>162</v>
      </c>
      <c r="E105" s="231">
        <f t="shared" si="13"/>
        <v>26.389930014940624</v>
      </c>
      <c r="F105" s="71">
        <f t="shared" si="14"/>
        <v>0.56632088121367508</v>
      </c>
      <c r="G105" s="312">
        <f t="shared" si="15"/>
        <v>0</v>
      </c>
      <c r="H105" s="312">
        <f t="shared" si="16"/>
        <v>0</v>
      </c>
      <c r="I105" s="312">
        <f t="shared" si="17"/>
        <v>0</v>
      </c>
      <c r="J105" s="312">
        <f t="shared" si="18"/>
        <v>0</v>
      </c>
      <c r="K105" s="313">
        <f t="shared" si="19"/>
        <v>0</v>
      </c>
      <c r="L105" s="66">
        <f>K105*D105*'B) D RI'!S107</f>
        <v>0</v>
      </c>
      <c r="M105" s="19">
        <f>(('B) D RI'!S107*C105)-(L105*$M$4))/'B) D RI'!S107</f>
        <v>4275.1686624203812</v>
      </c>
      <c r="N105" s="302">
        <f t="shared" si="20"/>
        <v>26.389930014940624</v>
      </c>
      <c r="O105" s="71">
        <f t="shared" si="21"/>
        <v>0.58241812847513652</v>
      </c>
      <c r="R105" s="17"/>
    </row>
    <row r="106" spans="1:18" x14ac:dyDescent="0.25">
      <c r="A106" s="355">
        <f>'A) Base RI'!A108</f>
        <v>5564</v>
      </c>
      <c r="B106" s="40" t="str">
        <f>'A) Base RI'!B108</f>
        <v>Novalles</v>
      </c>
      <c r="C106" s="353">
        <f>'B) D RI'!U108</f>
        <v>2063.0078618421053</v>
      </c>
      <c r="D106" s="40">
        <f>'B) D RI'!AA108</f>
        <v>101</v>
      </c>
      <c r="E106" s="231">
        <f t="shared" si="13"/>
        <v>20.42582041427827</v>
      </c>
      <c r="F106" s="71">
        <f t="shared" si="14"/>
        <v>0.43833267500055439</v>
      </c>
      <c r="G106" s="312">
        <f t="shared" si="15"/>
        <v>0</v>
      </c>
      <c r="H106" s="312">
        <f t="shared" si="16"/>
        <v>0</v>
      </c>
      <c r="I106" s="312">
        <f t="shared" si="17"/>
        <v>0</v>
      </c>
      <c r="J106" s="312">
        <f t="shared" si="18"/>
        <v>0</v>
      </c>
      <c r="K106" s="313">
        <f t="shared" si="19"/>
        <v>0</v>
      </c>
      <c r="L106" s="66">
        <f>K106*D106*'B) D RI'!S108</f>
        <v>0</v>
      </c>
      <c r="M106" s="19">
        <f>(('B) D RI'!S108*C106)-(L106*$M$4))/'B) D RI'!S108</f>
        <v>2063.0078618421053</v>
      </c>
      <c r="N106" s="302">
        <f t="shared" si="20"/>
        <v>20.42582041427827</v>
      </c>
      <c r="O106" s="71">
        <f t="shared" si="21"/>
        <v>0.4507919532760441</v>
      </c>
      <c r="R106" s="17"/>
    </row>
    <row r="107" spans="1:18" x14ac:dyDescent="0.25">
      <c r="A107" s="355">
        <f>'A) Base RI'!A109</f>
        <v>5565</v>
      </c>
      <c r="B107" s="40" t="str">
        <f>'A) Base RI'!B109</f>
        <v>Onnens</v>
      </c>
      <c r="C107" s="353">
        <f>'B) D RI'!U109</f>
        <v>17902.806410256413</v>
      </c>
      <c r="D107" s="40">
        <f>'B) D RI'!AA109</f>
        <v>500</v>
      </c>
      <c r="E107" s="231">
        <f t="shared" si="13"/>
        <v>35.805612820512827</v>
      </c>
      <c r="F107" s="71">
        <f t="shared" si="14"/>
        <v>0.76837893065379204</v>
      </c>
      <c r="G107" s="312">
        <f t="shared" si="15"/>
        <v>0</v>
      </c>
      <c r="H107" s="312">
        <f t="shared" si="16"/>
        <v>0</v>
      </c>
      <c r="I107" s="312">
        <f t="shared" si="17"/>
        <v>0</v>
      </c>
      <c r="J107" s="312">
        <f t="shared" si="18"/>
        <v>0</v>
      </c>
      <c r="K107" s="313">
        <f t="shared" si="19"/>
        <v>0</v>
      </c>
      <c r="L107" s="66">
        <f>K107*D107*'B) D RI'!S109</f>
        <v>0</v>
      </c>
      <c r="M107" s="19">
        <f>(('B) D RI'!S109*C107)-(L107*$M$4))/'B) D RI'!S109</f>
        <v>17902.806410256413</v>
      </c>
      <c r="N107" s="302">
        <f t="shared" si="20"/>
        <v>35.805612820512827</v>
      </c>
      <c r="O107" s="71">
        <f t="shared" si="21"/>
        <v>0.79021952676729579</v>
      </c>
      <c r="R107" s="17"/>
    </row>
    <row r="108" spans="1:18" x14ac:dyDescent="0.25">
      <c r="A108" s="355">
        <f>'A) Base RI'!A110</f>
        <v>5566</v>
      </c>
      <c r="B108" s="40" t="str">
        <f>'A) Base RI'!B110</f>
        <v>Provence</v>
      </c>
      <c r="C108" s="353">
        <f>'B) D RI'!U110</f>
        <v>8605.0976954732487</v>
      </c>
      <c r="D108" s="40">
        <f>'B) D RI'!AA110</f>
        <v>390</v>
      </c>
      <c r="E108" s="231">
        <f t="shared" si="13"/>
        <v>22.064353065316023</v>
      </c>
      <c r="F108" s="71">
        <f t="shared" si="14"/>
        <v>0.47349515001688564</v>
      </c>
      <c r="G108" s="312">
        <f t="shared" si="15"/>
        <v>0</v>
      </c>
      <c r="H108" s="312">
        <f t="shared" si="16"/>
        <v>0</v>
      </c>
      <c r="I108" s="312">
        <f t="shared" si="17"/>
        <v>0</v>
      </c>
      <c r="J108" s="312">
        <f t="shared" si="18"/>
        <v>0</v>
      </c>
      <c r="K108" s="313">
        <f t="shared" si="19"/>
        <v>0</v>
      </c>
      <c r="L108" s="66">
        <f>K108*D108*'B) D RI'!S110</f>
        <v>0</v>
      </c>
      <c r="M108" s="19">
        <f>(('B) D RI'!S110*C108)-(L108*$M$4))/'B) D RI'!S110</f>
        <v>8605.0976954732487</v>
      </c>
      <c r="N108" s="302">
        <f t="shared" si="20"/>
        <v>22.064353065316023</v>
      </c>
      <c r="O108" s="71">
        <f t="shared" si="21"/>
        <v>0.48695389533206812</v>
      </c>
      <c r="R108" s="17"/>
    </row>
    <row r="109" spans="1:18" x14ac:dyDescent="0.25">
      <c r="A109" s="355">
        <f>'A) Base RI'!A111</f>
        <v>5568</v>
      </c>
      <c r="B109" s="40" t="str">
        <f>'A) Base RI'!B111</f>
        <v>Sainte-Croix</v>
      </c>
      <c r="C109" s="353">
        <f>'B) D RI'!U111</f>
        <v>96229.339714285714</v>
      </c>
      <c r="D109" s="40">
        <f>'B) D RI'!AA111</f>
        <v>4851</v>
      </c>
      <c r="E109" s="231">
        <f t="shared" si="13"/>
        <v>19.837010866684334</v>
      </c>
      <c r="F109" s="71">
        <f t="shared" si="14"/>
        <v>0.42569697866973283</v>
      </c>
      <c r="G109" s="312">
        <f t="shared" si="15"/>
        <v>0</v>
      </c>
      <c r="H109" s="312">
        <f t="shared" si="16"/>
        <v>0</v>
      </c>
      <c r="I109" s="312">
        <f t="shared" si="17"/>
        <v>0</v>
      </c>
      <c r="J109" s="312">
        <f t="shared" si="18"/>
        <v>0</v>
      </c>
      <c r="K109" s="313">
        <f t="shared" si="19"/>
        <v>0</v>
      </c>
      <c r="L109" s="66">
        <f>K109*D109*'B) D RI'!S111</f>
        <v>0</v>
      </c>
      <c r="M109" s="19">
        <f>(('B) D RI'!S111*C109)-(L109*$M$4))/'B) D RI'!S111</f>
        <v>96229.339714285714</v>
      </c>
      <c r="N109" s="302">
        <f t="shared" si="20"/>
        <v>19.837010866684334</v>
      </c>
      <c r="O109" s="71">
        <f t="shared" si="21"/>
        <v>0.43779709673251405</v>
      </c>
      <c r="R109" s="17"/>
    </row>
    <row r="110" spans="1:18" x14ac:dyDescent="0.25">
      <c r="A110" s="355">
        <f>'A) Base RI'!A112</f>
        <v>5571</v>
      </c>
      <c r="B110" s="40" t="str">
        <f>'A) Base RI'!B112</f>
        <v>Tévenon</v>
      </c>
      <c r="C110" s="353">
        <f>'B) D RI'!U112</f>
        <v>20963.465799086756</v>
      </c>
      <c r="D110" s="40">
        <f>'B) D RI'!AA112</f>
        <v>791</v>
      </c>
      <c r="E110" s="231">
        <f t="shared" si="13"/>
        <v>26.50248520744217</v>
      </c>
      <c r="F110" s="71">
        <f t="shared" si="14"/>
        <v>0.5687362857170809</v>
      </c>
      <c r="G110" s="312">
        <f t="shared" si="15"/>
        <v>0</v>
      </c>
      <c r="H110" s="312">
        <f t="shared" si="16"/>
        <v>0</v>
      </c>
      <c r="I110" s="312">
        <f t="shared" si="17"/>
        <v>0</v>
      </c>
      <c r="J110" s="312">
        <f t="shared" si="18"/>
        <v>0</v>
      </c>
      <c r="K110" s="313">
        <f t="shared" si="19"/>
        <v>0</v>
      </c>
      <c r="L110" s="66">
        <f>K110*D110*'B) D RI'!S112</f>
        <v>0</v>
      </c>
      <c r="M110" s="19">
        <f>(('B) D RI'!S112*C110)-(L110*$M$4))/'B) D RI'!S112</f>
        <v>20963.465799086756</v>
      </c>
      <c r="N110" s="302">
        <f t="shared" si="20"/>
        <v>26.50248520744217</v>
      </c>
      <c r="O110" s="71">
        <f t="shared" si="21"/>
        <v>0.58490218904406555</v>
      </c>
      <c r="R110" s="17"/>
    </row>
    <row r="111" spans="1:18" x14ac:dyDescent="0.25">
      <c r="A111" s="355">
        <f>'A) Base RI'!A113</f>
        <v>5581</v>
      </c>
      <c r="B111" s="40" t="str">
        <f>'A) Base RI'!B113</f>
        <v>Belmont-sur-Lausanne</v>
      </c>
      <c r="C111" s="353">
        <f>'B) D RI'!U113</f>
        <v>187042.91923261393</v>
      </c>
      <c r="D111" s="40">
        <f>'B) D RI'!AA113</f>
        <v>3564</v>
      </c>
      <c r="E111" s="231">
        <f t="shared" si="13"/>
        <v>52.481178235862494</v>
      </c>
      <c r="F111" s="71">
        <f t="shared" si="14"/>
        <v>1.1262321305452112</v>
      </c>
      <c r="G111" s="312">
        <f t="shared" si="15"/>
        <v>0</v>
      </c>
      <c r="H111" s="312">
        <f t="shared" si="16"/>
        <v>0</v>
      </c>
      <c r="I111" s="312">
        <f t="shared" si="17"/>
        <v>0</v>
      </c>
      <c r="J111" s="312">
        <f t="shared" si="18"/>
        <v>0</v>
      </c>
      <c r="K111" s="313">
        <f t="shared" si="19"/>
        <v>0</v>
      </c>
      <c r="L111" s="66">
        <f>K111*D111*'B) D RI'!S113</f>
        <v>0</v>
      </c>
      <c r="M111" s="19">
        <f>(('B) D RI'!S113*C111)-(L111*$M$4))/'B) D RI'!S113</f>
        <v>187042.91923261393</v>
      </c>
      <c r="N111" s="302">
        <f t="shared" si="20"/>
        <v>52.481178235862494</v>
      </c>
      <c r="O111" s="71">
        <f t="shared" si="21"/>
        <v>1.1582444360783148</v>
      </c>
      <c r="R111" s="17"/>
    </row>
    <row r="112" spans="1:18" x14ac:dyDescent="0.25">
      <c r="A112" s="355">
        <f>'A) Base RI'!A114</f>
        <v>5582</v>
      </c>
      <c r="B112" s="40" t="str">
        <f>'A) Base RI'!B114</f>
        <v>Cheseaux-sur-Lausanne</v>
      </c>
      <c r="C112" s="353">
        <f>'B) D RI'!U114</f>
        <v>203617.184295302</v>
      </c>
      <c r="D112" s="40">
        <f>'B) D RI'!AA114</f>
        <v>4347</v>
      </c>
      <c r="E112" s="231">
        <f t="shared" si="13"/>
        <v>46.840852149827924</v>
      </c>
      <c r="F112" s="71">
        <f t="shared" si="14"/>
        <v>1.0051922324641187</v>
      </c>
      <c r="G112" s="312">
        <f t="shared" si="15"/>
        <v>0</v>
      </c>
      <c r="H112" s="312">
        <f t="shared" si="16"/>
        <v>0</v>
      </c>
      <c r="I112" s="312">
        <f t="shared" si="17"/>
        <v>0</v>
      </c>
      <c r="J112" s="312">
        <f t="shared" si="18"/>
        <v>0</v>
      </c>
      <c r="K112" s="313">
        <f t="shared" si="19"/>
        <v>0</v>
      </c>
      <c r="L112" s="66">
        <f>K112*D112*'B) D RI'!S114</f>
        <v>0</v>
      </c>
      <c r="M112" s="19">
        <f>(('B) D RI'!S114*C112)-(L112*$M$4))/'B) D RI'!S114</f>
        <v>203617.184295302</v>
      </c>
      <c r="N112" s="302">
        <f t="shared" si="20"/>
        <v>46.840852149827924</v>
      </c>
      <c r="O112" s="71">
        <f t="shared" si="21"/>
        <v>1.0337640694703727</v>
      </c>
      <c r="R112" s="17"/>
    </row>
    <row r="113" spans="1:18" x14ac:dyDescent="0.25">
      <c r="A113" s="355">
        <f>'A) Base RI'!A115</f>
        <v>5583</v>
      </c>
      <c r="B113" s="40" t="str">
        <f>'A) Base RI'!B115</f>
        <v>Crissier</v>
      </c>
      <c r="C113" s="353">
        <f>'B) D RI'!U115</f>
        <v>311741.22092307697</v>
      </c>
      <c r="D113" s="40">
        <f>'B) D RI'!AA115</f>
        <v>7636</v>
      </c>
      <c r="E113" s="231">
        <f t="shared" si="13"/>
        <v>40.825199177982839</v>
      </c>
      <c r="F113" s="71">
        <f t="shared" si="14"/>
        <v>0.87609791921045621</v>
      </c>
      <c r="G113" s="312">
        <f t="shared" si="15"/>
        <v>0</v>
      </c>
      <c r="H113" s="312">
        <f t="shared" si="16"/>
        <v>0</v>
      </c>
      <c r="I113" s="312">
        <f t="shared" si="17"/>
        <v>0</v>
      </c>
      <c r="J113" s="312">
        <f t="shared" si="18"/>
        <v>0</v>
      </c>
      <c r="K113" s="313">
        <f t="shared" si="19"/>
        <v>0</v>
      </c>
      <c r="L113" s="66">
        <f>K113*D113*'B) D RI'!S115</f>
        <v>0</v>
      </c>
      <c r="M113" s="19">
        <f>(('B) D RI'!S115*C113)-(L113*$M$4))/'B) D RI'!S115</f>
        <v>311741.22092307697</v>
      </c>
      <c r="N113" s="302">
        <f t="shared" si="20"/>
        <v>40.825199177982839</v>
      </c>
      <c r="O113" s="71">
        <f t="shared" si="21"/>
        <v>0.90100034696582898</v>
      </c>
      <c r="R113" s="17"/>
    </row>
    <row r="114" spans="1:18" x14ac:dyDescent="0.25">
      <c r="A114" s="355">
        <f>'A) Base RI'!A116</f>
        <v>5584</v>
      </c>
      <c r="B114" s="40" t="str">
        <f>'A) Base RI'!B116</f>
        <v>Epalinges</v>
      </c>
      <c r="C114" s="353">
        <f>'B) D RI'!U116</f>
        <v>455692.51</v>
      </c>
      <c r="D114" s="40">
        <f>'B) D RI'!AA116</f>
        <v>9297</v>
      </c>
      <c r="E114" s="231">
        <f t="shared" si="13"/>
        <v>49.015005915886846</v>
      </c>
      <c r="F114" s="71">
        <f t="shared" si="14"/>
        <v>1.0518489941907105</v>
      </c>
      <c r="G114" s="312">
        <f t="shared" si="15"/>
        <v>0</v>
      </c>
      <c r="H114" s="312">
        <f t="shared" si="16"/>
        <v>0</v>
      </c>
      <c r="I114" s="312">
        <f t="shared" si="17"/>
        <v>0</v>
      </c>
      <c r="J114" s="312">
        <f t="shared" si="18"/>
        <v>0</v>
      </c>
      <c r="K114" s="313">
        <f t="shared" si="19"/>
        <v>0</v>
      </c>
      <c r="L114" s="66">
        <f>K114*D114*'B) D RI'!S116</f>
        <v>0</v>
      </c>
      <c r="M114" s="19">
        <f>(('B) D RI'!S116*C114)-(L114*$M$4))/'B) D RI'!S116</f>
        <v>455692.51</v>
      </c>
      <c r="N114" s="302">
        <f t="shared" si="20"/>
        <v>49.015005915886846</v>
      </c>
      <c r="O114" s="71">
        <f t="shared" si="21"/>
        <v>1.0817470147350368</v>
      </c>
      <c r="R114" s="17"/>
    </row>
    <row r="115" spans="1:18" x14ac:dyDescent="0.25">
      <c r="A115" s="355">
        <f>'A) Base RI'!A117</f>
        <v>5585</v>
      </c>
      <c r="B115" s="40" t="str">
        <f>'A) Base RI'!B117</f>
        <v>Jouxtens-Mézery</v>
      </c>
      <c r="C115" s="353">
        <f>'B) D RI'!U117</f>
        <v>201546.16339622639</v>
      </c>
      <c r="D115" s="40">
        <f>'B) D RI'!AA117</f>
        <v>1448</v>
      </c>
      <c r="E115" s="231">
        <f t="shared" si="13"/>
        <v>139.18933936203479</v>
      </c>
      <c r="F115" s="71">
        <f t="shared" si="14"/>
        <v>2.9869662131892611</v>
      </c>
      <c r="G115" s="312">
        <f t="shared" si="15"/>
        <v>83.270659566824634</v>
      </c>
      <c r="H115" s="312">
        <f t="shared" si="16"/>
        <v>69.290989618022081</v>
      </c>
      <c r="I115" s="312">
        <f t="shared" si="17"/>
        <v>45.991539703351179</v>
      </c>
      <c r="J115" s="312">
        <f t="shared" si="18"/>
        <v>0</v>
      </c>
      <c r="K115" s="313">
        <f t="shared" si="19"/>
        <v>41.505690376194195</v>
      </c>
      <c r="L115" s="66">
        <f>K115*D115*'B) D RI'!S117</f>
        <v>3185312.7022306477</v>
      </c>
      <c r="M115" s="19">
        <f>(('B) D RI'!S117*C115)-(L115*$M$4))/'B) D RI'!S117</f>
        <v>171496.04356386178</v>
      </c>
      <c r="N115" s="302">
        <f t="shared" si="20"/>
        <v>118.43649417393769</v>
      </c>
      <c r="O115" s="71">
        <f t="shared" si="21"/>
        <v>2.6138591970834524</v>
      </c>
      <c r="R115" s="17"/>
    </row>
    <row r="116" spans="1:18" x14ac:dyDescent="0.25">
      <c r="A116" s="355">
        <f>'A) Base RI'!A118</f>
        <v>5586</v>
      </c>
      <c r="B116" s="40" t="str">
        <f>'A) Base RI'!B118</f>
        <v>Lausanne</v>
      </c>
      <c r="C116" s="353">
        <f>'B) D RI'!U118</f>
        <v>6075429.3645991571</v>
      </c>
      <c r="D116" s="40">
        <f>'B) D RI'!AA118</f>
        <v>137053</v>
      </c>
      <c r="E116" s="231">
        <f t="shared" si="13"/>
        <v>44.329050546862582</v>
      </c>
      <c r="F116" s="71">
        <f t="shared" si="14"/>
        <v>0.95128963793583021</v>
      </c>
      <c r="G116" s="312">
        <f t="shared" si="15"/>
        <v>0</v>
      </c>
      <c r="H116" s="312">
        <f t="shared" si="16"/>
        <v>0</v>
      </c>
      <c r="I116" s="312">
        <f t="shared" si="17"/>
        <v>0</v>
      </c>
      <c r="J116" s="312">
        <f t="shared" si="18"/>
        <v>0</v>
      </c>
      <c r="K116" s="313">
        <f t="shared" si="19"/>
        <v>0</v>
      </c>
      <c r="L116" s="66">
        <f>K116*D116*'B) D RI'!S118</f>
        <v>0</v>
      </c>
      <c r="M116" s="19">
        <f>(('B) D RI'!S118*C116)-(L116*$M$4))/'B) D RI'!S118</f>
        <v>6075429.3645991571</v>
      </c>
      <c r="N116" s="302">
        <f t="shared" si="20"/>
        <v>44.329050546862582</v>
      </c>
      <c r="O116" s="71">
        <f t="shared" si="21"/>
        <v>0.9783293340287974</v>
      </c>
      <c r="R116" s="17"/>
    </row>
    <row r="117" spans="1:18" x14ac:dyDescent="0.25">
      <c r="A117" s="355">
        <f>'A) Base RI'!A119</f>
        <v>5587</v>
      </c>
      <c r="B117" s="40" t="str">
        <f>'A) Base RI'!B119</f>
        <v>Le Mont-sur-Lausanne</v>
      </c>
      <c r="C117" s="353">
        <f>'B) D RI'!U119</f>
        <v>413343.80273333337</v>
      </c>
      <c r="D117" s="40">
        <f>'B) D RI'!AA119</f>
        <v>7881</v>
      </c>
      <c r="E117" s="231">
        <f t="shared" si="13"/>
        <v>52.448141445671027</v>
      </c>
      <c r="F117" s="71">
        <f t="shared" si="14"/>
        <v>1.1255231698119652</v>
      </c>
      <c r="G117" s="312">
        <f t="shared" si="15"/>
        <v>0</v>
      </c>
      <c r="H117" s="312">
        <f t="shared" si="16"/>
        <v>0</v>
      </c>
      <c r="I117" s="312">
        <f t="shared" si="17"/>
        <v>0</v>
      </c>
      <c r="J117" s="312">
        <f t="shared" si="18"/>
        <v>0</v>
      </c>
      <c r="K117" s="313">
        <f t="shared" si="19"/>
        <v>0</v>
      </c>
      <c r="L117" s="66">
        <f>K117*D117*'B) D RI'!S119</f>
        <v>0</v>
      </c>
      <c r="M117" s="19">
        <f>(('B) D RI'!S119*C117)-(L117*$M$4))/'B) D RI'!S119</f>
        <v>413343.80273333337</v>
      </c>
      <c r="N117" s="302">
        <f t="shared" si="20"/>
        <v>52.448141445671027</v>
      </c>
      <c r="O117" s="71">
        <f t="shared" si="21"/>
        <v>1.1575153236667532</v>
      </c>
      <c r="R117" s="17"/>
    </row>
    <row r="118" spans="1:18" x14ac:dyDescent="0.25">
      <c r="A118" s="355">
        <f>'A) Base RI'!A120</f>
        <v>5588</v>
      </c>
      <c r="B118" s="40" t="str">
        <f>'A) Base RI'!B120</f>
        <v>Paudex</v>
      </c>
      <c r="C118" s="353">
        <f>'B) D RI'!U120</f>
        <v>160000.57716608592</v>
      </c>
      <c r="D118" s="40">
        <f>'B) D RI'!AA120</f>
        <v>1473</v>
      </c>
      <c r="E118" s="231">
        <f t="shared" si="13"/>
        <v>108.62225197969173</v>
      </c>
      <c r="F118" s="71">
        <f t="shared" si="14"/>
        <v>2.3310046455495037</v>
      </c>
      <c r="G118" s="312">
        <f t="shared" si="15"/>
        <v>52.703572184481565</v>
      </c>
      <c r="H118" s="312">
        <f t="shared" si="16"/>
        <v>38.72390223567902</v>
      </c>
      <c r="I118" s="312">
        <f t="shared" si="17"/>
        <v>15.424452321008118</v>
      </c>
      <c r="J118" s="312">
        <f t="shared" si="18"/>
        <v>0</v>
      </c>
      <c r="K118" s="313">
        <f t="shared" si="19"/>
        <v>24.388121442082081</v>
      </c>
      <c r="L118" s="66">
        <f>K118*D118*'B) D RI'!S120</f>
        <v>2209307.7273774943</v>
      </c>
      <c r="M118" s="19">
        <f>(('B) D RI'!S120*C118)-(L118*$M$4))/'B) D RI'!S120</f>
        <v>142038.72572399248</v>
      </c>
      <c r="N118" s="302">
        <f t="shared" si="20"/>
        <v>96.428191258650699</v>
      </c>
      <c r="O118" s="71">
        <f t="shared" si="21"/>
        <v>2.1281423123634693</v>
      </c>
      <c r="R118" s="17"/>
    </row>
    <row r="119" spans="1:18" x14ac:dyDescent="0.25">
      <c r="A119" s="355">
        <f>'A) Base RI'!A121</f>
        <v>5589</v>
      </c>
      <c r="B119" s="40" t="str">
        <f>'A) Base RI'!B121</f>
        <v>Prilly</v>
      </c>
      <c r="C119" s="353">
        <f>'B) D RI'!U121</f>
        <v>437574.2323809524</v>
      </c>
      <c r="D119" s="40">
        <f>'B) D RI'!AA121</f>
        <v>11871</v>
      </c>
      <c r="E119" s="231">
        <f t="shared" si="13"/>
        <v>36.860772671295798</v>
      </c>
      <c r="F119" s="71">
        <f t="shared" si="14"/>
        <v>0.791022380491605</v>
      </c>
      <c r="G119" s="312">
        <f t="shared" si="15"/>
        <v>0</v>
      </c>
      <c r="H119" s="312">
        <f t="shared" si="16"/>
        <v>0</v>
      </c>
      <c r="I119" s="312">
        <f t="shared" si="17"/>
        <v>0</v>
      </c>
      <c r="J119" s="312">
        <f t="shared" si="18"/>
        <v>0</v>
      </c>
      <c r="K119" s="313">
        <f t="shared" si="19"/>
        <v>0</v>
      </c>
      <c r="L119" s="66">
        <f>K119*D119*'B) D RI'!S121</f>
        <v>0</v>
      </c>
      <c r="M119" s="19">
        <f>(('B) D RI'!S121*C119)-(L119*$M$4))/'B) D RI'!S121</f>
        <v>437574.2323809524</v>
      </c>
      <c r="N119" s="302">
        <f t="shared" si="20"/>
        <v>36.860772671295798</v>
      </c>
      <c r="O119" s="71">
        <f t="shared" si="21"/>
        <v>0.81350659972229034</v>
      </c>
      <c r="R119" s="17"/>
    </row>
    <row r="120" spans="1:18" x14ac:dyDescent="0.25">
      <c r="A120" s="355">
        <f>'A) Base RI'!A122</f>
        <v>5590</v>
      </c>
      <c r="B120" s="40" t="str">
        <f>'A) Base RI'!B122</f>
        <v>Pully</v>
      </c>
      <c r="C120" s="353">
        <f>'B) D RI'!U122</f>
        <v>1422298.2200936768</v>
      </c>
      <c r="D120" s="40">
        <f>'B) D RI'!AA122</f>
        <v>17979</v>
      </c>
      <c r="E120" s="231">
        <f t="shared" si="13"/>
        <v>79.108861454679172</v>
      </c>
      <c r="F120" s="71">
        <f t="shared" si="14"/>
        <v>1.6976551322970701</v>
      </c>
      <c r="G120" s="312">
        <f t="shared" si="15"/>
        <v>23.190181659469012</v>
      </c>
      <c r="H120" s="312">
        <f t="shared" si="16"/>
        <v>9.2105117106664665</v>
      </c>
      <c r="I120" s="312">
        <f t="shared" si="17"/>
        <v>0</v>
      </c>
      <c r="J120" s="312">
        <f t="shared" si="18"/>
        <v>0</v>
      </c>
      <c r="K120" s="313">
        <f t="shared" si="19"/>
        <v>9.2695165684754919</v>
      </c>
      <c r="L120" s="66">
        <f>K120*D120*'B) D RI'!S122</f>
        <v>10166054.941461872</v>
      </c>
      <c r="M120" s="19">
        <f>(('B) D RI'!S122*C120)-(L120*$M$4))/'B) D RI'!S122</f>
        <v>1338969.9009013665</v>
      </c>
      <c r="N120" s="302">
        <f t="shared" si="20"/>
        <v>74.474103170441438</v>
      </c>
      <c r="O120" s="71">
        <f t="shared" si="21"/>
        <v>1.6436219332084623</v>
      </c>
      <c r="R120" s="17"/>
    </row>
    <row r="121" spans="1:18" x14ac:dyDescent="0.25">
      <c r="A121" s="355">
        <f>'A) Base RI'!A123</f>
        <v>5591</v>
      </c>
      <c r="B121" s="40" t="str">
        <f>'A) Base RI'!B123</f>
        <v>Renens</v>
      </c>
      <c r="C121" s="353">
        <f>'B) D RI'!U123</f>
        <v>529647.11015468603</v>
      </c>
      <c r="D121" s="40">
        <f>'B) D RI'!AA123</f>
        <v>20323</v>
      </c>
      <c r="E121" s="231">
        <f t="shared" si="13"/>
        <v>26.06146288218698</v>
      </c>
      <c r="F121" s="71">
        <f t="shared" si="14"/>
        <v>0.5592720638820089</v>
      </c>
      <c r="G121" s="312">
        <f t="shared" si="15"/>
        <v>0</v>
      </c>
      <c r="H121" s="312">
        <f t="shared" si="16"/>
        <v>0</v>
      </c>
      <c r="I121" s="312">
        <f t="shared" si="17"/>
        <v>0</v>
      </c>
      <c r="J121" s="312">
        <f t="shared" si="18"/>
        <v>0</v>
      </c>
      <c r="K121" s="313">
        <f t="shared" si="19"/>
        <v>0</v>
      </c>
      <c r="L121" s="66">
        <f>K121*D121*'B) D RI'!S123</f>
        <v>0</v>
      </c>
      <c r="M121" s="19">
        <f>(('B) D RI'!S123*C121)-(L121*$M$4))/'B) D RI'!S123</f>
        <v>529647.11015468603</v>
      </c>
      <c r="N121" s="302">
        <f t="shared" si="20"/>
        <v>26.06146288218698</v>
      </c>
      <c r="O121" s="71">
        <f t="shared" si="21"/>
        <v>0.57516895378556121</v>
      </c>
      <c r="R121" s="17"/>
    </row>
    <row r="122" spans="1:18" x14ac:dyDescent="0.25">
      <c r="A122" s="355">
        <f>'A) Base RI'!A124</f>
        <v>5592</v>
      </c>
      <c r="B122" s="40" t="str">
        <f>'A) Base RI'!B124</f>
        <v>Romanel-sur-Lausanne</v>
      </c>
      <c r="C122" s="353">
        <f>'B) D RI'!U124</f>
        <v>116555.94314285714</v>
      </c>
      <c r="D122" s="40">
        <f>'B) D RI'!AA124</f>
        <v>3352</v>
      </c>
      <c r="E122" s="231">
        <f t="shared" si="13"/>
        <v>34.772059410160246</v>
      </c>
      <c r="F122" s="71">
        <f t="shared" si="14"/>
        <v>0.74619914928260633</v>
      </c>
      <c r="G122" s="312">
        <f t="shared" si="15"/>
        <v>0</v>
      </c>
      <c r="H122" s="312">
        <f t="shared" si="16"/>
        <v>0</v>
      </c>
      <c r="I122" s="312">
        <f t="shared" si="17"/>
        <v>0</v>
      </c>
      <c r="J122" s="312">
        <f t="shared" si="18"/>
        <v>0</v>
      </c>
      <c r="K122" s="313">
        <f t="shared" si="19"/>
        <v>0</v>
      </c>
      <c r="L122" s="66">
        <f>K122*D122*'B) D RI'!S124</f>
        <v>0</v>
      </c>
      <c r="M122" s="19">
        <f>(('B) D RI'!S124*C122)-(L122*$M$4))/'B) D RI'!S124</f>
        <v>116555.94314285714</v>
      </c>
      <c r="N122" s="302">
        <f t="shared" si="20"/>
        <v>34.772059410160246</v>
      </c>
      <c r="O122" s="71">
        <f t="shared" si="21"/>
        <v>0.76740930170812183</v>
      </c>
      <c r="R122" s="17"/>
    </row>
    <row r="123" spans="1:18" x14ac:dyDescent="0.25">
      <c r="A123" s="355">
        <f>'A) Base RI'!A125</f>
        <v>5601</v>
      </c>
      <c r="B123" s="40" t="str">
        <f>'A) Base RI'!B125</f>
        <v>Chexbres</v>
      </c>
      <c r="C123" s="353">
        <f>'B) D RI'!U125</f>
        <v>99746.160000000018</v>
      </c>
      <c r="D123" s="40">
        <f>'B) D RI'!AA125</f>
        <v>2235</v>
      </c>
      <c r="E123" s="231">
        <f t="shared" si="13"/>
        <v>44.629154362416116</v>
      </c>
      <c r="F123" s="71">
        <f t="shared" si="14"/>
        <v>0.95772978602199954</v>
      </c>
      <c r="G123" s="312">
        <f t="shared" si="15"/>
        <v>0</v>
      </c>
      <c r="H123" s="312">
        <f t="shared" si="16"/>
        <v>0</v>
      </c>
      <c r="I123" s="312">
        <f t="shared" si="17"/>
        <v>0</v>
      </c>
      <c r="J123" s="312">
        <f t="shared" si="18"/>
        <v>0</v>
      </c>
      <c r="K123" s="313">
        <f t="shared" si="19"/>
        <v>0</v>
      </c>
      <c r="L123" s="66">
        <f>K123*D123*'B) D RI'!S125</f>
        <v>0</v>
      </c>
      <c r="M123" s="19">
        <f>(('B) D RI'!S125*C123)-(L123*$M$4))/'B) D RI'!S125</f>
        <v>99746.160000000018</v>
      </c>
      <c r="N123" s="302">
        <f t="shared" si="20"/>
        <v>44.629154362416116</v>
      </c>
      <c r="O123" s="71">
        <f t="shared" si="21"/>
        <v>0.9849525385050496</v>
      </c>
      <c r="R123" s="17"/>
    </row>
    <row r="124" spans="1:18" x14ac:dyDescent="0.25">
      <c r="A124" s="355">
        <f>'A) Base RI'!A126</f>
        <v>5604</v>
      </c>
      <c r="B124" s="40" t="str">
        <f>'A) Base RI'!B126</f>
        <v>Forel (Lavaux)</v>
      </c>
      <c r="C124" s="353">
        <f>'B) D RI'!U126</f>
        <v>71240.347352941171</v>
      </c>
      <c r="D124" s="40">
        <f>'B) D RI'!AA126</f>
        <v>2066</v>
      </c>
      <c r="E124" s="231">
        <f t="shared" si="13"/>
        <v>34.482259125334544</v>
      </c>
      <c r="F124" s="71">
        <f t="shared" si="14"/>
        <v>0.73998011222621596</v>
      </c>
      <c r="G124" s="312">
        <f t="shared" si="15"/>
        <v>0</v>
      </c>
      <c r="H124" s="312">
        <f t="shared" si="16"/>
        <v>0</v>
      </c>
      <c r="I124" s="312">
        <f t="shared" si="17"/>
        <v>0</v>
      </c>
      <c r="J124" s="312">
        <f t="shared" si="18"/>
        <v>0</v>
      </c>
      <c r="K124" s="313">
        <f t="shared" si="19"/>
        <v>0</v>
      </c>
      <c r="L124" s="66">
        <f>K124*D124*'B) D RI'!S126</f>
        <v>0</v>
      </c>
      <c r="M124" s="19">
        <f>(('B) D RI'!S126*C124)-(L124*$M$4))/'B) D RI'!S126</f>
        <v>71240.347352941171</v>
      </c>
      <c r="N124" s="302">
        <f t="shared" si="20"/>
        <v>34.482259125334544</v>
      </c>
      <c r="O124" s="71">
        <f t="shared" si="21"/>
        <v>0.76101349317720912</v>
      </c>
      <c r="R124" s="17"/>
    </row>
    <row r="125" spans="1:18" x14ac:dyDescent="0.25">
      <c r="A125" s="355">
        <f>'A) Base RI'!A127</f>
        <v>5606</v>
      </c>
      <c r="B125" s="40" t="str">
        <f>'A) Base RI'!B127</f>
        <v>Lutry</v>
      </c>
      <c r="C125" s="353">
        <f>'B) D RI'!U127</f>
        <v>770648.37755469768</v>
      </c>
      <c r="D125" s="40">
        <f>'B) D RI'!AA127</f>
        <v>9888</v>
      </c>
      <c r="E125" s="231">
        <f t="shared" si="13"/>
        <v>77.937740448492889</v>
      </c>
      <c r="F125" s="71">
        <f t="shared" si="14"/>
        <v>1.6725231868976023</v>
      </c>
      <c r="G125" s="312">
        <f t="shared" si="15"/>
        <v>22.019060653282729</v>
      </c>
      <c r="H125" s="312">
        <f t="shared" si="16"/>
        <v>8.0393907044801836</v>
      </c>
      <c r="I125" s="312">
        <f t="shared" si="17"/>
        <v>0</v>
      </c>
      <c r="J125" s="312">
        <f t="shared" si="18"/>
        <v>0</v>
      </c>
      <c r="K125" s="313">
        <f t="shared" si="19"/>
        <v>8.7308009056298008</v>
      </c>
      <c r="L125" s="66">
        <f>K125*D125*'B) D RI'!S127</f>
        <v>4791323.8441951443</v>
      </c>
      <c r="M125" s="19">
        <f>(('B) D RI'!S127*C125)-(L125*$M$4))/'B) D RI'!S127</f>
        <v>727483.29787726386</v>
      </c>
      <c r="N125" s="302">
        <f t="shared" si="20"/>
        <v>73.572339995677979</v>
      </c>
      <c r="O125" s="71">
        <f t="shared" si="21"/>
        <v>1.6237202805600397</v>
      </c>
      <c r="R125" s="17"/>
    </row>
    <row r="126" spans="1:18" x14ac:dyDescent="0.25">
      <c r="A126" s="355">
        <f>'A) Base RI'!A128</f>
        <v>5607</v>
      </c>
      <c r="B126" s="40" t="str">
        <f>'A) Base RI'!B128</f>
        <v>Puidoux</v>
      </c>
      <c r="C126" s="353">
        <f>'B) D RI'!U128</f>
        <v>97147.534937888209</v>
      </c>
      <c r="D126" s="40">
        <f>'B) D RI'!AA128</f>
        <v>2874</v>
      </c>
      <c r="E126" s="231">
        <f t="shared" si="13"/>
        <v>33.802204223343146</v>
      </c>
      <c r="F126" s="71">
        <f t="shared" si="14"/>
        <v>0.72538631485155802</v>
      </c>
      <c r="G126" s="312">
        <f t="shared" si="15"/>
        <v>0</v>
      </c>
      <c r="H126" s="312">
        <f t="shared" si="16"/>
        <v>0</v>
      </c>
      <c r="I126" s="312">
        <f t="shared" si="17"/>
        <v>0</v>
      </c>
      <c r="J126" s="312">
        <f t="shared" si="18"/>
        <v>0</v>
      </c>
      <c r="K126" s="313">
        <f t="shared" si="19"/>
        <v>0</v>
      </c>
      <c r="L126" s="66">
        <f>K126*D126*'B) D RI'!S128</f>
        <v>0</v>
      </c>
      <c r="M126" s="19">
        <f>(('B) D RI'!S128*C126)-(L126*$M$4))/'B) D RI'!S128</f>
        <v>97147.534937888209</v>
      </c>
      <c r="N126" s="302">
        <f t="shared" si="20"/>
        <v>33.802204223343146</v>
      </c>
      <c r="O126" s="71">
        <f t="shared" si="21"/>
        <v>0.74600487803295013</v>
      </c>
      <c r="R126" s="17"/>
    </row>
    <row r="127" spans="1:18" x14ac:dyDescent="0.25">
      <c r="A127" s="355">
        <f>'A) Base RI'!A129</f>
        <v>5609</v>
      </c>
      <c r="B127" s="40" t="str">
        <f>'A) Base RI'!B129</f>
        <v>Rivaz</v>
      </c>
      <c r="C127" s="353">
        <f>'B) D RI'!U129</f>
        <v>16888.91165354331</v>
      </c>
      <c r="D127" s="40">
        <f>'B) D RI'!AA129</f>
        <v>357</v>
      </c>
      <c r="E127" s="231">
        <f t="shared" si="13"/>
        <v>47.30787578023336</v>
      </c>
      <c r="F127" s="71">
        <f t="shared" si="14"/>
        <v>1.0152144353941408</v>
      </c>
      <c r="G127" s="312">
        <f t="shared" si="15"/>
        <v>0</v>
      </c>
      <c r="H127" s="312">
        <f t="shared" si="16"/>
        <v>0</v>
      </c>
      <c r="I127" s="312">
        <f t="shared" si="17"/>
        <v>0</v>
      </c>
      <c r="J127" s="312">
        <f t="shared" si="18"/>
        <v>0</v>
      </c>
      <c r="K127" s="313">
        <f t="shared" si="19"/>
        <v>0</v>
      </c>
      <c r="L127" s="66">
        <f>K127*D127*'B) D RI'!S129</f>
        <v>0</v>
      </c>
      <c r="M127" s="19">
        <f>(('B) D RI'!S129*C127)-(L127*$M$4))/'B) D RI'!S129</f>
        <v>16888.91165354331</v>
      </c>
      <c r="N127" s="302">
        <f t="shared" si="20"/>
        <v>47.30787578023336</v>
      </c>
      <c r="O127" s="71">
        <f t="shared" si="21"/>
        <v>1.0440711460189049</v>
      </c>
      <c r="R127" s="17"/>
    </row>
    <row r="128" spans="1:18" x14ac:dyDescent="0.25">
      <c r="A128" s="355">
        <f>'A) Base RI'!A130</f>
        <v>5610</v>
      </c>
      <c r="B128" s="40" t="str">
        <f>'A) Base RI'!B130</f>
        <v>St-Saphorin (Lavaux)</v>
      </c>
      <c r="C128" s="353">
        <f>'B) D RI'!U130</f>
        <v>20007.714179104478</v>
      </c>
      <c r="D128" s="40">
        <f>'B) D RI'!AA130</f>
        <v>398</v>
      </c>
      <c r="E128" s="231">
        <f t="shared" si="13"/>
        <v>50.270638640966027</v>
      </c>
      <c r="F128" s="71">
        <f t="shared" si="14"/>
        <v>1.0787945386065156</v>
      </c>
      <c r="G128" s="312">
        <f t="shared" si="15"/>
        <v>0</v>
      </c>
      <c r="H128" s="312">
        <f t="shared" si="16"/>
        <v>0</v>
      </c>
      <c r="I128" s="312">
        <f t="shared" si="17"/>
        <v>0</v>
      </c>
      <c r="J128" s="312">
        <f t="shared" si="18"/>
        <v>0</v>
      </c>
      <c r="K128" s="313">
        <f t="shared" si="19"/>
        <v>0</v>
      </c>
      <c r="L128" s="66">
        <f>K128*D128*'B) D RI'!S130</f>
        <v>0</v>
      </c>
      <c r="M128" s="19">
        <f>(('B) D RI'!S130*C128)-(L128*$M$4))/'B) D RI'!S130</f>
        <v>20007.714179104478</v>
      </c>
      <c r="N128" s="302">
        <f t="shared" si="20"/>
        <v>50.270638640966027</v>
      </c>
      <c r="O128" s="71">
        <f t="shared" si="21"/>
        <v>1.1094584660870761</v>
      </c>
      <c r="R128" s="17"/>
    </row>
    <row r="129" spans="1:18" x14ac:dyDescent="0.25">
      <c r="A129" s="355">
        <f>'A) Base RI'!A131</f>
        <v>5611</v>
      </c>
      <c r="B129" s="40" t="str">
        <f>'A) Base RI'!B131</f>
        <v>Savigny</v>
      </c>
      <c r="C129" s="353">
        <f>'B) D RI'!U131</f>
        <v>115537.42516908211</v>
      </c>
      <c r="D129" s="40">
        <f>'B) D RI'!AA131</f>
        <v>3276</v>
      </c>
      <c r="E129" s="231">
        <f t="shared" si="13"/>
        <v>35.267834300696613</v>
      </c>
      <c r="F129" s="71">
        <f t="shared" si="14"/>
        <v>0.75683834661026939</v>
      </c>
      <c r="G129" s="312">
        <f t="shared" si="15"/>
        <v>0</v>
      </c>
      <c r="H129" s="312">
        <f t="shared" si="16"/>
        <v>0</v>
      </c>
      <c r="I129" s="312">
        <f t="shared" si="17"/>
        <v>0</v>
      </c>
      <c r="J129" s="312">
        <f t="shared" si="18"/>
        <v>0</v>
      </c>
      <c r="K129" s="313">
        <f t="shared" si="19"/>
        <v>0</v>
      </c>
      <c r="L129" s="66">
        <f>K129*D129*'B) D RI'!S131</f>
        <v>0</v>
      </c>
      <c r="M129" s="19">
        <f>(('B) D RI'!S131*C129)-(L129*$M$4))/'B) D RI'!S131</f>
        <v>115537.42516908211</v>
      </c>
      <c r="N129" s="302">
        <f t="shared" si="20"/>
        <v>35.267834300696613</v>
      </c>
      <c r="O129" s="71">
        <f t="shared" si="21"/>
        <v>0.77835091025834091</v>
      </c>
      <c r="R129" s="17"/>
    </row>
    <row r="130" spans="1:18" x14ac:dyDescent="0.25">
      <c r="A130" s="355">
        <f>'A) Base RI'!A132</f>
        <v>5613</v>
      </c>
      <c r="B130" s="40" t="str">
        <f>'A) Base RI'!B132</f>
        <v>Bourg-en-Lavaux</v>
      </c>
      <c r="C130" s="353">
        <f>'B) D RI'!U132</f>
        <v>301872.13311475411</v>
      </c>
      <c r="D130" s="40">
        <f>'B) D RI'!AA132</f>
        <v>5296</v>
      </c>
      <c r="E130" s="231">
        <f t="shared" si="13"/>
        <v>57.00002513496112</v>
      </c>
      <c r="F130" s="71">
        <f t="shared" si="14"/>
        <v>1.2232053834685184</v>
      </c>
      <c r="G130" s="312">
        <f t="shared" si="15"/>
        <v>1.0813453397509605</v>
      </c>
      <c r="H130" s="312">
        <f t="shared" si="16"/>
        <v>0</v>
      </c>
      <c r="I130" s="312">
        <f t="shared" si="17"/>
        <v>0</v>
      </c>
      <c r="J130" s="312">
        <f t="shared" si="18"/>
        <v>0</v>
      </c>
      <c r="K130" s="313">
        <f t="shared" si="19"/>
        <v>0.38928432231034577</v>
      </c>
      <c r="L130" s="66">
        <f>K130*D130*'B) D RI'!S132</f>
        <v>125760.63602829106</v>
      </c>
      <c r="M130" s="19">
        <f>(('B) D RI'!S132*C130)-(L130*$M$4))/'B) D RI'!S132</f>
        <v>300841.30822927633</v>
      </c>
      <c r="N130" s="302">
        <f t="shared" si="20"/>
        <v>56.805382973805955</v>
      </c>
      <c r="O130" s="71">
        <f t="shared" si="21"/>
        <v>1.2536783849061635</v>
      </c>
      <c r="R130" s="17"/>
    </row>
    <row r="131" spans="1:18" x14ac:dyDescent="0.25">
      <c r="A131" s="355">
        <f>'A) Base RI'!A133</f>
        <v>5621</v>
      </c>
      <c r="B131" s="40" t="str">
        <f>'A) Base RI'!B133</f>
        <v>Aclens</v>
      </c>
      <c r="C131" s="353">
        <f>'B) D RI'!U133</f>
        <v>26820.105850439882</v>
      </c>
      <c r="D131" s="40">
        <f>'B) D RI'!AA133</f>
        <v>521</v>
      </c>
      <c r="E131" s="231">
        <f t="shared" si="13"/>
        <v>51.478130231170603</v>
      </c>
      <c r="F131" s="71">
        <f t="shared" si="14"/>
        <v>1.1047069870683193</v>
      </c>
      <c r="G131" s="312">
        <f t="shared" si="15"/>
        <v>0</v>
      </c>
      <c r="H131" s="312">
        <f t="shared" si="16"/>
        <v>0</v>
      </c>
      <c r="I131" s="312">
        <f t="shared" si="17"/>
        <v>0</v>
      </c>
      <c r="J131" s="312">
        <f t="shared" si="18"/>
        <v>0</v>
      </c>
      <c r="K131" s="313">
        <f t="shared" si="19"/>
        <v>0</v>
      </c>
      <c r="L131" s="66">
        <f>K131*D131*'B) D RI'!S133</f>
        <v>0</v>
      </c>
      <c r="M131" s="19">
        <f>(('B) D RI'!S133*C131)-(L131*$M$4))/'B) D RI'!S133</f>
        <v>26820.105850439882</v>
      </c>
      <c r="N131" s="302">
        <f t="shared" si="20"/>
        <v>51.478130231170603</v>
      </c>
      <c r="O131" s="71">
        <f t="shared" si="21"/>
        <v>1.1361074565057041</v>
      </c>
      <c r="R131" s="17"/>
    </row>
    <row r="132" spans="1:18" x14ac:dyDescent="0.25">
      <c r="A132" s="355">
        <f>'A) Base RI'!A134</f>
        <v>5622</v>
      </c>
      <c r="B132" s="40" t="str">
        <f>'A) Base RI'!B134</f>
        <v>Bremblens</v>
      </c>
      <c r="C132" s="353">
        <f>'B) D RI'!U134</f>
        <v>32681.756515151512</v>
      </c>
      <c r="D132" s="40">
        <f>'B) D RI'!AA134</f>
        <v>516</v>
      </c>
      <c r="E132" s="231">
        <f t="shared" si="13"/>
        <v>63.336737432464169</v>
      </c>
      <c r="F132" s="71">
        <f t="shared" si="14"/>
        <v>1.3591895444832605</v>
      </c>
      <c r="G132" s="312">
        <f t="shared" si="15"/>
        <v>7.4180576372540088</v>
      </c>
      <c r="H132" s="312">
        <f t="shared" si="16"/>
        <v>0</v>
      </c>
      <c r="I132" s="312">
        <f t="shared" si="17"/>
        <v>0</v>
      </c>
      <c r="J132" s="312">
        <f t="shared" si="18"/>
        <v>0</v>
      </c>
      <c r="K132" s="313">
        <f t="shared" si="19"/>
        <v>2.6705007494114432</v>
      </c>
      <c r="L132" s="66">
        <f>K132*D132*'B) D RI'!S134</f>
        <v>90946.573521956103</v>
      </c>
      <c r="M132" s="19">
        <f>(('B) D RI'!S134*C132)-(L132*$M$4))/'B) D RI'!S134</f>
        <v>31992.76732180336</v>
      </c>
      <c r="N132" s="302">
        <f t="shared" si="20"/>
        <v>62.001487057758446</v>
      </c>
      <c r="O132" s="71">
        <f t="shared" si="21"/>
        <v>1.3683549003127706</v>
      </c>
      <c r="R132" s="17"/>
    </row>
    <row r="133" spans="1:18" x14ac:dyDescent="0.25">
      <c r="A133" s="355">
        <f>'A) Base RI'!A135</f>
        <v>5623</v>
      </c>
      <c r="B133" s="40" t="str">
        <f>'A) Base RI'!B135</f>
        <v>Buchillon</v>
      </c>
      <c r="C133" s="353">
        <f>'B) D RI'!U135</f>
        <v>82402.410188679249</v>
      </c>
      <c r="D133" s="40">
        <f>'B) D RI'!AA135</f>
        <v>609</v>
      </c>
      <c r="E133" s="231">
        <f t="shared" si="13"/>
        <v>135.30773429996592</v>
      </c>
      <c r="F133" s="71">
        <f t="shared" si="14"/>
        <v>2.903668000650244</v>
      </c>
      <c r="G133" s="312">
        <f t="shared" si="15"/>
        <v>79.389054504755762</v>
      </c>
      <c r="H133" s="312">
        <f t="shared" si="16"/>
        <v>65.40938455595321</v>
      </c>
      <c r="I133" s="312">
        <f t="shared" si="17"/>
        <v>42.109934641282308</v>
      </c>
      <c r="J133" s="312">
        <f t="shared" si="18"/>
        <v>0</v>
      </c>
      <c r="K133" s="313">
        <f t="shared" si="19"/>
        <v>39.331991541435627</v>
      </c>
      <c r="L133" s="66">
        <f>K133*D133*'B) D RI'!S135</f>
        <v>1269518.6909829178</v>
      </c>
      <c r="M133" s="19">
        <f>(('B) D RI'!S135*C133)-(L133*$M$4))/'B) D RI'!S135</f>
        <v>70425.818764312105</v>
      </c>
      <c r="N133" s="302">
        <f t="shared" si="20"/>
        <v>115.64173852924812</v>
      </c>
      <c r="O133" s="71">
        <f t="shared" si="21"/>
        <v>2.5521797477175809</v>
      </c>
      <c r="R133" s="17"/>
    </row>
    <row r="134" spans="1:18" x14ac:dyDescent="0.25">
      <c r="A134" s="355">
        <f>'A) Base RI'!A136</f>
        <v>5624</v>
      </c>
      <c r="B134" s="40" t="str">
        <f>'A) Base RI'!B136</f>
        <v>Bussigny</v>
      </c>
      <c r="C134" s="353">
        <f>'B) D RI'!U136</f>
        <v>334130.13322580641</v>
      </c>
      <c r="D134" s="40">
        <f>'B) D RI'!AA136</f>
        <v>8227</v>
      </c>
      <c r="E134" s="231">
        <f t="shared" ref="E134:E197" si="22">C134/D134</f>
        <v>40.613848696463641</v>
      </c>
      <c r="F134" s="71">
        <f t="shared" ref="F134:F197" si="23">E134/$E$314</f>
        <v>0.87156239407374225</v>
      </c>
      <c r="G134" s="312">
        <f t="shared" ref="G134:G197" si="24">IF(E134-$G$2&lt;0,0,E134-$G$2)</f>
        <v>0</v>
      </c>
      <c r="H134" s="312">
        <f t="shared" ref="H134:H197" si="25">IF(E134-$H$2&lt;0,0,E134-$H$2)</f>
        <v>0</v>
      </c>
      <c r="I134" s="312">
        <f t="shared" ref="I134:I197" si="26">IF(E134-$I$2&lt;0,0,E134-$I$2)</f>
        <v>0</v>
      </c>
      <c r="J134" s="312">
        <f t="shared" ref="J134:J197" si="27">IF(E134-$J$2&lt;0,0,E134-$J$2)</f>
        <v>0</v>
      </c>
      <c r="K134" s="313">
        <f t="shared" ref="K134:K197" si="28">(G134-H134)*$G$3+(H134-I134)*$H$3+(I134-J134)*$I$3+(J134*$J$3)</f>
        <v>0</v>
      </c>
      <c r="L134" s="66">
        <f>K134*D134*'B) D RI'!S136</f>
        <v>0</v>
      </c>
      <c r="M134" s="19">
        <f>(('B) D RI'!S136*C134)-(L134*$M$4))/'B) D RI'!S136</f>
        <v>334130.13322580641</v>
      </c>
      <c r="N134" s="302">
        <f t="shared" ref="N134:N197" si="29">M134/D134</f>
        <v>40.613848696463641</v>
      </c>
      <c r="O134" s="71">
        <f t="shared" ref="O134:O197" si="30">N134/N$314</f>
        <v>0.89633590292111043</v>
      </c>
      <c r="R134" s="17"/>
    </row>
    <row r="135" spans="1:18" x14ac:dyDescent="0.25">
      <c r="A135" s="355">
        <f>'A) Base RI'!A137</f>
        <v>5625</v>
      </c>
      <c r="B135" s="40" t="str">
        <f>'A) Base RI'!B137</f>
        <v>Bussy-Chardonney</v>
      </c>
      <c r="C135" s="353">
        <f>'B) D RI'!U137</f>
        <v>13745.926324786325</v>
      </c>
      <c r="D135" s="40">
        <f>'B) D RI'!AA137</f>
        <v>369</v>
      </c>
      <c r="E135" s="231">
        <f t="shared" si="22"/>
        <v>37.251832858499526</v>
      </c>
      <c r="F135" s="71">
        <f t="shared" si="23"/>
        <v>0.79941442812869301</v>
      </c>
      <c r="G135" s="312">
        <f t="shared" si="24"/>
        <v>0</v>
      </c>
      <c r="H135" s="312">
        <f t="shared" si="25"/>
        <v>0</v>
      </c>
      <c r="I135" s="312">
        <f t="shared" si="26"/>
        <v>0</v>
      </c>
      <c r="J135" s="312">
        <f t="shared" si="27"/>
        <v>0</v>
      </c>
      <c r="K135" s="313">
        <f t="shared" si="28"/>
        <v>0</v>
      </c>
      <c r="L135" s="66">
        <f>K135*D135*'B) D RI'!S137</f>
        <v>0</v>
      </c>
      <c r="M135" s="19">
        <f>(('B) D RI'!S137*C135)-(L135*$M$4))/'B) D RI'!S137</f>
        <v>13745.926324786325</v>
      </c>
      <c r="N135" s="302">
        <f t="shared" si="29"/>
        <v>37.251832858499526</v>
      </c>
      <c r="O135" s="71">
        <f t="shared" si="30"/>
        <v>0.82213718503355815</v>
      </c>
      <c r="R135" s="17"/>
    </row>
    <row r="136" spans="1:18" x14ac:dyDescent="0.25">
      <c r="A136" s="355">
        <f>'A) Base RI'!A138</f>
        <v>5627</v>
      </c>
      <c r="B136" s="40" t="str">
        <f>'A) Base RI'!B138</f>
        <v>Chavannes-près-Renens</v>
      </c>
      <c r="C136" s="353">
        <f>'B) D RI'!U138</f>
        <v>171770.86046413501</v>
      </c>
      <c r="D136" s="40">
        <f>'B) D RI'!AA138</f>
        <v>7543</v>
      </c>
      <c r="E136" s="231">
        <f t="shared" si="22"/>
        <v>22.772220663414426</v>
      </c>
      <c r="F136" s="71">
        <f t="shared" si="23"/>
        <v>0.48868580045478893</v>
      </c>
      <c r="G136" s="312">
        <f t="shared" si="24"/>
        <v>0</v>
      </c>
      <c r="H136" s="312">
        <f t="shared" si="25"/>
        <v>0</v>
      </c>
      <c r="I136" s="312">
        <f t="shared" si="26"/>
        <v>0</v>
      </c>
      <c r="J136" s="312">
        <f t="shared" si="27"/>
        <v>0</v>
      </c>
      <c r="K136" s="313">
        <f t="shared" si="28"/>
        <v>0</v>
      </c>
      <c r="L136" s="66">
        <f>K136*D136*'B) D RI'!S138</f>
        <v>0</v>
      </c>
      <c r="M136" s="19">
        <f>(('B) D RI'!S138*C136)-(L136*$M$4))/'B) D RI'!S138</f>
        <v>171770.86046413501</v>
      </c>
      <c r="N136" s="302">
        <f t="shared" si="29"/>
        <v>22.772220663414426</v>
      </c>
      <c r="O136" s="71">
        <f t="shared" si="30"/>
        <v>0.50257632864126045</v>
      </c>
      <c r="R136" s="17"/>
    </row>
    <row r="137" spans="1:18" x14ac:dyDescent="0.25">
      <c r="A137" s="355">
        <f>'A) Base RI'!A139</f>
        <v>5628</v>
      </c>
      <c r="B137" s="40" t="str">
        <f>'A) Base RI'!B139</f>
        <v>Chigny</v>
      </c>
      <c r="C137" s="353">
        <f>'B) D RI'!U139</f>
        <v>19361.666733870967</v>
      </c>
      <c r="D137" s="40">
        <f>'B) D RI'!AA139</f>
        <v>343</v>
      </c>
      <c r="E137" s="231">
        <f t="shared" si="22"/>
        <v>56.448007970469291</v>
      </c>
      <c r="F137" s="71">
        <f t="shared" si="23"/>
        <v>1.211359241896218</v>
      </c>
      <c r="G137" s="312">
        <f t="shared" si="24"/>
        <v>0.52932817525913123</v>
      </c>
      <c r="H137" s="312">
        <f t="shared" si="25"/>
        <v>0</v>
      </c>
      <c r="I137" s="312">
        <f t="shared" si="26"/>
        <v>0</v>
      </c>
      <c r="J137" s="312">
        <f t="shared" si="27"/>
        <v>0</v>
      </c>
      <c r="K137" s="313">
        <f t="shared" si="28"/>
        <v>0.19055814309328722</v>
      </c>
      <c r="L137" s="66">
        <f>K137*D137*'B) D RI'!S139</f>
        <v>4052.409471021846</v>
      </c>
      <c r="M137" s="19">
        <f>(('B) D RI'!S139*C137)-(L137*$M$4))/'B) D RI'!S139</f>
        <v>19328.986012330468</v>
      </c>
      <c r="N137" s="302">
        <f t="shared" si="29"/>
        <v>56.352728898922649</v>
      </c>
      <c r="O137" s="71">
        <f t="shared" si="30"/>
        <v>1.2436884402950592</v>
      </c>
      <c r="R137" s="17"/>
    </row>
    <row r="138" spans="1:18" x14ac:dyDescent="0.25">
      <c r="A138" s="355">
        <f>'A) Base RI'!A140</f>
        <v>5629</v>
      </c>
      <c r="B138" s="40" t="str">
        <f>'A) Base RI'!B140</f>
        <v>Clarmont</v>
      </c>
      <c r="C138" s="353">
        <f>'B) D RI'!U140</f>
        <v>7536.1791999999996</v>
      </c>
      <c r="D138" s="40">
        <f>'B) D RI'!AA140</f>
        <v>175</v>
      </c>
      <c r="E138" s="231">
        <f t="shared" si="22"/>
        <v>43.063881142857142</v>
      </c>
      <c r="F138" s="71">
        <f t="shared" si="23"/>
        <v>0.92413943892600703</v>
      </c>
      <c r="G138" s="312">
        <f t="shared" si="24"/>
        <v>0</v>
      </c>
      <c r="H138" s="312">
        <f t="shared" si="25"/>
        <v>0</v>
      </c>
      <c r="I138" s="312">
        <f t="shared" si="26"/>
        <v>0</v>
      </c>
      <c r="J138" s="312">
        <f t="shared" si="27"/>
        <v>0</v>
      </c>
      <c r="K138" s="313">
        <f t="shared" si="28"/>
        <v>0</v>
      </c>
      <c r="L138" s="66">
        <f>K138*D138*'B) D RI'!S140</f>
        <v>0</v>
      </c>
      <c r="M138" s="19">
        <f>(('B) D RI'!S140*C138)-(L138*$M$4))/'B) D RI'!S140</f>
        <v>7536.1791999999996</v>
      </c>
      <c r="N138" s="302">
        <f t="shared" si="29"/>
        <v>43.063881142857142</v>
      </c>
      <c r="O138" s="71">
        <f t="shared" si="30"/>
        <v>0.95040741092905134</v>
      </c>
      <c r="R138" s="17"/>
    </row>
    <row r="139" spans="1:18" x14ac:dyDescent="0.25">
      <c r="A139" s="355">
        <f>'A) Base RI'!A141</f>
        <v>5631</v>
      </c>
      <c r="B139" s="40" t="str">
        <f>'A) Base RI'!B141</f>
        <v>Denens</v>
      </c>
      <c r="C139" s="353">
        <f>'B) D RI'!U141</f>
        <v>42221.936176470583</v>
      </c>
      <c r="D139" s="40">
        <f>'B) D RI'!AA141</f>
        <v>769</v>
      </c>
      <c r="E139" s="231">
        <f t="shared" si="22"/>
        <v>54.90498852596955</v>
      </c>
      <c r="F139" s="71">
        <f t="shared" si="23"/>
        <v>1.178246454895866</v>
      </c>
      <c r="G139" s="312">
        <f t="shared" si="24"/>
        <v>0</v>
      </c>
      <c r="H139" s="312">
        <f t="shared" si="25"/>
        <v>0</v>
      </c>
      <c r="I139" s="312">
        <f t="shared" si="26"/>
        <v>0</v>
      </c>
      <c r="J139" s="312">
        <f t="shared" si="27"/>
        <v>0</v>
      </c>
      <c r="K139" s="313">
        <f t="shared" si="28"/>
        <v>0</v>
      </c>
      <c r="L139" s="66">
        <f>K139*D139*'B) D RI'!S141</f>
        <v>0</v>
      </c>
      <c r="M139" s="19">
        <f>(('B) D RI'!S141*C139)-(L139*$M$4))/'B) D RI'!S141</f>
        <v>42221.936176470583</v>
      </c>
      <c r="N139" s="302">
        <f t="shared" si="29"/>
        <v>54.90498852596955</v>
      </c>
      <c r="O139" s="71">
        <f t="shared" si="30"/>
        <v>1.2117372286754804</v>
      </c>
      <c r="R139" s="17"/>
    </row>
    <row r="140" spans="1:18" x14ac:dyDescent="0.25">
      <c r="A140" s="355">
        <f>'A) Base RI'!A142</f>
        <v>5632</v>
      </c>
      <c r="B140" s="40" t="str">
        <f>'A) Base RI'!B142</f>
        <v>Denges</v>
      </c>
      <c r="C140" s="353">
        <f>'B) D RI'!U142</f>
        <v>67310.066612903232</v>
      </c>
      <c r="D140" s="40">
        <f>'B) D RI'!AA142</f>
        <v>1624</v>
      </c>
      <c r="E140" s="231">
        <f t="shared" si="22"/>
        <v>41.447085352772923</v>
      </c>
      <c r="F140" s="71">
        <f t="shared" si="23"/>
        <v>0.88944343116605185</v>
      </c>
      <c r="G140" s="312">
        <f t="shared" si="24"/>
        <v>0</v>
      </c>
      <c r="H140" s="312">
        <f t="shared" si="25"/>
        <v>0</v>
      </c>
      <c r="I140" s="312">
        <f t="shared" si="26"/>
        <v>0</v>
      </c>
      <c r="J140" s="312">
        <f t="shared" si="27"/>
        <v>0</v>
      </c>
      <c r="K140" s="313">
        <f t="shared" si="28"/>
        <v>0</v>
      </c>
      <c r="L140" s="66">
        <f>K140*D140*'B) D RI'!S142</f>
        <v>0</v>
      </c>
      <c r="M140" s="19">
        <f>(('B) D RI'!S142*C140)-(L140*$M$4))/'B) D RI'!S142</f>
        <v>67310.066612903232</v>
      </c>
      <c r="N140" s="302">
        <f t="shared" si="29"/>
        <v>41.447085352772923</v>
      </c>
      <c r="O140" s="71">
        <f t="shared" si="30"/>
        <v>0.91472519511210093</v>
      </c>
      <c r="R140" s="17"/>
    </row>
    <row r="141" spans="1:18" x14ac:dyDescent="0.25">
      <c r="A141" s="355">
        <f>'A) Base RI'!A143</f>
        <v>5633</v>
      </c>
      <c r="B141" s="40" t="str">
        <f>'A) Base RI'!B143</f>
        <v>Echandens</v>
      </c>
      <c r="C141" s="353">
        <f>'B) D RI'!U143</f>
        <v>139554.44612903227</v>
      </c>
      <c r="D141" s="40">
        <f>'B) D RI'!AA143</f>
        <v>2731</v>
      </c>
      <c r="E141" s="231">
        <f t="shared" si="22"/>
        <v>51.100126740766115</v>
      </c>
      <c r="F141" s="71">
        <f t="shared" si="23"/>
        <v>1.096595132672854</v>
      </c>
      <c r="G141" s="312">
        <f t="shared" si="24"/>
        <v>0</v>
      </c>
      <c r="H141" s="312">
        <f t="shared" si="25"/>
        <v>0</v>
      </c>
      <c r="I141" s="312">
        <f t="shared" si="26"/>
        <v>0</v>
      </c>
      <c r="J141" s="312">
        <f t="shared" si="27"/>
        <v>0</v>
      </c>
      <c r="K141" s="313">
        <f t="shared" si="28"/>
        <v>0</v>
      </c>
      <c r="L141" s="66">
        <f>K141*D141*'B) D RI'!S143</f>
        <v>0</v>
      </c>
      <c r="M141" s="19">
        <f>(('B) D RI'!S143*C141)-(L141*$M$4))/'B) D RI'!S143</f>
        <v>139554.44612903227</v>
      </c>
      <c r="N141" s="302">
        <f t="shared" si="29"/>
        <v>51.100126740766115</v>
      </c>
      <c r="O141" s="71">
        <f t="shared" si="30"/>
        <v>1.1277650287192791</v>
      </c>
      <c r="R141" s="17"/>
    </row>
    <row r="142" spans="1:18" x14ac:dyDescent="0.25">
      <c r="A142" s="355">
        <f>'A) Base RI'!A144</f>
        <v>5634</v>
      </c>
      <c r="B142" s="40" t="str">
        <f>'A) Base RI'!B144</f>
        <v>Echichens</v>
      </c>
      <c r="C142" s="353">
        <f>'B) D RI'!U144</f>
        <v>125699.21529411766</v>
      </c>
      <c r="D142" s="40">
        <f>'B) D RI'!AA144</f>
        <v>2639</v>
      </c>
      <c r="E142" s="231">
        <f t="shared" si="22"/>
        <v>47.631381316452313</v>
      </c>
      <c r="F142" s="71">
        <f t="shared" si="23"/>
        <v>1.022156778183428</v>
      </c>
      <c r="G142" s="312">
        <f t="shared" si="24"/>
        <v>0</v>
      </c>
      <c r="H142" s="312">
        <f t="shared" si="25"/>
        <v>0</v>
      </c>
      <c r="I142" s="312">
        <f t="shared" si="26"/>
        <v>0</v>
      </c>
      <c r="J142" s="312">
        <f t="shared" si="27"/>
        <v>0</v>
      </c>
      <c r="K142" s="313">
        <f t="shared" si="28"/>
        <v>0</v>
      </c>
      <c r="L142" s="66">
        <f>K142*D142*'B) D RI'!S144</f>
        <v>0</v>
      </c>
      <c r="M142" s="19">
        <f>(('B) D RI'!S144*C142)-(L142*$M$4))/'B) D RI'!S144</f>
        <v>125699.21529411766</v>
      </c>
      <c r="N142" s="302">
        <f t="shared" si="29"/>
        <v>47.631381316452313</v>
      </c>
      <c r="O142" s="71">
        <f t="shared" si="30"/>
        <v>1.0512108197069108</v>
      </c>
      <c r="R142" s="17"/>
    </row>
    <row r="143" spans="1:18" x14ac:dyDescent="0.25">
      <c r="A143" s="355">
        <f>'A) Base RI'!A145</f>
        <v>5635</v>
      </c>
      <c r="B143" s="40" t="str">
        <f>'A) Base RI'!B145</f>
        <v>Ecublens</v>
      </c>
      <c r="C143" s="353">
        <f>'B) D RI'!U145</f>
        <v>424543.31159592536</v>
      </c>
      <c r="D143" s="40">
        <f>'B) D RI'!AA145</f>
        <v>12340</v>
      </c>
      <c r="E143" s="231">
        <f t="shared" si="22"/>
        <v>34.403834002911296</v>
      </c>
      <c r="F143" s="71">
        <f t="shared" si="23"/>
        <v>0.7382971299517318</v>
      </c>
      <c r="G143" s="312">
        <f t="shared" si="24"/>
        <v>0</v>
      </c>
      <c r="H143" s="312">
        <f t="shared" si="25"/>
        <v>0</v>
      </c>
      <c r="I143" s="312">
        <f t="shared" si="26"/>
        <v>0</v>
      </c>
      <c r="J143" s="312">
        <f t="shared" si="27"/>
        <v>0</v>
      </c>
      <c r="K143" s="313">
        <f t="shared" si="28"/>
        <v>0</v>
      </c>
      <c r="L143" s="66">
        <f>K143*D143*'B) D RI'!S145</f>
        <v>0</v>
      </c>
      <c r="M143" s="19">
        <f>(('B) D RI'!S145*C143)-(L143*$M$4))/'B) D RI'!S145</f>
        <v>424543.31159592536</v>
      </c>
      <c r="N143" s="302">
        <f t="shared" si="29"/>
        <v>34.403834002911296</v>
      </c>
      <c r="O143" s="71">
        <f t="shared" si="30"/>
        <v>0.75928267339097544</v>
      </c>
      <c r="R143" s="17"/>
    </row>
    <row r="144" spans="1:18" x14ac:dyDescent="0.25">
      <c r="A144" s="355">
        <f>'A) Base RI'!A146</f>
        <v>5636</v>
      </c>
      <c r="B144" s="40" t="str">
        <f>'A) Base RI'!B146</f>
        <v>Etoy</v>
      </c>
      <c r="C144" s="353">
        <f>'B) D RI'!U146</f>
        <v>150854.83475409835</v>
      </c>
      <c r="D144" s="40">
        <f>'B) D RI'!AA146</f>
        <v>2906</v>
      </c>
      <c r="E144" s="231">
        <f t="shared" si="22"/>
        <v>51.911505421231368</v>
      </c>
      <c r="F144" s="71">
        <f t="shared" si="23"/>
        <v>1.1140071034154413</v>
      </c>
      <c r="G144" s="312">
        <f t="shared" si="24"/>
        <v>0</v>
      </c>
      <c r="H144" s="312">
        <f t="shared" si="25"/>
        <v>0</v>
      </c>
      <c r="I144" s="312">
        <f t="shared" si="26"/>
        <v>0</v>
      </c>
      <c r="J144" s="312">
        <f t="shared" si="27"/>
        <v>0</v>
      </c>
      <c r="K144" s="313">
        <f t="shared" si="28"/>
        <v>0</v>
      </c>
      <c r="L144" s="66">
        <f>K144*D144*'B) D RI'!S146</f>
        <v>0</v>
      </c>
      <c r="M144" s="19">
        <f>(('B) D RI'!S146*C144)-(L144*$M$4))/'B) D RI'!S146</f>
        <v>150854.83475409835</v>
      </c>
      <c r="N144" s="302">
        <f t="shared" si="29"/>
        <v>51.911505421231368</v>
      </c>
      <c r="O144" s="71">
        <f t="shared" si="30"/>
        <v>1.1456719217005662</v>
      </c>
      <c r="R144" s="17"/>
    </row>
    <row r="145" spans="1:18" x14ac:dyDescent="0.25">
      <c r="A145" s="355">
        <f>'A) Base RI'!A147</f>
        <v>5637</v>
      </c>
      <c r="B145" s="40" t="str">
        <f>'A) Base RI'!B147</f>
        <v>Lavigny</v>
      </c>
      <c r="C145" s="353">
        <f>'B) D RI'!U147</f>
        <v>35788.809619686814</v>
      </c>
      <c r="D145" s="40">
        <f>'B) D RI'!AA147</f>
        <v>1006</v>
      </c>
      <c r="E145" s="231">
        <f t="shared" si="22"/>
        <v>35.575357474837787</v>
      </c>
      <c r="F145" s="71">
        <f t="shared" si="23"/>
        <v>0.76343771215897138</v>
      </c>
      <c r="G145" s="312">
        <f t="shared" si="24"/>
        <v>0</v>
      </c>
      <c r="H145" s="312">
        <f t="shared" si="25"/>
        <v>0</v>
      </c>
      <c r="I145" s="312">
        <f t="shared" si="26"/>
        <v>0</v>
      </c>
      <c r="J145" s="312">
        <f t="shared" si="27"/>
        <v>0</v>
      </c>
      <c r="K145" s="313">
        <f t="shared" si="28"/>
        <v>0</v>
      </c>
      <c r="L145" s="66">
        <f>K145*D145*'B) D RI'!S147</f>
        <v>0</v>
      </c>
      <c r="M145" s="19">
        <f>(('B) D RI'!S147*C145)-(L145*$M$4))/'B) D RI'!S147</f>
        <v>35788.809619686814</v>
      </c>
      <c r="N145" s="302">
        <f t="shared" si="29"/>
        <v>35.575357474837787</v>
      </c>
      <c r="O145" s="71">
        <f t="shared" si="30"/>
        <v>0.78513785783435319</v>
      </c>
      <c r="R145" s="17"/>
    </row>
    <row r="146" spans="1:18" x14ac:dyDescent="0.25">
      <c r="A146" s="355">
        <f>'A) Base RI'!A148</f>
        <v>5638</v>
      </c>
      <c r="B146" s="40" t="str">
        <f>'A) Base RI'!B148</f>
        <v>Lonay</v>
      </c>
      <c r="C146" s="353">
        <f>'B) D RI'!U148</f>
        <v>150874.30218181817</v>
      </c>
      <c r="D146" s="40">
        <f>'B) D RI'!AA148</f>
        <v>2530</v>
      </c>
      <c r="E146" s="231">
        <f t="shared" si="22"/>
        <v>59.634111534315487</v>
      </c>
      <c r="F146" s="71">
        <f t="shared" si="23"/>
        <v>1.2797321772126009</v>
      </c>
      <c r="G146" s="312">
        <f t="shared" si="24"/>
        <v>3.7154317391053269</v>
      </c>
      <c r="H146" s="312">
        <f t="shared" si="25"/>
        <v>0</v>
      </c>
      <c r="I146" s="312">
        <f t="shared" si="26"/>
        <v>0</v>
      </c>
      <c r="J146" s="312">
        <f t="shared" si="27"/>
        <v>0</v>
      </c>
      <c r="K146" s="313">
        <f t="shared" si="28"/>
        <v>1.3375554260779177</v>
      </c>
      <c r="L146" s="66">
        <f>K146*D146*'B) D RI'!S148</f>
        <v>186120.83753874226</v>
      </c>
      <c r="M146" s="19">
        <f>(('B) D RI'!S148*C146)-(L146*$M$4))/'B) D RI'!S148</f>
        <v>149182.29456782961</v>
      </c>
      <c r="N146" s="302">
        <f t="shared" si="29"/>
        <v>58.965333821276523</v>
      </c>
      <c r="O146" s="71">
        <f t="shared" si="30"/>
        <v>1.3013478758623684</v>
      </c>
      <c r="R146" s="17"/>
    </row>
    <row r="147" spans="1:18" x14ac:dyDescent="0.25">
      <c r="A147" s="355">
        <f>'A) Base RI'!A149</f>
        <v>5639</v>
      </c>
      <c r="B147" s="40" t="str">
        <f>'A) Base RI'!B149</f>
        <v>Lully</v>
      </c>
      <c r="C147" s="353">
        <f>'B) D RI'!U149</f>
        <v>41723.705573770494</v>
      </c>
      <c r="D147" s="40">
        <f>'B) D RI'!AA149</f>
        <v>785</v>
      </c>
      <c r="E147" s="231">
        <f t="shared" si="22"/>
        <v>53.151217291427379</v>
      </c>
      <c r="F147" s="71">
        <f t="shared" si="23"/>
        <v>1.1406109905187032</v>
      </c>
      <c r="G147" s="312">
        <f t="shared" si="24"/>
        <v>0</v>
      </c>
      <c r="H147" s="312">
        <f t="shared" si="25"/>
        <v>0</v>
      </c>
      <c r="I147" s="312">
        <f t="shared" si="26"/>
        <v>0</v>
      </c>
      <c r="J147" s="312">
        <f t="shared" si="27"/>
        <v>0</v>
      </c>
      <c r="K147" s="313">
        <f t="shared" si="28"/>
        <v>0</v>
      </c>
      <c r="L147" s="66">
        <f>K147*D147*'B) D RI'!S149</f>
        <v>0</v>
      </c>
      <c r="M147" s="19">
        <f>(('B) D RI'!S149*C147)-(L147*$M$4))/'B) D RI'!S149</f>
        <v>41723.705573770494</v>
      </c>
      <c r="N147" s="302">
        <f t="shared" si="29"/>
        <v>53.151217291427379</v>
      </c>
      <c r="O147" s="71">
        <f t="shared" si="30"/>
        <v>1.1730320043866209</v>
      </c>
      <c r="R147" s="17"/>
    </row>
    <row r="148" spans="1:18" x14ac:dyDescent="0.25">
      <c r="A148" s="355">
        <f>'A) Base RI'!A150</f>
        <v>5640</v>
      </c>
      <c r="B148" s="40" t="str">
        <f>'A) Base RI'!B150</f>
        <v>Lussy-sur-Morges</v>
      </c>
      <c r="C148" s="353">
        <f>'B) D RI'!U150</f>
        <v>54175.567575757566</v>
      </c>
      <c r="D148" s="40">
        <f>'B) D RI'!AA150</f>
        <v>644</v>
      </c>
      <c r="E148" s="231">
        <f t="shared" si="22"/>
        <v>84.12355213626951</v>
      </c>
      <c r="F148" s="71">
        <f t="shared" si="23"/>
        <v>1.805269060951084</v>
      </c>
      <c r="G148" s="312">
        <f t="shared" si="24"/>
        <v>28.20487234105935</v>
      </c>
      <c r="H148" s="312">
        <f t="shared" si="25"/>
        <v>14.225202392256804</v>
      </c>
      <c r="I148" s="312">
        <f t="shared" si="26"/>
        <v>0</v>
      </c>
      <c r="J148" s="312">
        <f t="shared" si="27"/>
        <v>0</v>
      </c>
      <c r="K148" s="313">
        <f t="shared" si="28"/>
        <v>11.576274282007047</v>
      </c>
      <c r="L148" s="66">
        <f>K148*D148*'B) D RI'!S150</f>
        <v>492037.96208242752</v>
      </c>
      <c r="M148" s="19">
        <f>(('B) D RI'!S150*C148)-(L148*$M$4))/'B) D RI'!S150</f>
        <v>50448.007256951299</v>
      </c>
      <c r="N148" s="302">
        <f t="shared" si="29"/>
        <v>78.335414995265992</v>
      </c>
      <c r="O148" s="71">
        <f t="shared" si="30"/>
        <v>1.7288399692244738</v>
      </c>
      <c r="R148" s="17"/>
    </row>
    <row r="149" spans="1:18" x14ac:dyDescent="0.25">
      <c r="A149" s="355">
        <f>'A) Base RI'!A151</f>
        <v>5642</v>
      </c>
      <c r="B149" s="40" t="str">
        <f>'A) Base RI'!B151</f>
        <v>Morges</v>
      </c>
      <c r="C149" s="353">
        <f>'B) D RI'!U151</f>
        <v>781778.61635036487</v>
      </c>
      <c r="D149" s="40">
        <f>'B) D RI'!AA151</f>
        <v>15819</v>
      </c>
      <c r="E149" s="231">
        <f t="shared" si="22"/>
        <v>49.42022987232852</v>
      </c>
      <c r="F149" s="71">
        <f t="shared" si="23"/>
        <v>1.0605449925495927</v>
      </c>
      <c r="G149" s="312">
        <f t="shared" si="24"/>
        <v>0</v>
      </c>
      <c r="H149" s="312">
        <f t="shared" si="25"/>
        <v>0</v>
      </c>
      <c r="I149" s="312">
        <f t="shared" si="26"/>
        <v>0</v>
      </c>
      <c r="J149" s="312">
        <f t="shared" si="27"/>
        <v>0</v>
      </c>
      <c r="K149" s="313">
        <f t="shared" si="28"/>
        <v>0</v>
      </c>
      <c r="L149" s="66">
        <f>K149*D149*'B) D RI'!S151</f>
        <v>0</v>
      </c>
      <c r="M149" s="19">
        <f>(('B) D RI'!S151*C149)-(L149*$M$4))/'B) D RI'!S151</f>
        <v>781778.61635036487</v>
      </c>
      <c r="N149" s="302">
        <f t="shared" si="29"/>
        <v>49.42022987232852</v>
      </c>
      <c r="O149" s="71">
        <f t="shared" si="30"/>
        <v>1.0906901903399144</v>
      </c>
      <c r="R149" s="17"/>
    </row>
    <row r="150" spans="1:18" x14ac:dyDescent="0.25">
      <c r="A150" s="355">
        <f>'A) Base RI'!A152</f>
        <v>5643</v>
      </c>
      <c r="B150" s="40" t="str">
        <f>'A) Base RI'!B152</f>
        <v>Préverenges</v>
      </c>
      <c r="C150" s="353">
        <f>'B) D RI'!U152</f>
        <v>262779.91921874997</v>
      </c>
      <c r="D150" s="40">
        <f>'B) D RI'!AA152</f>
        <v>5276</v>
      </c>
      <c r="E150" s="231">
        <f t="shared" si="22"/>
        <v>49.806656409922283</v>
      </c>
      <c r="F150" s="71">
        <f t="shared" si="23"/>
        <v>1.0688376032981075</v>
      </c>
      <c r="G150" s="312">
        <f t="shared" si="24"/>
        <v>0</v>
      </c>
      <c r="H150" s="312">
        <f t="shared" si="25"/>
        <v>0</v>
      </c>
      <c r="I150" s="312">
        <f t="shared" si="26"/>
        <v>0</v>
      </c>
      <c r="J150" s="312">
        <f t="shared" si="27"/>
        <v>0</v>
      </c>
      <c r="K150" s="313">
        <f t="shared" si="28"/>
        <v>0</v>
      </c>
      <c r="L150" s="66">
        <f>K150*D150*'B) D RI'!S152</f>
        <v>0</v>
      </c>
      <c r="M150" s="19">
        <f>(('B) D RI'!S152*C150)-(L150*$M$4))/'B) D RI'!S152</f>
        <v>262779.91921874997</v>
      </c>
      <c r="N150" s="302">
        <f t="shared" si="29"/>
        <v>49.806656409922283</v>
      </c>
      <c r="O150" s="71">
        <f t="shared" si="30"/>
        <v>1.0992185123434617</v>
      </c>
      <c r="R150" s="17"/>
    </row>
    <row r="151" spans="1:18" x14ac:dyDescent="0.25">
      <c r="A151" s="355">
        <f>'A) Base RI'!A153</f>
        <v>5644</v>
      </c>
      <c r="B151" s="40" t="str">
        <f>'A) Base RI'!B153</f>
        <v>Reverolle</v>
      </c>
      <c r="C151" s="353">
        <f>'B) D RI'!U153</f>
        <v>14128.860263157892</v>
      </c>
      <c r="D151" s="40">
        <f>'B) D RI'!AA153</f>
        <v>368</v>
      </c>
      <c r="E151" s="231">
        <f t="shared" si="22"/>
        <v>38.393642019450795</v>
      </c>
      <c r="F151" s="71">
        <f t="shared" si="23"/>
        <v>0.82391734912324199</v>
      </c>
      <c r="G151" s="312">
        <f t="shared" si="24"/>
        <v>0</v>
      </c>
      <c r="H151" s="312">
        <f t="shared" si="25"/>
        <v>0</v>
      </c>
      <c r="I151" s="312">
        <f t="shared" si="26"/>
        <v>0</v>
      </c>
      <c r="J151" s="312">
        <f t="shared" si="27"/>
        <v>0</v>
      </c>
      <c r="K151" s="313">
        <f t="shared" si="28"/>
        <v>0</v>
      </c>
      <c r="L151" s="66">
        <f>K151*D151*'B) D RI'!S153</f>
        <v>0</v>
      </c>
      <c r="M151" s="19">
        <f>(('B) D RI'!S153*C151)-(L151*$M$4))/'B) D RI'!S153</f>
        <v>14128.860263157892</v>
      </c>
      <c r="N151" s="302">
        <f t="shared" si="29"/>
        <v>38.393642019450795</v>
      </c>
      <c r="O151" s="71">
        <f t="shared" si="30"/>
        <v>0.84733658322144678</v>
      </c>
      <c r="R151" s="17"/>
    </row>
    <row r="152" spans="1:18" x14ac:dyDescent="0.25">
      <c r="A152" s="355">
        <f>'A) Base RI'!A154</f>
        <v>5645</v>
      </c>
      <c r="B152" s="40" t="str">
        <f>'A) Base RI'!B154</f>
        <v>Romanel-sur-Morges</v>
      </c>
      <c r="C152" s="353">
        <f>'B) D RI'!U154</f>
        <v>26355.884598214288</v>
      </c>
      <c r="D152" s="40">
        <f>'B) D RI'!AA154</f>
        <v>477</v>
      </c>
      <c r="E152" s="231">
        <f t="shared" si="22"/>
        <v>55.25342683063792</v>
      </c>
      <c r="F152" s="71">
        <f t="shared" si="23"/>
        <v>1.1857238482666204</v>
      </c>
      <c r="G152" s="312">
        <f t="shared" si="24"/>
        <v>0</v>
      </c>
      <c r="H152" s="312">
        <f t="shared" si="25"/>
        <v>0</v>
      </c>
      <c r="I152" s="312">
        <f t="shared" si="26"/>
        <v>0</v>
      </c>
      <c r="J152" s="312">
        <f t="shared" si="27"/>
        <v>0</v>
      </c>
      <c r="K152" s="313">
        <f t="shared" si="28"/>
        <v>0</v>
      </c>
      <c r="L152" s="66">
        <f>K152*D152*'B) D RI'!S154</f>
        <v>0</v>
      </c>
      <c r="M152" s="19">
        <f>(('B) D RI'!S154*C152)-(L152*$M$4))/'B) D RI'!S154</f>
        <v>26355.884598214288</v>
      </c>
      <c r="N152" s="302">
        <f t="shared" si="29"/>
        <v>55.25342683063792</v>
      </c>
      <c r="O152" s="71">
        <f t="shared" si="30"/>
        <v>1.2194271613573446</v>
      </c>
      <c r="R152" s="17"/>
    </row>
    <row r="153" spans="1:18" x14ac:dyDescent="0.25">
      <c r="A153" s="355">
        <f>'A) Base RI'!A155</f>
        <v>5646</v>
      </c>
      <c r="B153" s="40" t="str">
        <f>'A) Base RI'!B155</f>
        <v>Saint-Prex</v>
      </c>
      <c r="C153" s="353">
        <f>'B) D RI'!U155</f>
        <v>529776.58672727272</v>
      </c>
      <c r="D153" s="40">
        <f>'B) D RI'!AA155</f>
        <v>5661</v>
      </c>
      <c r="E153" s="231">
        <f t="shared" si="22"/>
        <v>93.583569462510638</v>
      </c>
      <c r="F153" s="71">
        <f t="shared" si="23"/>
        <v>2.0082785174165019</v>
      </c>
      <c r="G153" s="312">
        <f t="shared" si="24"/>
        <v>37.664889667300478</v>
      </c>
      <c r="H153" s="312">
        <f t="shared" si="25"/>
        <v>23.685219718497933</v>
      </c>
      <c r="I153" s="312">
        <f t="shared" si="26"/>
        <v>0.38576980382703141</v>
      </c>
      <c r="J153" s="312">
        <f t="shared" si="27"/>
        <v>0</v>
      </c>
      <c r="K153" s="313">
        <f t="shared" si="28"/>
        <v>15.96645923246067</v>
      </c>
      <c r="L153" s="66">
        <f>K153*D153*'B) D RI'!S155</f>
        <v>4971236.9143227916</v>
      </c>
      <c r="M153" s="19">
        <f>(('B) D RI'!S155*C153)-(L153*$M$4))/'B) D RI'!S155</f>
        <v>484583.52386979276</v>
      </c>
      <c r="N153" s="302">
        <f t="shared" si="29"/>
        <v>85.600339846280292</v>
      </c>
      <c r="O153" s="71">
        <f t="shared" si="30"/>
        <v>1.8891747610501723</v>
      </c>
      <c r="R153" s="17"/>
    </row>
    <row r="154" spans="1:18" x14ac:dyDescent="0.25">
      <c r="A154" s="355">
        <f>'A) Base RI'!A156</f>
        <v>5648</v>
      </c>
      <c r="B154" s="40" t="str">
        <f>'A) Base RI'!B156</f>
        <v>Saint-Sulpice</v>
      </c>
      <c r="C154" s="353">
        <f>'B) D RI'!U156</f>
        <v>320539.61704545456</v>
      </c>
      <c r="D154" s="40">
        <f>'B) D RI'!AA156</f>
        <v>4148</v>
      </c>
      <c r="E154" s="231">
        <f t="shared" si="22"/>
        <v>77.275703241430705</v>
      </c>
      <c r="F154" s="71">
        <f t="shared" si="23"/>
        <v>1.65831604446534</v>
      </c>
      <c r="G154" s="312">
        <f t="shared" si="24"/>
        <v>21.357023446220545</v>
      </c>
      <c r="H154" s="312">
        <f t="shared" si="25"/>
        <v>7.3773534974179995</v>
      </c>
      <c r="I154" s="312">
        <f t="shared" si="26"/>
        <v>0</v>
      </c>
      <c r="J154" s="312">
        <f t="shared" si="27"/>
        <v>0</v>
      </c>
      <c r="K154" s="313">
        <f t="shared" si="28"/>
        <v>8.4262637903811957</v>
      </c>
      <c r="L154" s="66">
        <f>K154*D154*'B) D RI'!S156</f>
        <v>1922367.8211375659</v>
      </c>
      <c r="M154" s="19">
        <f>(('B) D RI'!S156*C154)-(L154*$M$4))/'B) D RI'!S156</f>
        <v>303063.54594420397</v>
      </c>
      <c r="N154" s="302">
        <f t="shared" si="29"/>
        <v>73.062571346240105</v>
      </c>
      <c r="O154" s="71">
        <f t="shared" si="30"/>
        <v>1.612469833795201</v>
      </c>
      <c r="R154" s="17"/>
    </row>
    <row r="155" spans="1:18" x14ac:dyDescent="0.25">
      <c r="A155" s="355">
        <f>'A) Base RI'!A157</f>
        <v>5649</v>
      </c>
      <c r="B155" s="40" t="str">
        <f>'A) Base RI'!B157</f>
        <v>Tolochenaz</v>
      </c>
      <c r="C155" s="353">
        <f>'B) D RI'!U157</f>
        <v>78727.730769230766</v>
      </c>
      <c r="D155" s="40">
        <f>'B) D RI'!AA157</f>
        <v>1865</v>
      </c>
      <c r="E155" s="231">
        <f t="shared" si="22"/>
        <v>42.213260466075475</v>
      </c>
      <c r="F155" s="71">
        <f t="shared" si="23"/>
        <v>0.90588534537665555</v>
      </c>
      <c r="G155" s="312">
        <f t="shared" si="24"/>
        <v>0</v>
      </c>
      <c r="H155" s="312">
        <f t="shared" si="25"/>
        <v>0</v>
      </c>
      <c r="I155" s="312">
        <f t="shared" si="26"/>
        <v>0</v>
      </c>
      <c r="J155" s="312">
        <f t="shared" si="27"/>
        <v>0</v>
      </c>
      <c r="K155" s="313">
        <f t="shared" si="28"/>
        <v>0</v>
      </c>
      <c r="L155" s="66">
        <f>K155*D155*'B) D RI'!S157</f>
        <v>0</v>
      </c>
      <c r="M155" s="19">
        <f>(('B) D RI'!S157*C155)-(L155*$M$4))/'B) D RI'!S157</f>
        <v>78727.730769230766</v>
      </c>
      <c r="N155" s="302">
        <f t="shared" si="29"/>
        <v>42.213260466075475</v>
      </c>
      <c r="O155" s="71">
        <f t="shared" si="30"/>
        <v>0.93163445843039172</v>
      </c>
      <c r="R155" s="17"/>
    </row>
    <row r="156" spans="1:18" x14ac:dyDescent="0.25">
      <c r="A156" s="355">
        <f>'A) Base RI'!A158</f>
        <v>5650</v>
      </c>
      <c r="B156" s="40" t="str">
        <f>'A) Base RI'!B158</f>
        <v>Vaux-sur-Morges</v>
      </c>
      <c r="C156" s="353">
        <f>'B) D RI'!U158</f>
        <v>167594.44571428568</v>
      </c>
      <c r="D156" s="40">
        <f>'B) D RI'!AA158</f>
        <v>200</v>
      </c>
      <c r="E156" s="231">
        <f t="shared" si="22"/>
        <v>837.97222857142845</v>
      </c>
      <c r="F156" s="71">
        <f t="shared" si="23"/>
        <v>17.982661213898119</v>
      </c>
      <c r="G156" s="312">
        <f t="shared" si="24"/>
        <v>782.05354877621824</v>
      </c>
      <c r="H156" s="312">
        <f t="shared" si="25"/>
        <v>768.07387882741568</v>
      </c>
      <c r="I156" s="312">
        <f t="shared" si="26"/>
        <v>744.77442891274484</v>
      </c>
      <c r="J156" s="312">
        <f t="shared" si="27"/>
        <v>698.17552908340303</v>
      </c>
      <c r="K156" s="313">
        <f t="shared" si="28"/>
        <v>502.64166124179491</v>
      </c>
      <c r="L156" s="66">
        <f>K156*D156*'B) D RI'!S158</f>
        <v>5629586.6059081033</v>
      </c>
      <c r="M156" s="19">
        <f>(('B) D RI'!S158*C156)-(L156*$M$4))/'B) D RI'!S158</f>
        <v>117330.27959010621</v>
      </c>
      <c r="N156" s="302">
        <f t="shared" si="29"/>
        <v>586.65139795053108</v>
      </c>
      <c r="O156" s="71">
        <f t="shared" si="30"/>
        <v>12.947226804627038</v>
      </c>
      <c r="R156" s="17"/>
    </row>
    <row r="157" spans="1:18" x14ac:dyDescent="0.25">
      <c r="A157" s="355">
        <f>'A) Base RI'!A159</f>
        <v>5651</v>
      </c>
      <c r="B157" s="40" t="str">
        <f>'A) Base RI'!B159</f>
        <v>Villars-Sainte-Croix</v>
      </c>
      <c r="C157" s="353">
        <f>'B) D RI'!U159</f>
        <v>39092.930338983046</v>
      </c>
      <c r="D157" s="40">
        <f>'B) D RI'!AA159</f>
        <v>841</v>
      </c>
      <c r="E157" s="231">
        <f t="shared" si="22"/>
        <v>46.483864850158199</v>
      </c>
      <c r="F157" s="71">
        <f t="shared" si="23"/>
        <v>0.99753137993375607</v>
      </c>
      <c r="G157" s="312">
        <f t="shared" si="24"/>
        <v>0</v>
      </c>
      <c r="H157" s="312">
        <f t="shared" si="25"/>
        <v>0</v>
      </c>
      <c r="I157" s="312">
        <f t="shared" si="26"/>
        <v>0</v>
      </c>
      <c r="J157" s="312">
        <f t="shared" si="27"/>
        <v>0</v>
      </c>
      <c r="K157" s="313">
        <f t="shared" si="28"/>
        <v>0</v>
      </c>
      <c r="L157" s="66">
        <f>K157*D157*'B) D RI'!S159</f>
        <v>0</v>
      </c>
      <c r="M157" s="19">
        <f>(('B) D RI'!S159*C157)-(L157*$M$4))/'B) D RI'!S159</f>
        <v>39092.930338983046</v>
      </c>
      <c r="N157" s="302">
        <f t="shared" si="29"/>
        <v>46.483864850158199</v>
      </c>
      <c r="O157" s="71">
        <f t="shared" si="30"/>
        <v>1.0258854629395739</v>
      </c>
      <c r="R157" s="17"/>
    </row>
    <row r="158" spans="1:18" x14ac:dyDescent="0.25">
      <c r="A158" s="355">
        <f>'A) Base RI'!A160</f>
        <v>5652</v>
      </c>
      <c r="B158" s="40" t="str">
        <f>'A) Base RI'!B160</f>
        <v>Villars-sous-Yens</v>
      </c>
      <c r="C158" s="353">
        <f>'B) D RI'!U160</f>
        <v>21921.455131578947</v>
      </c>
      <c r="D158" s="40">
        <f>'B) D RI'!AA160</f>
        <v>598</v>
      </c>
      <c r="E158" s="231">
        <f t="shared" si="22"/>
        <v>36.657951725048406</v>
      </c>
      <c r="F158" s="71">
        <f t="shared" si="23"/>
        <v>0.78666989691387723</v>
      </c>
      <c r="G158" s="312">
        <f t="shared" si="24"/>
        <v>0</v>
      </c>
      <c r="H158" s="312">
        <f t="shared" si="25"/>
        <v>0</v>
      </c>
      <c r="I158" s="312">
        <f t="shared" si="26"/>
        <v>0</v>
      </c>
      <c r="J158" s="312">
        <f t="shared" si="27"/>
        <v>0</v>
      </c>
      <c r="K158" s="313">
        <f t="shared" si="28"/>
        <v>0</v>
      </c>
      <c r="L158" s="66">
        <f>K158*D158*'B) D RI'!S160</f>
        <v>0</v>
      </c>
      <c r="M158" s="19">
        <f>(('B) D RI'!S160*C158)-(L158*$M$4))/'B) D RI'!S160</f>
        <v>21921.455131578947</v>
      </c>
      <c r="N158" s="302">
        <f t="shared" si="29"/>
        <v>36.657951725048406</v>
      </c>
      <c r="O158" s="71">
        <f t="shared" si="30"/>
        <v>0.80903040005589921</v>
      </c>
      <c r="R158" s="17"/>
    </row>
    <row r="159" spans="1:18" x14ac:dyDescent="0.25">
      <c r="A159" s="355">
        <f>'A) Base RI'!A161</f>
        <v>5653</v>
      </c>
      <c r="B159" s="40" t="str">
        <f>'A) Base RI'!B161</f>
        <v>Vufflens-le-Château</v>
      </c>
      <c r="C159" s="353">
        <f>'B) D RI'!U161</f>
        <v>61105.159227272721</v>
      </c>
      <c r="D159" s="40">
        <f>'B) D RI'!AA161</f>
        <v>841</v>
      </c>
      <c r="E159" s="231">
        <f t="shared" si="22"/>
        <v>72.657739865960423</v>
      </c>
      <c r="F159" s="71">
        <f t="shared" si="23"/>
        <v>1.559215778313509</v>
      </c>
      <c r="G159" s="312">
        <f t="shared" si="24"/>
        <v>16.739060070750263</v>
      </c>
      <c r="H159" s="312">
        <f t="shared" si="25"/>
        <v>2.7593901219477175</v>
      </c>
      <c r="I159" s="312">
        <f t="shared" si="26"/>
        <v>0</v>
      </c>
      <c r="J159" s="312">
        <f t="shared" si="27"/>
        <v>0</v>
      </c>
      <c r="K159" s="313">
        <f t="shared" si="28"/>
        <v>6.3020006376648663</v>
      </c>
      <c r="L159" s="66">
        <f>K159*D159*'B) D RI'!S161</f>
        <v>291499.03949518839</v>
      </c>
      <c r="M159" s="19">
        <f>(('B) D RI'!S161*C159)-(L159*$M$4))/'B) D RI'!S161</f>
        <v>58455.167959134647</v>
      </c>
      <c r="N159" s="302">
        <f t="shared" si="29"/>
        <v>69.506739547127992</v>
      </c>
      <c r="O159" s="71">
        <f t="shared" si="30"/>
        <v>1.5339936536598704</v>
      </c>
      <c r="R159" s="17"/>
    </row>
    <row r="160" spans="1:18" x14ac:dyDescent="0.25">
      <c r="A160" s="355">
        <f>'A) Base RI'!A162</f>
        <v>5654</v>
      </c>
      <c r="B160" s="40" t="str">
        <f>'A) Base RI'!B162</f>
        <v>Vullierens</v>
      </c>
      <c r="C160" s="353">
        <f>'B) D RI'!U162</f>
        <v>17141.735000000001</v>
      </c>
      <c r="D160" s="40">
        <f>'B) D RI'!AA162</f>
        <v>461</v>
      </c>
      <c r="E160" s="231">
        <f t="shared" si="22"/>
        <v>37.183806941431669</v>
      </c>
      <c r="F160" s="71">
        <f t="shared" si="23"/>
        <v>0.79795461003605583</v>
      </c>
      <c r="G160" s="312">
        <f t="shared" si="24"/>
        <v>0</v>
      </c>
      <c r="H160" s="312">
        <f t="shared" si="25"/>
        <v>0</v>
      </c>
      <c r="I160" s="312">
        <f t="shared" si="26"/>
        <v>0</v>
      </c>
      <c r="J160" s="312">
        <f t="shared" si="27"/>
        <v>0</v>
      </c>
      <c r="K160" s="313">
        <f t="shared" si="28"/>
        <v>0</v>
      </c>
      <c r="L160" s="66">
        <f>K160*D160*'B) D RI'!S162</f>
        <v>0</v>
      </c>
      <c r="M160" s="19">
        <f>(('B) D RI'!S162*C160)-(L160*$M$4))/'B) D RI'!S162</f>
        <v>17141.735000000001</v>
      </c>
      <c r="N160" s="302">
        <f t="shared" si="29"/>
        <v>37.183806941431669</v>
      </c>
      <c r="O160" s="71">
        <f t="shared" si="30"/>
        <v>0.82063587270404326</v>
      </c>
      <c r="R160" s="17"/>
    </row>
    <row r="161" spans="1:18" x14ac:dyDescent="0.25">
      <c r="A161" s="355">
        <f>'A) Base RI'!A163</f>
        <v>5655</v>
      </c>
      <c r="B161" s="40" t="str">
        <f>'A) Base RI'!B163</f>
        <v>Yens</v>
      </c>
      <c r="C161" s="353">
        <f>'B) D RI'!U163</f>
        <v>83580.564109589031</v>
      </c>
      <c r="D161" s="40">
        <f>'B) D RI'!AA163</f>
        <v>1388</v>
      </c>
      <c r="E161" s="231">
        <f t="shared" si="22"/>
        <v>60.216544747542528</v>
      </c>
      <c r="F161" s="71">
        <f t="shared" si="23"/>
        <v>1.2922310391033338</v>
      </c>
      <c r="G161" s="312">
        <f t="shared" si="24"/>
        <v>4.2978649523323682</v>
      </c>
      <c r="H161" s="312">
        <f t="shared" si="25"/>
        <v>0</v>
      </c>
      <c r="I161" s="312">
        <f t="shared" si="26"/>
        <v>0</v>
      </c>
      <c r="J161" s="312">
        <f t="shared" si="27"/>
        <v>0</v>
      </c>
      <c r="K161" s="313">
        <f t="shared" si="28"/>
        <v>1.5472313828396524</v>
      </c>
      <c r="L161" s="66">
        <f>K161*D161*'B) D RI'!S163</f>
        <v>156771.67263484493</v>
      </c>
      <c r="M161" s="19">
        <f>(('B) D RI'!S163*C161)-(L161*$M$4))/'B) D RI'!S163</f>
        <v>82506.78552989832</v>
      </c>
      <c r="N161" s="302">
        <f t="shared" si="29"/>
        <v>59.442929056122708</v>
      </c>
      <c r="O161" s="71">
        <f t="shared" si="30"/>
        <v>1.311888264665608</v>
      </c>
      <c r="R161" s="17"/>
    </row>
    <row r="162" spans="1:18" x14ac:dyDescent="0.25">
      <c r="A162" s="355">
        <f>'A) Base RI'!A164</f>
        <v>5661</v>
      </c>
      <c r="B162" s="40" t="str">
        <f>'A) Base RI'!B164</f>
        <v>Boulens</v>
      </c>
      <c r="C162" s="353">
        <f>'B) D RI'!U164</f>
        <v>9592.9711392405043</v>
      </c>
      <c r="D162" s="40">
        <f>'B) D RI'!AA164</f>
        <v>368</v>
      </c>
      <c r="E162" s="231">
        <f t="shared" si="22"/>
        <v>26.067856356631804</v>
      </c>
      <c r="F162" s="71">
        <f t="shared" si="23"/>
        <v>0.55940926614361242</v>
      </c>
      <c r="G162" s="312">
        <f t="shared" si="24"/>
        <v>0</v>
      </c>
      <c r="H162" s="312">
        <f t="shared" si="25"/>
        <v>0</v>
      </c>
      <c r="I162" s="312">
        <f t="shared" si="26"/>
        <v>0</v>
      </c>
      <c r="J162" s="312">
        <f t="shared" si="27"/>
        <v>0</v>
      </c>
      <c r="K162" s="313">
        <f t="shared" si="28"/>
        <v>0</v>
      </c>
      <c r="L162" s="66">
        <f>K162*D162*'B) D RI'!S164</f>
        <v>0</v>
      </c>
      <c r="M162" s="19">
        <f>(('B) D RI'!S164*C162)-(L162*$M$4))/'B) D RI'!S164</f>
        <v>9592.9711392405043</v>
      </c>
      <c r="N162" s="302">
        <f t="shared" si="29"/>
        <v>26.067856356631804</v>
      </c>
      <c r="O162" s="71">
        <f t="shared" si="30"/>
        <v>0.57531005591878015</v>
      </c>
      <c r="R162" s="17"/>
    </row>
    <row r="163" spans="1:18" x14ac:dyDescent="0.25">
      <c r="A163" s="355">
        <f>'A) Base RI'!A165</f>
        <v>5663</v>
      </c>
      <c r="B163" s="40" t="str">
        <f>'A) Base RI'!B165</f>
        <v>Bussy-sur-Moudon</v>
      </c>
      <c r="C163" s="353">
        <f>'B) D RI'!U165</f>
        <v>5468.4132499999996</v>
      </c>
      <c r="D163" s="40">
        <f>'B) D RI'!AA165</f>
        <v>208</v>
      </c>
      <c r="E163" s="231">
        <f t="shared" si="22"/>
        <v>26.290448317307689</v>
      </c>
      <c r="F163" s="71">
        <f t="shared" si="23"/>
        <v>0.5641860304339944</v>
      </c>
      <c r="G163" s="312">
        <f t="shared" si="24"/>
        <v>0</v>
      </c>
      <c r="H163" s="312">
        <f t="shared" si="25"/>
        <v>0</v>
      </c>
      <c r="I163" s="312">
        <f t="shared" si="26"/>
        <v>0</v>
      </c>
      <c r="J163" s="312">
        <f t="shared" si="27"/>
        <v>0</v>
      </c>
      <c r="K163" s="313">
        <f t="shared" si="28"/>
        <v>0</v>
      </c>
      <c r="L163" s="66">
        <f>K163*D163*'B) D RI'!S165</f>
        <v>0</v>
      </c>
      <c r="M163" s="19">
        <f>(('B) D RI'!S165*C163)-(L163*$M$4))/'B) D RI'!S165</f>
        <v>5468.4132499999996</v>
      </c>
      <c r="N163" s="302">
        <f t="shared" si="29"/>
        <v>26.290448317307689</v>
      </c>
      <c r="O163" s="71">
        <f t="shared" si="30"/>
        <v>0.5802225961595866</v>
      </c>
      <c r="R163" s="17"/>
    </row>
    <row r="164" spans="1:18" x14ac:dyDescent="0.25">
      <c r="A164" s="355">
        <f>'A) Base RI'!A166</f>
        <v>5665</v>
      </c>
      <c r="B164" s="40" t="str">
        <f>'A) Base RI'!B166</f>
        <v>Chavannes-sur-Moudon</v>
      </c>
      <c r="C164" s="353">
        <f>'B) D RI'!U166</f>
        <v>4982.8790410958891</v>
      </c>
      <c r="D164" s="40">
        <f>'B) D RI'!AA166</f>
        <v>224</v>
      </c>
      <c r="E164" s="231">
        <f t="shared" si="22"/>
        <v>22.244995719178075</v>
      </c>
      <c r="F164" s="71">
        <f t="shared" si="23"/>
        <v>0.47737169333708451</v>
      </c>
      <c r="G164" s="312">
        <f t="shared" si="24"/>
        <v>0</v>
      </c>
      <c r="H164" s="312">
        <f t="shared" si="25"/>
        <v>0</v>
      </c>
      <c r="I164" s="312">
        <f t="shared" si="26"/>
        <v>0</v>
      </c>
      <c r="J164" s="312">
        <f t="shared" si="27"/>
        <v>0</v>
      </c>
      <c r="K164" s="313">
        <f t="shared" si="28"/>
        <v>0</v>
      </c>
      <c r="L164" s="66">
        <f>K164*D164*'B) D RI'!S166</f>
        <v>0</v>
      </c>
      <c r="M164" s="19">
        <f>(('B) D RI'!S166*C164)-(L164*$M$4))/'B) D RI'!S166</f>
        <v>4982.8790410958891</v>
      </c>
      <c r="N164" s="302">
        <f t="shared" si="29"/>
        <v>22.244995719178075</v>
      </c>
      <c r="O164" s="71">
        <f t="shared" si="30"/>
        <v>0.49094062649526388</v>
      </c>
      <c r="R164" s="17"/>
    </row>
    <row r="165" spans="1:18" x14ac:dyDescent="0.25">
      <c r="A165" s="355">
        <f>'A) Base RI'!A167</f>
        <v>5669</v>
      </c>
      <c r="B165" s="40" t="str">
        <f>'A) Base RI'!B167</f>
        <v>Curtilles</v>
      </c>
      <c r="C165" s="353">
        <f>'B) D RI'!U167</f>
        <v>8279.174027777779</v>
      </c>
      <c r="D165" s="40">
        <f>'B) D RI'!AA167</f>
        <v>309</v>
      </c>
      <c r="E165" s="231">
        <f t="shared" si="22"/>
        <v>26.793443455591518</v>
      </c>
      <c r="F165" s="71">
        <f t="shared" si="23"/>
        <v>0.57498017235850196</v>
      </c>
      <c r="G165" s="312">
        <f t="shared" si="24"/>
        <v>0</v>
      </c>
      <c r="H165" s="312">
        <f t="shared" si="25"/>
        <v>0</v>
      </c>
      <c r="I165" s="312">
        <f t="shared" si="26"/>
        <v>0</v>
      </c>
      <c r="J165" s="312">
        <f t="shared" si="27"/>
        <v>0</v>
      </c>
      <c r="K165" s="313">
        <f t="shared" si="28"/>
        <v>0</v>
      </c>
      <c r="L165" s="66">
        <f>K165*D165*'B) D RI'!S167</f>
        <v>0</v>
      </c>
      <c r="M165" s="19">
        <f>(('B) D RI'!S167*C165)-(L165*$M$4))/'B) D RI'!S167</f>
        <v>8279.174027777779</v>
      </c>
      <c r="N165" s="302">
        <f t="shared" si="29"/>
        <v>26.793443455591518</v>
      </c>
      <c r="O165" s="71">
        <f t="shared" si="30"/>
        <v>0.59132355349086807</v>
      </c>
      <c r="R165" s="17"/>
    </row>
    <row r="166" spans="1:18" x14ac:dyDescent="0.25">
      <c r="A166" s="355">
        <f>'A) Base RI'!A168</f>
        <v>5671</v>
      </c>
      <c r="B166" s="40" t="str">
        <f>'A) Base RI'!B168</f>
        <v>Dompierre</v>
      </c>
      <c r="C166" s="353">
        <f>'B) D RI'!U168</f>
        <v>6672.7971250000001</v>
      </c>
      <c r="D166" s="40">
        <f>'B) D RI'!AA168</f>
        <v>242</v>
      </c>
      <c r="E166" s="231">
        <f t="shared" si="22"/>
        <v>27.573541838842974</v>
      </c>
      <c r="F166" s="71">
        <f t="shared" si="23"/>
        <v>0.59172087624010417</v>
      </c>
      <c r="G166" s="312">
        <f t="shared" si="24"/>
        <v>0</v>
      </c>
      <c r="H166" s="312">
        <f t="shared" si="25"/>
        <v>0</v>
      </c>
      <c r="I166" s="312">
        <f t="shared" si="26"/>
        <v>0</v>
      </c>
      <c r="J166" s="312">
        <f t="shared" si="27"/>
        <v>0</v>
      </c>
      <c r="K166" s="313">
        <f t="shared" si="28"/>
        <v>0</v>
      </c>
      <c r="L166" s="66">
        <f>K166*D166*'B) D RI'!S168</f>
        <v>0</v>
      </c>
      <c r="M166" s="19">
        <f>(('B) D RI'!S168*C166)-(L166*$M$4))/'B) D RI'!S168</f>
        <v>6672.7971250000001</v>
      </c>
      <c r="N166" s="302">
        <f t="shared" si="29"/>
        <v>27.573541838842974</v>
      </c>
      <c r="O166" s="71">
        <f t="shared" si="30"/>
        <v>0.60854009935296649</v>
      </c>
      <c r="R166" s="17"/>
    </row>
    <row r="167" spans="1:18" x14ac:dyDescent="0.25">
      <c r="A167" s="355">
        <f>'A) Base RI'!A169</f>
        <v>5673</v>
      </c>
      <c r="B167" s="40" t="str">
        <f>'A) Base RI'!B169</f>
        <v>Hermenches</v>
      </c>
      <c r="C167" s="353">
        <f>'B) D RI'!U169</f>
        <v>7873.3323555555571</v>
      </c>
      <c r="D167" s="40">
        <f>'B) D RI'!AA169</f>
        <v>379</v>
      </c>
      <c r="E167" s="231">
        <f t="shared" si="22"/>
        <v>20.773963998827327</v>
      </c>
      <c r="F167" s="71">
        <f t="shared" si="23"/>
        <v>0.44580374375591247</v>
      </c>
      <c r="G167" s="312">
        <f t="shared" si="24"/>
        <v>0</v>
      </c>
      <c r="H167" s="312">
        <f t="shared" si="25"/>
        <v>0</v>
      </c>
      <c r="I167" s="312">
        <f t="shared" si="26"/>
        <v>0</v>
      </c>
      <c r="J167" s="312">
        <f t="shared" si="27"/>
        <v>0</v>
      </c>
      <c r="K167" s="313">
        <f t="shared" si="28"/>
        <v>0</v>
      </c>
      <c r="L167" s="66">
        <f>K167*D167*'B) D RI'!S169</f>
        <v>0</v>
      </c>
      <c r="M167" s="19">
        <f>(('B) D RI'!S169*C167)-(L167*$M$4))/'B) D RI'!S169</f>
        <v>7873.3323555555571</v>
      </c>
      <c r="N167" s="302">
        <f t="shared" si="29"/>
        <v>20.773963998827327</v>
      </c>
      <c r="O167" s="71">
        <f t="shared" si="30"/>
        <v>0.45847538157005219</v>
      </c>
      <c r="R167" s="17"/>
    </row>
    <row r="168" spans="1:18" x14ac:dyDescent="0.25">
      <c r="A168" s="355">
        <f>'A) Base RI'!A170</f>
        <v>5674</v>
      </c>
      <c r="B168" s="40" t="str">
        <f>'A) Base RI'!B170</f>
        <v>Lovatens</v>
      </c>
      <c r="C168" s="353">
        <f>'B) D RI'!U170</f>
        <v>3776.8391809523814</v>
      </c>
      <c r="D168" s="40">
        <f>'B) D RI'!AA170</f>
        <v>143</v>
      </c>
      <c r="E168" s="231">
        <f t="shared" si="22"/>
        <v>26.411462803862808</v>
      </c>
      <c r="F168" s="71">
        <f t="shared" si="23"/>
        <v>0.56678296913851978</v>
      </c>
      <c r="G168" s="312">
        <f t="shared" si="24"/>
        <v>0</v>
      </c>
      <c r="H168" s="312">
        <f t="shared" si="25"/>
        <v>0</v>
      </c>
      <c r="I168" s="312">
        <f t="shared" si="26"/>
        <v>0</v>
      </c>
      <c r="J168" s="312">
        <f t="shared" si="27"/>
        <v>0</v>
      </c>
      <c r="K168" s="313">
        <f t="shared" si="28"/>
        <v>0</v>
      </c>
      <c r="L168" s="66">
        <f>K168*D168*'B) D RI'!S170</f>
        <v>0</v>
      </c>
      <c r="M168" s="19">
        <f>(('B) D RI'!S170*C168)-(L168*$M$4))/'B) D RI'!S170</f>
        <v>3776.8391809523814</v>
      </c>
      <c r="N168" s="302">
        <f t="shared" si="29"/>
        <v>26.411462803862808</v>
      </c>
      <c r="O168" s="71">
        <f t="shared" si="30"/>
        <v>0.58289335090345706</v>
      </c>
      <c r="R168" s="17"/>
    </row>
    <row r="169" spans="1:18" x14ac:dyDescent="0.25">
      <c r="A169" s="355">
        <f>'A) Base RI'!A171</f>
        <v>5675</v>
      </c>
      <c r="B169" s="40" t="str">
        <f>'A) Base RI'!B171</f>
        <v>Lucens</v>
      </c>
      <c r="C169" s="353">
        <f>'B) D RI'!U171</f>
        <v>92926.657086941384</v>
      </c>
      <c r="D169" s="40">
        <f>'B) D RI'!AA171</f>
        <v>4009</v>
      </c>
      <c r="E169" s="231">
        <f t="shared" si="22"/>
        <v>23.179510373395207</v>
      </c>
      <c r="F169" s="71">
        <f t="shared" si="23"/>
        <v>0.49742612933535024</v>
      </c>
      <c r="G169" s="312">
        <f t="shared" si="24"/>
        <v>0</v>
      </c>
      <c r="H169" s="312">
        <f t="shared" si="25"/>
        <v>0</v>
      </c>
      <c r="I169" s="312">
        <f t="shared" si="26"/>
        <v>0</v>
      </c>
      <c r="J169" s="312">
        <f t="shared" si="27"/>
        <v>0</v>
      </c>
      <c r="K169" s="313">
        <f t="shared" si="28"/>
        <v>0</v>
      </c>
      <c r="L169" s="66">
        <f>K169*D169*'B) D RI'!S171</f>
        <v>0</v>
      </c>
      <c r="M169" s="19">
        <f>(('B) D RI'!S171*C169)-(L169*$M$4))/'B) D RI'!S171</f>
        <v>92926.657086941384</v>
      </c>
      <c r="N169" s="302">
        <f t="shared" si="29"/>
        <v>23.179510373395207</v>
      </c>
      <c r="O169" s="71">
        <f t="shared" si="30"/>
        <v>0.51156509482972279</v>
      </c>
      <c r="R169" s="17"/>
    </row>
    <row r="170" spans="1:18" x14ac:dyDescent="0.25">
      <c r="A170" s="355">
        <f>'A) Base RI'!A172</f>
        <v>5678</v>
      </c>
      <c r="B170" s="40" t="str">
        <f>'A) Base RI'!B172</f>
        <v>Moudon</v>
      </c>
      <c r="C170" s="353">
        <f>'B) D RI'!U172</f>
        <v>123116.47720000001</v>
      </c>
      <c r="D170" s="40">
        <f>'B) D RI'!AA172</f>
        <v>6003</v>
      </c>
      <c r="E170" s="231">
        <f t="shared" si="22"/>
        <v>20.509158287522908</v>
      </c>
      <c r="F170" s="71">
        <f t="shared" si="23"/>
        <v>0.44012108360139784</v>
      </c>
      <c r="G170" s="312">
        <f t="shared" si="24"/>
        <v>0</v>
      </c>
      <c r="H170" s="312">
        <f t="shared" si="25"/>
        <v>0</v>
      </c>
      <c r="I170" s="312">
        <f t="shared" si="26"/>
        <v>0</v>
      </c>
      <c r="J170" s="312">
        <f t="shared" si="27"/>
        <v>0</v>
      </c>
      <c r="K170" s="313">
        <f t="shared" si="28"/>
        <v>0</v>
      </c>
      <c r="L170" s="66">
        <f>K170*D170*'B) D RI'!S172</f>
        <v>0</v>
      </c>
      <c r="M170" s="19">
        <f>(('B) D RI'!S172*C170)-(L170*$M$4))/'B) D RI'!S172</f>
        <v>123116.47720000001</v>
      </c>
      <c r="N170" s="302">
        <f t="shared" si="29"/>
        <v>20.509158287522908</v>
      </c>
      <c r="O170" s="71">
        <f t="shared" si="30"/>
        <v>0.45263119605307156</v>
      </c>
      <c r="R170" s="17"/>
    </row>
    <row r="171" spans="1:18" x14ac:dyDescent="0.25">
      <c r="A171" s="355">
        <f>'A) Base RI'!A173</f>
        <v>5680</v>
      </c>
      <c r="B171" s="40" t="str">
        <f>'A) Base RI'!B173</f>
        <v>Ogens</v>
      </c>
      <c r="C171" s="353">
        <f>'B) D RI'!U173</f>
        <v>8504.3488034188031</v>
      </c>
      <c r="D171" s="40">
        <f>'B) D RI'!AA173</f>
        <v>296</v>
      </c>
      <c r="E171" s="231">
        <f t="shared" si="22"/>
        <v>28.730908119658118</v>
      </c>
      <c r="F171" s="71">
        <f t="shared" si="23"/>
        <v>0.61655764889039733</v>
      </c>
      <c r="G171" s="312">
        <f t="shared" si="24"/>
        <v>0</v>
      </c>
      <c r="H171" s="312">
        <f t="shared" si="25"/>
        <v>0</v>
      </c>
      <c r="I171" s="312">
        <f t="shared" si="26"/>
        <v>0</v>
      </c>
      <c r="J171" s="312">
        <f t="shared" si="27"/>
        <v>0</v>
      </c>
      <c r="K171" s="313">
        <f t="shared" si="28"/>
        <v>0</v>
      </c>
      <c r="L171" s="66">
        <f>K171*D171*'B) D RI'!S173</f>
        <v>0</v>
      </c>
      <c r="M171" s="19">
        <f>(('B) D RI'!S173*C171)-(L171*$M$4))/'B) D RI'!S173</f>
        <v>8504.3488034188031</v>
      </c>
      <c r="N171" s="302">
        <f t="shared" si="29"/>
        <v>28.730908119658118</v>
      </c>
      <c r="O171" s="71">
        <f t="shared" si="30"/>
        <v>0.63408283868008708</v>
      </c>
      <c r="R171" s="17"/>
    </row>
    <row r="172" spans="1:18" x14ac:dyDescent="0.25">
      <c r="A172" s="355">
        <f>'A) Base RI'!A174</f>
        <v>5683</v>
      </c>
      <c r="B172" s="40" t="str">
        <f>'A) Base RI'!B174</f>
        <v>Prévonloup</v>
      </c>
      <c r="C172" s="353">
        <f>'B) D RI'!U174</f>
        <v>4128.5685135135127</v>
      </c>
      <c r="D172" s="40">
        <f>'B) D RI'!AA174</f>
        <v>166</v>
      </c>
      <c r="E172" s="231">
        <f t="shared" si="22"/>
        <v>24.870894659719955</v>
      </c>
      <c r="F172" s="71">
        <f t="shared" si="23"/>
        <v>0.53372278639204196</v>
      </c>
      <c r="G172" s="312">
        <f t="shared" si="24"/>
        <v>0</v>
      </c>
      <c r="H172" s="312">
        <f t="shared" si="25"/>
        <v>0</v>
      </c>
      <c r="I172" s="312">
        <f t="shared" si="26"/>
        <v>0</v>
      </c>
      <c r="J172" s="312">
        <f t="shared" si="27"/>
        <v>0</v>
      </c>
      <c r="K172" s="313">
        <f t="shared" si="28"/>
        <v>0</v>
      </c>
      <c r="L172" s="66">
        <f>K172*D172*'B) D RI'!S174</f>
        <v>0</v>
      </c>
      <c r="M172" s="19">
        <f>(('B) D RI'!S174*C172)-(L172*$M$4))/'B) D RI'!S174</f>
        <v>4128.5685135135127</v>
      </c>
      <c r="N172" s="302">
        <f t="shared" si="29"/>
        <v>24.870894659719955</v>
      </c>
      <c r="O172" s="71">
        <f t="shared" si="30"/>
        <v>0.54889345720187788</v>
      </c>
      <c r="R172" s="17"/>
    </row>
    <row r="173" spans="1:18" x14ac:dyDescent="0.25">
      <c r="A173" s="355">
        <f>'A) Base RI'!A175</f>
        <v>5684</v>
      </c>
      <c r="B173" s="40" t="str">
        <f>'A) Base RI'!B175</f>
        <v>Rossenges</v>
      </c>
      <c r="C173" s="353">
        <f>'B) D RI'!U175</f>
        <v>2119.9519999999998</v>
      </c>
      <c r="D173" s="40">
        <f>'B) D RI'!AA175</f>
        <v>60</v>
      </c>
      <c r="E173" s="231">
        <f t="shared" si="22"/>
        <v>35.33253333333333</v>
      </c>
      <c r="F173" s="71">
        <f t="shared" si="23"/>
        <v>0.75822677064761068</v>
      </c>
      <c r="G173" s="312">
        <f t="shared" si="24"/>
        <v>0</v>
      </c>
      <c r="H173" s="312">
        <f t="shared" si="25"/>
        <v>0</v>
      </c>
      <c r="I173" s="312">
        <f t="shared" si="26"/>
        <v>0</v>
      </c>
      <c r="J173" s="312">
        <f t="shared" si="27"/>
        <v>0</v>
      </c>
      <c r="K173" s="313">
        <f t="shared" si="28"/>
        <v>0</v>
      </c>
      <c r="L173" s="66">
        <f>K173*D173*'B) D RI'!S175</f>
        <v>0</v>
      </c>
      <c r="M173" s="19">
        <f>(('B) D RI'!S175*C173)-(L173*$M$4))/'B) D RI'!S175</f>
        <v>2119.9519999999998</v>
      </c>
      <c r="N173" s="302">
        <f t="shared" si="29"/>
        <v>35.33253333333333</v>
      </c>
      <c r="O173" s="71">
        <f t="shared" si="30"/>
        <v>0.77977879920996351</v>
      </c>
      <c r="R173" s="17"/>
    </row>
    <row r="174" spans="1:18" x14ac:dyDescent="0.25">
      <c r="A174" s="355">
        <f>'A) Base RI'!A176</f>
        <v>5688</v>
      </c>
      <c r="B174" s="40" t="str">
        <f>'A) Base RI'!B176</f>
        <v>Syens</v>
      </c>
      <c r="C174" s="353">
        <f>'B) D RI'!U176</f>
        <v>4845.4007936507942</v>
      </c>
      <c r="D174" s="40">
        <f>'B) D RI'!AA176</f>
        <v>145</v>
      </c>
      <c r="E174" s="231">
        <f t="shared" si="22"/>
        <v>33.416557197591686</v>
      </c>
      <c r="F174" s="71">
        <f t="shared" si="23"/>
        <v>0.717110432219912</v>
      </c>
      <c r="G174" s="312">
        <f t="shared" si="24"/>
        <v>0</v>
      </c>
      <c r="H174" s="312">
        <f t="shared" si="25"/>
        <v>0</v>
      </c>
      <c r="I174" s="312">
        <f t="shared" si="26"/>
        <v>0</v>
      </c>
      <c r="J174" s="312">
        <f t="shared" si="27"/>
        <v>0</v>
      </c>
      <c r="K174" s="313">
        <f t="shared" si="28"/>
        <v>0</v>
      </c>
      <c r="L174" s="66">
        <f>K174*D174*'B) D RI'!S176</f>
        <v>0</v>
      </c>
      <c r="M174" s="19">
        <f>(('B) D RI'!S176*C174)-(L174*$M$4))/'B) D RI'!S176</f>
        <v>4845.4007936507942</v>
      </c>
      <c r="N174" s="302">
        <f t="shared" si="29"/>
        <v>33.416557197591686</v>
      </c>
      <c r="O174" s="71">
        <f t="shared" si="30"/>
        <v>0.73749375963047592</v>
      </c>
      <c r="R174" s="17"/>
    </row>
    <row r="175" spans="1:18" x14ac:dyDescent="0.25">
      <c r="A175" s="355">
        <f>'A) Base RI'!A177</f>
        <v>5690</v>
      </c>
      <c r="B175" s="40" t="str">
        <f>'A) Base RI'!B177</f>
        <v>Villars-le-Comte</v>
      </c>
      <c r="C175" s="353">
        <f>'B) D RI'!U177</f>
        <v>3252.2851315789467</v>
      </c>
      <c r="D175" s="40">
        <f>'B) D RI'!AA177</f>
        <v>143</v>
      </c>
      <c r="E175" s="231">
        <f t="shared" si="22"/>
        <v>22.743252668384244</v>
      </c>
      <c r="F175" s="71">
        <f t="shared" si="23"/>
        <v>0.48806415498383854</v>
      </c>
      <c r="G175" s="312">
        <f t="shared" si="24"/>
        <v>0</v>
      </c>
      <c r="H175" s="312">
        <f t="shared" si="25"/>
        <v>0</v>
      </c>
      <c r="I175" s="312">
        <f t="shared" si="26"/>
        <v>0</v>
      </c>
      <c r="J175" s="312">
        <f t="shared" si="27"/>
        <v>0</v>
      </c>
      <c r="K175" s="313">
        <f t="shared" si="28"/>
        <v>0</v>
      </c>
      <c r="L175" s="66">
        <f>K175*D175*'B) D RI'!S177</f>
        <v>0</v>
      </c>
      <c r="M175" s="19">
        <f>(('B) D RI'!S177*C175)-(L175*$M$4))/'B) D RI'!S177</f>
        <v>3252.2851315789467</v>
      </c>
      <c r="N175" s="302">
        <f t="shared" si="29"/>
        <v>22.743252668384244</v>
      </c>
      <c r="O175" s="71">
        <f t="shared" si="30"/>
        <v>0.50193701336298557</v>
      </c>
      <c r="R175" s="17"/>
    </row>
    <row r="176" spans="1:18" x14ac:dyDescent="0.25">
      <c r="A176" s="355">
        <f>'A) Base RI'!A178</f>
        <v>5692</v>
      </c>
      <c r="B176" s="40" t="str">
        <f>'A) Base RI'!B178</f>
        <v>Vucherens</v>
      </c>
      <c r="C176" s="353">
        <f>'B) D RI'!U178</f>
        <v>16993.232405063292</v>
      </c>
      <c r="D176" s="40">
        <f>'B) D RI'!AA178</f>
        <v>557</v>
      </c>
      <c r="E176" s="231">
        <f t="shared" si="22"/>
        <v>30.508496238892803</v>
      </c>
      <c r="F176" s="71">
        <f t="shared" si="23"/>
        <v>0.65470421728031014</v>
      </c>
      <c r="G176" s="312">
        <f t="shared" si="24"/>
        <v>0</v>
      </c>
      <c r="H176" s="312">
        <f t="shared" si="25"/>
        <v>0</v>
      </c>
      <c r="I176" s="312">
        <f t="shared" si="26"/>
        <v>0</v>
      </c>
      <c r="J176" s="312">
        <f t="shared" si="27"/>
        <v>0</v>
      </c>
      <c r="K176" s="313">
        <f t="shared" si="28"/>
        <v>0</v>
      </c>
      <c r="L176" s="66">
        <f>K176*D176*'B) D RI'!S178</f>
        <v>0</v>
      </c>
      <c r="M176" s="19">
        <f>(('B) D RI'!S178*C176)-(L176*$M$4))/'B) D RI'!S178</f>
        <v>16993.232405063292</v>
      </c>
      <c r="N176" s="302">
        <f t="shared" si="29"/>
        <v>30.508496238892803</v>
      </c>
      <c r="O176" s="71">
        <f t="shared" si="30"/>
        <v>0.67331369473079172</v>
      </c>
      <c r="R176" s="17"/>
    </row>
    <row r="177" spans="1:18" x14ac:dyDescent="0.25">
      <c r="A177" s="355">
        <f>'A) Base RI'!A179</f>
        <v>5693</v>
      </c>
      <c r="B177" s="40" t="str">
        <f>'A) Base RI'!B179</f>
        <v>Montanaire</v>
      </c>
      <c r="C177" s="353">
        <f>'B) D RI'!U179</f>
        <v>63585.08152777778</v>
      </c>
      <c r="D177" s="40">
        <f>'B) D RI'!AA179</f>
        <v>2500</v>
      </c>
      <c r="E177" s="231">
        <f t="shared" si="22"/>
        <v>25.43403261111111</v>
      </c>
      <c r="F177" s="71">
        <f t="shared" si="23"/>
        <v>0.54580757709425864</v>
      </c>
      <c r="G177" s="312">
        <f t="shared" si="24"/>
        <v>0</v>
      </c>
      <c r="H177" s="312">
        <f t="shared" si="25"/>
        <v>0</v>
      </c>
      <c r="I177" s="312">
        <f t="shared" si="26"/>
        <v>0</v>
      </c>
      <c r="J177" s="312">
        <f t="shared" si="27"/>
        <v>0</v>
      </c>
      <c r="K177" s="313">
        <f t="shared" si="28"/>
        <v>0</v>
      </c>
      <c r="L177" s="66">
        <f>K177*D177*'B) D RI'!S179</f>
        <v>0</v>
      </c>
      <c r="M177" s="19">
        <f>(('B) D RI'!S179*C177)-(L177*$M$4))/'B) D RI'!S179</f>
        <v>63585.08152777778</v>
      </c>
      <c r="N177" s="302">
        <f t="shared" si="29"/>
        <v>25.43403261111111</v>
      </c>
      <c r="O177" s="71">
        <f t="shared" si="30"/>
        <v>0.56132174903656151</v>
      </c>
      <c r="R177" s="17"/>
    </row>
    <row r="178" spans="1:18" x14ac:dyDescent="0.25">
      <c r="A178" s="355">
        <f>'A) Base RI'!A180</f>
        <v>5701</v>
      </c>
      <c r="B178" s="40" t="str">
        <f>'A) Base RI'!B180</f>
        <v>Arnex-sur-Nyon</v>
      </c>
      <c r="C178" s="353">
        <f>'B) D RI'!U180</f>
        <v>15270.610714285714</v>
      </c>
      <c r="D178" s="40">
        <f>'B) D RI'!AA180</f>
        <v>214</v>
      </c>
      <c r="E178" s="231">
        <f t="shared" si="22"/>
        <v>71.357993991989318</v>
      </c>
      <c r="F178" s="71">
        <f t="shared" si="23"/>
        <v>1.5313235774518763</v>
      </c>
      <c r="G178" s="312">
        <f t="shared" si="24"/>
        <v>15.439314196779158</v>
      </c>
      <c r="H178" s="312">
        <f t="shared" si="25"/>
        <v>1.4596442479766125</v>
      </c>
      <c r="I178" s="312">
        <f t="shared" si="26"/>
        <v>0</v>
      </c>
      <c r="J178" s="312">
        <f t="shared" si="27"/>
        <v>0</v>
      </c>
      <c r="K178" s="313">
        <f t="shared" si="28"/>
        <v>5.7041175356381579</v>
      </c>
      <c r="L178" s="66">
        <f>K178*D178*'B) D RI'!S180</f>
        <v>85447.680683859609</v>
      </c>
      <c r="M178" s="19">
        <f>(('B) D RI'!S180*C178)-(L178*$M$4))/'B) D RI'!S180</f>
        <v>14660.270137972431</v>
      </c>
      <c r="N178" s="302">
        <f t="shared" si="29"/>
        <v>68.505935224170244</v>
      </c>
      <c r="O178" s="71">
        <f t="shared" si="30"/>
        <v>1.5119061914946854</v>
      </c>
      <c r="R178" s="17"/>
    </row>
    <row r="179" spans="1:18" x14ac:dyDescent="0.25">
      <c r="A179" s="355">
        <f>'A) Base RI'!A181</f>
        <v>5702</v>
      </c>
      <c r="B179" s="40" t="str">
        <f>'A) Base RI'!B181</f>
        <v>Arzier-Le Muids</v>
      </c>
      <c r="C179" s="353">
        <f>'B) D RI'!U181</f>
        <v>153872.87421874999</v>
      </c>
      <c r="D179" s="40">
        <f>'B) D RI'!AA181</f>
        <v>2565</v>
      </c>
      <c r="E179" s="231">
        <f t="shared" si="22"/>
        <v>59.989424646686153</v>
      </c>
      <c r="F179" s="71">
        <f t="shared" si="23"/>
        <v>1.2873571021286809</v>
      </c>
      <c r="G179" s="312">
        <f t="shared" si="24"/>
        <v>4.0707448514759932</v>
      </c>
      <c r="H179" s="312">
        <f t="shared" si="25"/>
        <v>0</v>
      </c>
      <c r="I179" s="312">
        <f t="shared" si="26"/>
        <v>0</v>
      </c>
      <c r="J179" s="312">
        <f t="shared" si="27"/>
        <v>0</v>
      </c>
      <c r="K179" s="313">
        <f t="shared" si="28"/>
        <v>1.4654681465313575</v>
      </c>
      <c r="L179" s="66">
        <f>K179*D179*'B) D RI'!S181</f>
        <v>240571.25093458765</v>
      </c>
      <c r="M179" s="19">
        <f>(('B) D RI'!S181*C179)-(L179*$M$4))/'B) D RI'!S181</f>
        <v>151993.41132082354</v>
      </c>
      <c r="N179" s="302">
        <f t="shared" si="29"/>
        <v>59.256690573420485</v>
      </c>
      <c r="O179" s="71">
        <f t="shared" si="30"/>
        <v>1.3077780351771606</v>
      </c>
      <c r="R179" s="17"/>
    </row>
    <row r="180" spans="1:18" x14ac:dyDescent="0.25">
      <c r="A180" s="355">
        <f>'A) Base RI'!A182</f>
        <v>5703</v>
      </c>
      <c r="B180" s="40" t="str">
        <f>'A) Base RI'!B182</f>
        <v>Bassins</v>
      </c>
      <c r="C180" s="353">
        <f>'B) D RI'!U182</f>
        <v>52372.205915492945</v>
      </c>
      <c r="D180" s="40">
        <f>'B) D RI'!AA182</f>
        <v>1311</v>
      </c>
      <c r="E180" s="231">
        <f t="shared" si="22"/>
        <v>39.948288265059453</v>
      </c>
      <c r="F180" s="71">
        <f t="shared" si="23"/>
        <v>0.85727964418390246</v>
      </c>
      <c r="G180" s="312">
        <f t="shared" si="24"/>
        <v>0</v>
      </c>
      <c r="H180" s="312">
        <f t="shared" si="25"/>
        <v>0</v>
      </c>
      <c r="I180" s="312">
        <f t="shared" si="26"/>
        <v>0</v>
      </c>
      <c r="J180" s="312">
        <f t="shared" si="27"/>
        <v>0</v>
      </c>
      <c r="K180" s="313">
        <f t="shared" si="28"/>
        <v>0</v>
      </c>
      <c r="L180" s="66">
        <f>K180*D180*'B) D RI'!S182</f>
        <v>0</v>
      </c>
      <c r="M180" s="19">
        <f>(('B) D RI'!S182*C180)-(L180*$M$4))/'B) D RI'!S182</f>
        <v>52372.205915492945</v>
      </c>
      <c r="N180" s="302">
        <f t="shared" si="29"/>
        <v>39.948288265059453</v>
      </c>
      <c r="O180" s="71">
        <f t="shared" si="30"/>
        <v>0.88164717655366376</v>
      </c>
      <c r="R180" s="17"/>
    </row>
    <row r="181" spans="1:18" x14ac:dyDescent="0.25">
      <c r="A181" s="355">
        <f>'A) Base RI'!A183</f>
        <v>5704</v>
      </c>
      <c r="B181" s="40" t="str">
        <f>'A) Base RI'!B183</f>
        <v>Begnins</v>
      </c>
      <c r="C181" s="353">
        <f>'B) D RI'!U183</f>
        <v>118306.82039800995</v>
      </c>
      <c r="D181" s="40">
        <f>'B) D RI'!AA183</f>
        <v>1856</v>
      </c>
      <c r="E181" s="231">
        <f t="shared" si="22"/>
        <v>63.74289892134157</v>
      </c>
      <c r="F181" s="71">
        <f t="shared" si="23"/>
        <v>1.3679056620389298</v>
      </c>
      <c r="G181" s="312">
        <f t="shared" si="24"/>
        <v>7.8242191261314105</v>
      </c>
      <c r="H181" s="312">
        <f t="shared" si="25"/>
        <v>0</v>
      </c>
      <c r="I181" s="312">
        <f t="shared" si="26"/>
        <v>0</v>
      </c>
      <c r="J181" s="312">
        <f t="shared" si="27"/>
        <v>0</v>
      </c>
      <c r="K181" s="313">
        <f t="shared" si="28"/>
        <v>2.8167188854073077</v>
      </c>
      <c r="L181" s="66">
        <f>K181*D181*'B) D RI'!S183</f>
        <v>350264.62683816953</v>
      </c>
      <c r="M181" s="19">
        <f>(('B) D RI'!S183*C181)-(L181*$M$4))/'B) D RI'!S183</f>
        <v>115692.90527235197</v>
      </c>
      <c r="N181" s="302">
        <f t="shared" si="29"/>
        <v>62.334539478637915</v>
      </c>
      <c r="O181" s="71">
        <f t="shared" si="30"/>
        <v>1.3757052709860886</v>
      </c>
      <c r="R181" s="17"/>
    </row>
    <row r="182" spans="1:18" x14ac:dyDescent="0.25">
      <c r="A182" s="355">
        <f>'A) Base RI'!A184</f>
        <v>5705</v>
      </c>
      <c r="B182" s="40" t="str">
        <f>'A) Base RI'!B184</f>
        <v>Bogis-Bossey</v>
      </c>
      <c r="C182" s="353">
        <f>'B) D RI'!U184</f>
        <v>49610.676285714275</v>
      </c>
      <c r="D182" s="40">
        <f>'B) D RI'!AA184</f>
        <v>827</v>
      </c>
      <c r="E182" s="231">
        <f t="shared" si="22"/>
        <v>59.988725859388481</v>
      </c>
      <c r="F182" s="71">
        <f t="shared" si="23"/>
        <v>1.287342106339076</v>
      </c>
      <c r="G182" s="312">
        <f t="shared" si="24"/>
        <v>4.0700460641783209</v>
      </c>
      <c r="H182" s="312">
        <f t="shared" si="25"/>
        <v>0</v>
      </c>
      <c r="I182" s="312">
        <f t="shared" si="26"/>
        <v>0</v>
      </c>
      <c r="J182" s="312">
        <f t="shared" si="27"/>
        <v>0</v>
      </c>
      <c r="K182" s="313">
        <f t="shared" si="28"/>
        <v>1.4652165831041954</v>
      </c>
      <c r="L182" s="66">
        <f>K182*D182*'B) D RI'!S184</f>
        <v>84821.387995901867</v>
      </c>
      <c r="M182" s="19">
        <f>(('B) D RI'!S184*C182)-(L182*$M$4))/'B) D RI'!S184</f>
        <v>49004.809228600694</v>
      </c>
      <c r="N182" s="302">
        <f t="shared" si="29"/>
        <v>59.256117567836391</v>
      </c>
      <c r="O182" s="71">
        <f t="shared" si="30"/>
        <v>1.307765389109524</v>
      </c>
      <c r="R182" s="17"/>
    </row>
    <row r="183" spans="1:18" x14ac:dyDescent="0.25">
      <c r="A183" s="355">
        <f>'A) Base RI'!A185</f>
        <v>5706</v>
      </c>
      <c r="B183" s="40" t="str">
        <f>'A) Base RI'!B185</f>
        <v>Borex</v>
      </c>
      <c r="C183" s="353">
        <f>'B) D RI'!U185</f>
        <v>68211.153151515144</v>
      </c>
      <c r="D183" s="40">
        <f>'B) D RI'!AA185</f>
        <v>1099</v>
      </c>
      <c r="E183" s="231">
        <f t="shared" si="22"/>
        <v>62.066563377174838</v>
      </c>
      <c r="F183" s="71">
        <f t="shared" si="23"/>
        <v>1.3319319469875885</v>
      </c>
      <c r="G183" s="312">
        <f t="shared" si="24"/>
        <v>6.1478835819646775</v>
      </c>
      <c r="H183" s="312">
        <f t="shared" si="25"/>
        <v>0</v>
      </c>
      <c r="I183" s="312">
        <f t="shared" si="26"/>
        <v>0</v>
      </c>
      <c r="J183" s="312">
        <f t="shared" si="27"/>
        <v>0</v>
      </c>
      <c r="K183" s="313">
        <f t="shared" si="28"/>
        <v>2.2132380895072838</v>
      </c>
      <c r="L183" s="66">
        <f>K183*D183*'B) D RI'!S185</f>
        <v>133779.17632026778</v>
      </c>
      <c r="M183" s="19">
        <f>(('B) D RI'!S185*C183)-(L183*$M$4))/'B) D RI'!S185</f>
        <v>66994.978821330893</v>
      </c>
      <c r="N183" s="302">
        <f t="shared" si="29"/>
        <v>60.959944332421195</v>
      </c>
      <c r="O183" s="71">
        <f t="shared" si="30"/>
        <v>1.3453683533808773</v>
      </c>
      <c r="R183" s="17"/>
    </row>
    <row r="184" spans="1:18" x14ac:dyDescent="0.25">
      <c r="A184" s="355">
        <f>'A) Base RI'!A186</f>
        <v>5707</v>
      </c>
      <c r="B184" s="40" t="str">
        <f>'A) Base RI'!B186</f>
        <v>Chavannes-de-Bogis</v>
      </c>
      <c r="C184" s="353">
        <f>'B) D RI'!U186</f>
        <v>101262.00960451979</v>
      </c>
      <c r="D184" s="40">
        <f>'B) D RI'!AA186</f>
        <v>1153</v>
      </c>
      <c r="E184" s="231">
        <f t="shared" si="22"/>
        <v>87.824813186920892</v>
      </c>
      <c r="F184" s="71">
        <f t="shared" si="23"/>
        <v>1.8846971389573555</v>
      </c>
      <c r="G184" s="312">
        <f t="shared" si="24"/>
        <v>31.906133391710732</v>
      </c>
      <c r="H184" s="312">
        <f t="shared" si="25"/>
        <v>17.926463442908187</v>
      </c>
      <c r="I184" s="312">
        <f t="shared" si="26"/>
        <v>0</v>
      </c>
      <c r="J184" s="312">
        <f t="shared" si="27"/>
        <v>0</v>
      </c>
      <c r="K184" s="313">
        <f t="shared" si="28"/>
        <v>13.278854365306684</v>
      </c>
      <c r="L184" s="66">
        <f>K184*D184*'B) D RI'!S186</f>
        <v>903320.62590871775</v>
      </c>
      <c r="M184" s="19">
        <f>(('B) D RI'!S186*C184)-(L184*$M$4))/'B) D RI'!S186</f>
        <v>93606.750062920488</v>
      </c>
      <c r="N184" s="302">
        <f t="shared" si="29"/>
        <v>81.185386004267556</v>
      </c>
      <c r="O184" s="71">
        <f t="shared" si="30"/>
        <v>1.7917380057229166</v>
      </c>
      <c r="R184" s="17"/>
    </row>
    <row r="185" spans="1:18" x14ac:dyDescent="0.25">
      <c r="A185" s="355">
        <f>'A) Base RI'!A187</f>
        <v>5708</v>
      </c>
      <c r="B185" s="40" t="str">
        <f>'A) Base RI'!B187</f>
        <v>Chavannes-des-Bois</v>
      </c>
      <c r="C185" s="353">
        <f>'B) D RI'!U187</f>
        <v>66077.93781420766</v>
      </c>
      <c r="D185" s="40">
        <f>'B) D RI'!AA187</f>
        <v>850</v>
      </c>
      <c r="E185" s="231">
        <f t="shared" si="22"/>
        <v>77.738750369656074</v>
      </c>
      <c r="F185" s="71">
        <f t="shared" si="23"/>
        <v>1.6682529127159034</v>
      </c>
      <c r="G185" s="312">
        <f t="shared" si="24"/>
        <v>21.820070574445914</v>
      </c>
      <c r="H185" s="312">
        <f t="shared" si="25"/>
        <v>7.8404006256433689</v>
      </c>
      <c r="I185" s="312">
        <f t="shared" si="26"/>
        <v>0</v>
      </c>
      <c r="J185" s="312">
        <f t="shared" si="27"/>
        <v>0</v>
      </c>
      <c r="K185" s="313">
        <f t="shared" si="28"/>
        <v>8.6392654693648669</v>
      </c>
      <c r="L185" s="66">
        <f>K185*D185*'B) D RI'!S187</f>
        <v>447945.91458656831</v>
      </c>
      <c r="M185" s="19">
        <f>(('B) D RI'!S187*C185)-(L185*$M$4))/'B) D RI'!S187</f>
        <v>62406.249989727599</v>
      </c>
      <c r="N185" s="302">
        <f t="shared" si="29"/>
        <v>73.419117634973645</v>
      </c>
      <c r="O185" s="71">
        <f t="shared" si="30"/>
        <v>1.620338707342095</v>
      </c>
      <c r="R185" s="17"/>
    </row>
    <row r="186" spans="1:18" x14ac:dyDescent="0.25">
      <c r="A186" s="355">
        <f>'A) Base RI'!A188</f>
        <v>5709</v>
      </c>
      <c r="B186" s="40" t="str">
        <f>'A) Base RI'!B188</f>
        <v>Chéserex</v>
      </c>
      <c r="C186" s="353">
        <f>'B) D RI'!U188</f>
        <v>141681.04461538463</v>
      </c>
      <c r="D186" s="40">
        <f>'B) D RI'!AA188</f>
        <v>1222</v>
      </c>
      <c r="E186" s="231">
        <f t="shared" si="22"/>
        <v>115.94193503713963</v>
      </c>
      <c r="F186" s="71">
        <f t="shared" si="23"/>
        <v>2.4880830977072721</v>
      </c>
      <c r="G186" s="312">
        <f t="shared" si="24"/>
        <v>60.023255241929469</v>
      </c>
      <c r="H186" s="312">
        <f t="shared" si="25"/>
        <v>46.043585293126924</v>
      </c>
      <c r="I186" s="312">
        <f t="shared" si="26"/>
        <v>22.744135378456022</v>
      </c>
      <c r="J186" s="312">
        <f t="shared" si="27"/>
        <v>0</v>
      </c>
      <c r="K186" s="313">
        <f t="shared" si="28"/>
        <v>28.487143954252907</v>
      </c>
      <c r="L186" s="66">
        <f>K186*D186*'B) D RI'!S188</f>
        <v>1810187.0754290468</v>
      </c>
      <c r="M186" s="19">
        <f>(('B) D RI'!S188*C186)-(L186*$M$4))/'B) D RI'!S188</f>
        <v>124275.39965933609</v>
      </c>
      <c r="N186" s="302">
        <f t="shared" si="29"/>
        <v>101.69836306001316</v>
      </c>
      <c r="O186" s="71">
        <f t="shared" si="30"/>
        <v>2.2444534808870009</v>
      </c>
      <c r="R186" s="17"/>
    </row>
    <row r="187" spans="1:18" x14ac:dyDescent="0.25">
      <c r="A187" s="355">
        <f>'A) Base RI'!A189</f>
        <v>5710</v>
      </c>
      <c r="B187" s="40" t="str">
        <f>'A) Base RI'!B189</f>
        <v>Coinsins</v>
      </c>
      <c r="C187" s="353">
        <f>'B) D RI'!U189</f>
        <v>77522.491219512216</v>
      </c>
      <c r="D187" s="40">
        <f>'B) D RI'!AA189</f>
        <v>490</v>
      </c>
      <c r="E187" s="231">
        <f t="shared" si="22"/>
        <v>158.20916575410655</v>
      </c>
      <c r="F187" s="71">
        <f t="shared" si="23"/>
        <v>3.3951266303177272</v>
      </c>
      <c r="G187" s="312">
        <f t="shared" si="24"/>
        <v>102.2904859588964</v>
      </c>
      <c r="H187" s="312">
        <f t="shared" si="25"/>
        <v>88.310816010093845</v>
      </c>
      <c r="I187" s="312">
        <f t="shared" si="26"/>
        <v>65.011366095422943</v>
      </c>
      <c r="J187" s="312">
        <f t="shared" si="27"/>
        <v>18.41246626608114</v>
      </c>
      <c r="K187" s="313">
        <f t="shared" si="28"/>
        <v>53.998039782362497</v>
      </c>
      <c r="L187" s="66">
        <f>K187*D187*'B) D RI'!S189</f>
        <v>1084820.6192276627</v>
      </c>
      <c r="M187" s="19">
        <f>(('B) D RI'!S189*C187)-(L187*$M$4))/'B) D RI'!S189</f>
        <v>64292.971472833407</v>
      </c>
      <c r="N187" s="302">
        <f t="shared" si="29"/>
        <v>131.21014586292532</v>
      </c>
      <c r="O187" s="71">
        <f t="shared" si="30"/>
        <v>2.8957699981458846</v>
      </c>
      <c r="R187" s="17"/>
    </row>
    <row r="188" spans="1:18" x14ac:dyDescent="0.25">
      <c r="A188" s="355">
        <f>'A) Base RI'!A190</f>
        <v>5711</v>
      </c>
      <c r="B188" s="40" t="str">
        <f>'A) Base RI'!B190</f>
        <v>Commugny</v>
      </c>
      <c r="C188" s="353">
        <f>'B) D RI'!U190</f>
        <v>249621.80260458836</v>
      </c>
      <c r="D188" s="40">
        <f>'B) D RI'!AA190</f>
        <v>2561</v>
      </c>
      <c r="E188" s="231">
        <f t="shared" si="22"/>
        <v>97.470442250913067</v>
      </c>
      <c r="F188" s="71">
        <f t="shared" si="23"/>
        <v>2.0916897739619835</v>
      </c>
      <c r="G188" s="312">
        <f t="shared" si="24"/>
        <v>41.551762455702907</v>
      </c>
      <c r="H188" s="312">
        <f t="shared" si="25"/>
        <v>27.572092506900361</v>
      </c>
      <c r="I188" s="312">
        <f t="shared" si="26"/>
        <v>4.2726425922294595</v>
      </c>
      <c r="J188" s="312">
        <f t="shared" si="27"/>
        <v>0</v>
      </c>
      <c r="K188" s="313">
        <f t="shared" si="28"/>
        <v>18.14310799396603</v>
      </c>
      <c r="L188" s="66">
        <f>K188*D188*'B) D RI'!S190</f>
        <v>2648476.4756351789</v>
      </c>
      <c r="M188" s="19">
        <f>(('B) D RI'!S190*C188)-(L188*$M$4))/'B) D RI'!S190</f>
        <v>226389.55281831487</v>
      </c>
      <c r="N188" s="302">
        <f t="shared" si="29"/>
        <v>88.398888253930053</v>
      </c>
      <c r="O188" s="71">
        <f t="shared" si="30"/>
        <v>1.9509379155984288</v>
      </c>
      <c r="R188" s="17"/>
    </row>
    <row r="189" spans="1:18" x14ac:dyDescent="0.25">
      <c r="A189" s="355">
        <f>'A) Base RI'!A191</f>
        <v>5712</v>
      </c>
      <c r="B189" s="40" t="str">
        <f>'A) Base RI'!B191</f>
        <v>Coppet</v>
      </c>
      <c r="C189" s="353">
        <f>'B) D RI'!U191</f>
        <v>316866.86955974839</v>
      </c>
      <c r="D189" s="40">
        <f>'B) D RI'!AA191</f>
        <v>2942</v>
      </c>
      <c r="E189" s="231">
        <f t="shared" si="22"/>
        <v>107.70457836837132</v>
      </c>
      <c r="F189" s="71">
        <f t="shared" si="23"/>
        <v>2.3113116138538805</v>
      </c>
      <c r="G189" s="312">
        <f t="shared" si="24"/>
        <v>51.785898573161155</v>
      </c>
      <c r="H189" s="312">
        <f t="shared" si="25"/>
        <v>37.80622862435861</v>
      </c>
      <c r="I189" s="312">
        <f t="shared" si="26"/>
        <v>14.506778709687708</v>
      </c>
      <c r="J189" s="312">
        <f t="shared" si="27"/>
        <v>0</v>
      </c>
      <c r="K189" s="313">
        <f t="shared" si="28"/>
        <v>23.874224219742651</v>
      </c>
      <c r="L189" s="66">
        <f>K189*D189*'B) D RI'!S191</f>
        <v>3722612.2856875928</v>
      </c>
      <c r="M189" s="19">
        <f>(('B) D RI'!S191*C189)-(L189*$M$4))/'B) D RI'!S191</f>
        <v>281747.88573250698</v>
      </c>
      <c r="N189" s="302">
        <f t="shared" si="29"/>
        <v>95.767466258499994</v>
      </c>
      <c r="O189" s="71">
        <f t="shared" si="30"/>
        <v>2.1135603025662988</v>
      </c>
      <c r="R189" s="17"/>
    </row>
    <row r="190" spans="1:18" x14ac:dyDescent="0.25">
      <c r="A190" s="355">
        <f>'A) Base RI'!A192</f>
        <v>5713</v>
      </c>
      <c r="B190" s="40" t="str">
        <f>'A) Base RI'!B192</f>
        <v>Crans-près-Céligny</v>
      </c>
      <c r="C190" s="353">
        <f>'B) D RI'!U192</f>
        <v>229285.72754716981</v>
      </c>
      <c r="D190" s="40">
        <f>'B) D RI'!AA192</f>
        <v>2059</v>
      </c>
      <c r="E190" s="231">
        <f t="shared" si="22"/>
        <v>111.35780842504604</v>
      </c>
      <c r="F190" s="71">
        <f t="shared" si="23"/>
        <v>2.3897089595005347</v>
      </c>
      <c r="G190" s="312">
        <f t="shared" si="24"/>
        <v>55.439128629835885</v>
      </c>
      <c r="H190" s="312">
        <f t="shared" si="25"/>
        <v>41.45945868103334</v>
      </c>
      <c r="I190" s="312">
        <f t="shared" si="26"/>
        <v>18.160008766362438</v>
      </c>
      <c r="J190" s="312">
        <f t="shared" si="27"/>
        <v>0</v>
      </c>
      <c r="K190" s="313">
        <f t="shared" si="28"/>
        <v>25.920033051480498</v>
      </c>
      <c r="L190" s="66">
        <f>K190*D190*'B) D RI'!S192</f>
        <v>2828575.4468089123</v>
      </c>
      <c r="M190" s="19">
        <f>(('B) D RI'!S192*C190)-(L190*$M$4))/'B) D RI'!S192</f>
        <v>202601.05352067066</v>
      </c>
      <c r="N190" s="302">
        <f t="shared" si="29"/>
        <v>98.397791899305801</v>
      </c>
      <c r="O190" s="71">
        <f t="shared" si="30"/>
        <v>2.1716108292683769</v>
      </c>
      <c r="R190" s="17"/>
    </row>
    <row r="191" spans="1:18" x14ac:dyDescent="0.25">
      <c r="A191" s="355">
        <f>'A) Base RI'!A193</f>
        <v>5714</v>
      </c>
      <c r="B191" s="40" t="str">
        <f>'A) Base RI'!B193</f>
        <v>Crassier</v>
      </c>
      <c r="C191" s="353">
        <f>'B) D RI'!U193</f>
        <v>82427.7421875</v>
      </c>
      <c r="D191" s="40">
        <f>'B) D RI'!AA193</f>
        <v>1172</v>
      </c>
      <c r="E191" s="231">
        <f t="shared" si="22"/>
        <v>70.330838043941981</v>
      </c>
      <c r="F191" s="71">
        <f t="shared" si="23"/>
        <v>1.5092810839207185</v>
      </c>
      <c r="G191" s="312">
        <f t="shared" si="24"/>
        <v>14.412158248731821</v>
      </c>
      <c r="H191" s="312">
        <f t="shared" si="25"/>
        <v>0.4324882999292754</v>
      </c>
      <c r="I191" s="312">
        <f t="shared" si="26"/>
        <v>0</v>
      </c>
      <c r="J191" s="312">
        <f t="shared" si="27"/>
        <v>0</v>
      </c>
      <c r="K191" s="313">
        <f t="shared" si="28"/>
        <v>5.2316257995363831</v>
      </c>
      <c r="L191" s="66">
        <f>K191*D191*'B) D RI'!S193</f>
        <v>392413.78797162505</v>
      </c>
      <c r="M191" s="19">
        <f>(('B) D RI'!S193*C191)-(L191*$M$4))/'B) D RI'!S193</f>
        <v>79362.009468971679</v>
      </c>
      <c r="N191" s="302">
        <f t="shared" si="29"/>
        <v>67.715025144173794</v>
      </c>
      <c r="O191" s="71">
        <f t="shared" si="30"/>
        <v>1.4944510346101139</v>
      </c>
      <c r="R191" s="17"/>
    </row>
    <row r="192" spans="1:18" x14ac:dyDescent="0.25">
      <c r="A192" s="355">
        <f>'A) Base RI'!A194</f>
        <v>5715</v>
      </c>
      <c r="B192" s="40" t="str">
        <f>'A) Base RI'!B194</f>
        <v>Duillier</v>
      </c>
      <c r="C192" s="353">
        <f>'B) D RI'!U194</f>
        <v>64112.353030303027</v>
      </c>
      <c r="D192" s="40">
        <f>'B) D RI'!AA194</f>
        <v>1039</v>
      </c>
      <c r="E192" s="231">
        <f t="shared" si="22"/>
        <v>61.705825823198296</v>
      </c>
      <c r="F192" s="71">
        <f t="shared" si="23"/>
        <v>1.3241906149969693</v>
      </c>
      <c r="G192" s="312">
        <f t="shared" si="24"/>
        <v>5.7871460279881362</v>
      </c>
      <c r="H192" s="312">
        <f t="shared" si="25"/>
        <v>0</v>
      </c>
      <c r="I192" s="312">
        <f t="shared" si="26"/>
        <v>0</v>
      </c>
      <c r="J192" s="312">
        <f t="shared" si="27"/>
        <v>0</v>
      </c>
      <c r="K192" s="313">
        <f t="shared" si="28"/>
        <v>2.0833725700757291</v>
      </c>
      <c r="L192" s="66">
        <f>K192*D192*'B) D RI'!S194</f>
        <v>142865.19062037303</v>
      </c>
      <c r="M192" s="19">
        <f>(('B) D RI'!S194*C192)-(L192*$M$4))/'B) D RI'!S194</f>
        <v>63030.040980148689</v>
      </c>
      <c r="N192" s="302">
        <f t="shared" si="29"/>
        <v>60.664139538160434</v>
      </c>
      <c r="O192" s="71">
        <f t="shared" si="30"/>
        <v>1.3388400270620964</v>
      </c>
      <c r="R192" s="17"/>
    </row>
    <row r="193" spans="1:18" x14ac:dyDescent="0.25">
      <c r="A193" s="355">
        <f>'A) Base RI'!A195</f>
        <v>5716</v>
      </c>
      <c r="B193" s="40" t="str">
        <f>'A) Base RI'!B195</f>
        <v>Eysins</v>
      </c>
      <c r="C193" s="353">
        <f>'B) D RI'!U195</f>
        <v>93259.046229508182</v>
      </c>
      <c r="D193" s="40">
        <f>'B) D RI'!AA195</f>
        <v>1482</v>
      </c>
      <c r="E193" s="231">
        <f t="shared" si="22"/>
        <v>62.927831463905655</v>
      </c>
      <c r="F193" s="71">
        <f t="shared" si="23"/>
        <v>1.3504145311233733</v>
      </c>
      <c r="G193" s="312">
        <f t="shared" si="24"/>
        <v>7.0091516686954947</v>
      </c>
      <c r="H193" s="312">
        <f t="shared" si="25"/>
        <v>0</v>
      </c>
      <c r="I193" s="312">
        <f t="shared" si="26"/>
        <v>0</v>
      </c>
      <c r="J193" s="312">
        <f t="shared" si="27"/>
        <v>0</v>
      </c>
      <c r="K193" s="313">
        <f t="shared" si="28"/>
        <v>2.5232946007303778</v>
      </c>
      <c r="L193" s="66">
        <f>K193*D193*'B) D RI'!S195</f>
        <v>228110.8784952276</v>
      </c>
      <c r="M193" s="19">
        <f>(('B) D RI'!S195*C193)-(L193*$M$4))/'B) D RI'!S195</f>
        <v>91389.284930366979</v>
      </c>
      <c r="N193" s="302">
        <f t="shared" si="29"/>
        <v>61.666184163540471</v>
      </c>
      <c r="O193" s="71">
        <f t="shared" si="30"/>
        <v>1.3609548623432812</v>
      </c>
      <c r="R193" s="17"/>
    </row>
    <row r="194" spans="1:18" x14ac:dyDescent="0.25">
      <c r="A194" s="355">
        <f>'A) Base RI'!A196</f>
        <v>5717</v>
      </c>
      <c r="B194" s="40" t="str">
        <f>'A) Base RI'!B196</f>
        <v>Founex</v>
      </c>
      <c r="C194" s="353">
        <f>'B) D RI'!U196</f>
        <v>359686.500877193</v>
      </c>
      <c r="D194" s="40">
        <f>'B) D RI'!AA196</f>
        <v>3410</v>
      </c>
      <c r="E194" s="231">
        <f t="shared" si="22"/>
        <v>105.47991228070175</v>
      </c>
      <c r="F194" s="71">
        <f t="shared" si="23"/>
        <v>2.2635708711364146</v>
      </c>
      <c r="G194" s="312">
        <f t="shared" si="24"/>
        <v>49.561232485491594</v>
      </c>
      <c r="H194" s="312">
        <f t="shared" si="25"/>
        <v>35.581562536689049</v>
      </c>
      <c r="I194" s="312">
        <f t="shared" si="26"/>
        <v>12.282112622018147</v>
      </c>
      <c r="J194" s="312">
        <f t="shared" si="27"/>
        <v>0</v>
      </c>
      <c r="K194" s="313">
        <f t="shared" si="28"/>
        <v>22.628411210647695</v>
      </c>
      <c r="L194" s="66">
        <f>K194*D194*'B) D RI'!S196</f>
        <v>4398284.2870135922</v>
      </c>
      <c r="M194" s="19">
        <f>(('B) D RI'!S196*C194)-(L194*$M$4))/'B) D RI'!S196</f>
        <v>321105.05976303871</v>
      </c>
      <c r="N194" s="302">
        <f t="shared" si="29"/>
        <v>94.165706675377919</v>
      </c>
      <c r="O194" s="71">
        <f t="shared" si="30"/>
        <v>2.0782099314913878</v>
      </c>
      <c r="R194" s="17"/>
    </row>
    <row r="195" spans="1:18" x14ac:dyDescent="0.25">
      <c r="A195" s="355">
        <f>'A) Base RI'!A197</f>
        <v>5718</v>
      </c>
      <c r="B195" s="40" t="str">
        <f>'A) Base RI'!B197</f>
        <v>Genolier</v>
      </c>
      <c r="C195" s="353">
        <f>'B) D RI'!U197</f>
        <v>194551.61054545455</v>
      </c>
      <c r="D195" s="40">
        <f>'B) D RI'!AA197</f>
        <v>1895</v>
      </c>
      <c r="E195" s="231">
        <f t="shared" si="22"/>
        <v>102.66575754377548</v>
      </c>
      <c r="F195" s="71">
        <f t="shared" si="23"/>
        <v>2.2031798587470131</v>
      </c>
      <c r="G195" s="312">
        <f t="shared" si="24"/>
        <v>46.747077748565324</v>
      </c>
      <c r="H195" s="312">
        <f t="shared" si="25"/>
        <v>32.767407799762779</v>
      </c>
      <c r="I195" s="312">
        <f t="shared" si="26"/>
        <v>9.4679578850918773</v>
      </c>
      <c r="J195" s="312">
        <f t="shared" si="27"/>
        <v>0</v>
      </c>
      <c r="K195" s="313">
        <f t="shared" si="28"/>
        <v>21.052484557968981</v>
      </c>
      <c r="L195" s="66">
        <f>K195*D195*'B) D RI'!S197</f>
        <v>2194195.2030543168</v>
      </c>
      <c r="M195" s="19">
        <f>(('B) D RI'!S197*C195)-(L195*$M$4))/'B) D RI'!S197</f>
        <v>174604.38142677894</v>
      </c>
      <c r="N195" s="302">
        <f t="shared" si="29"/>
        <v>92.139515264791001</v>
      </c>
      <c r="O195" s="71">
        <f t="shared" si="30"/>
        <v>2.0334924726493857</v>
      </c>
      <c r="R195" s="17"/>
    </row>
    <row r="196" spans="1:18" x14ac:dyDescent="0.25">
      <c r="A196" s="355">
        <f>'A) Base RI'!A198</f>
        <v>5719</v>
      </c>
      <c r="B196" s="40" t="str">
        <f>'A) Base RI'!B198</f>
        <v>Gingins</v>
      </c>
      <c r="C196" s="353">
        <f>'B) D RI'!U198</f>
        <v>90011.711578947361</v>
      </c>
      <c r="D196" s="40">
        <f>'B) D RI'!AA198</f>
        <v>1195</v>
      </c>
      <c r="E196" s="231">
        <f t="shared" si="22"/>
        <v>75.323608015855527</v>
      </c>
      <c r="F196" s="71">
        <f t="shared" si="23"/>
        <v>1.6164245999736395</v>
      </c>
      <c r="G196" s="312">
        <f t="shared" si="24"/>
        <v>19.404928220645367</v>
      </c>
      <c r="H196" s="312">
        <f t="shared" si="25"/>
        <v>5.4252582718428215</v>
      </c>
      <c r="I196" s="312">
        <f t="shared" si="26"/>
        <v>0</v>
      </c>
      <c r="J196" s="312">
        <f t="shared" si="27"/>
        <v>0</v>
      </c>
      <c r="K196" s="313">
        <f t="shared" si="28"/>
        <v>7.5282999866166147</v>
      </c>
      <c r="L196" s="66">
        <f>K196*D196*'B) D RI'!S198</f>
        <v>512790.15358839073</v>
      </c>
      <c r="M196" s="19">
        <f>(('B) D RI'!S198*C196)-(L196*$M$4))/'B) D RI'!S198</f>
        <v>85513.552336943947</v>
      </c>
      <c r="N196" s="302">
        <f t="shared" si="29"/>
        <v>71.559458022547233</v>
      </c>
      <c r="O196" s="71">
        <f t="shared" si="30"/>
        <v>1.5792965571561342</v>
      </c>
      <c r="R196" s="17"/>
    </row>
    <row r="197" spans="1:18" x14ac:dyDescent="0.25">
      <c r="A197" s="355">
        <f>'A) Base RI'!A199</f>
        <v>5720</v>
      </c>
      <c r="B197" s="40" t="str">
        <f>'A) Base RI'!B199</f>
        <v>Givrins</v>
      </c>
      <c r="C197" s="353">
        <f>'B) D RI'!U199</f>
        <v>73631.281876138426</v>
      </c>
      <c r="D197" s="40">
        <f>'B) D RI'!AA199</f>
        <v>1000</v>
      </c>
      <c r="E197" s="231">
        <f t="shared" si="22"/>
        <v>73.631281876138431</v>
      </c>
      <c r="F197" s="71">
        <f t="shared" si="23"/>
        <v>1.5801077309935807</v>
      </c>
      <c r="G197" s="312">
        <f t="shared" si="24"/>
        <v>17.712602080928271</v>
      </c>
      <c r="H197" s="312">
        <f t="shared" si="25"/>
        <v>3.7329321321257254</v>
      </c>
      <c r="I197" s="312">
        <f t="shared" si="26"/>
        <v>0</v>
      </c>
      <c r="J197" s="312">
        <f t="shared" si="27"/>
        <v>0</v>
      </c>
      <c r="K197" s="313">
        <f t="shared" si="28"/>
        <v>6.7498299623467499</v>
      </c>
      <c r="L197" s="66">
        <f>K197*D197*'B) D RI'!S199</f>
        <v>411739.62770315178</v>
      </c>
      <c r="M197" s="19">
        <f>(('B) D RI'!S199*C197)-(L197*$M$4))/'B) D RI'!S199</f>
        <v>70256.366894965046</v>
      </c>
      <c r="N197" s="302">
        <f t="shared" si="29"/>
        <v>70.256366894965041</v>
      </c>
      <c r="O197" s="71">
        <f t="shared" si="30"/>
        <v>1.5505377125768078</v>
      </c>
      <c r="R197" s="17"/>
    </row>
    <row r="198" spans="1:18" x14ac:dyDescent="0.25">
      <c r="A198" s="355">
        <f>'A) Base RI'!A200</f>
        <v>5721</v>
      </c>
      <c r="B198" s="40" t="str">
        <f>'A) Base RI'!B200</f>
        <v>Gland</v>
      </c>
      <c r="C198" s="353">
        <f>'B) D RI'!U200</f>
        <v>541149.08192000003</v>
      </c>
      <c r="D198" s="40">
        <f>'B) D RI'!AA200</f>
        <v>12829</v>
      </c>
      <c r="E198" s="231">
        <f t="shared" ref="E198:E261" si="31">C198/D198</f>
        <v>42.181704101644712</v>
      </c>
      <c r="F198" s="71">
        <f t="shared" ref="F198:F261" si="32">E198/$E$314</f>
        <v>0.90520815418659895</v>
      </c>
      <c r="G198" s="312">
        <f t="shared" ref="G198:G261" si="33">IF(E198-$G$2&lt;0,0,E198-$G$2)</f>
        <v>0</v>
      </c>
      <c r="H198" s="312">
        <f t="shared" ref="H198:H261" si="34">IF(E198-$H$2&lt;0,0,E198-$H$2)</f>
        <v>0</v>
      </c>
      <c r="I198" s="312">
        <f t="shared" ref="I198:I261" si="35">IF(E198-$I$2&lt;0,0,E198-$I$2)</f>
        <v>0</v>
      </c>
      <c r="J198" s="312">
        <f t="shared" ref="J198:J261" si="36">IF(E198-$J$2&lt;0,0,E198-$J$2)</f>
        <v>0</v>
      </c>
      <c r="K198" s="313">
        <f t="shared" ref="K198:K261" si="37">(G198-H198)*$G$3+(H198-I198)*$H$3+(I198-J198)*$I$3+(J198*$J$3)</f>
        <v>0</v>
      </c>
      <c r="L198" s="66">
        <f>K198*D198*'B) D RI'!S200</f>
        <v>0</v>
      </c>
      <c r="M198" s="19">
        <f>(('B) D RI'!S200*C198)-(L198*$M$4))/'B) D RI'!S200</f>
        <v>541149.08192000003</v>
      </c>
      <c r="N198" s="302">
        <f t="shared" ref="N198:N261" si="38">M198/D198</f>
        <v>42.181704101644712</v>
      </c>
      <c r="O198" s="71">
        <f t="shared" ref="O198:O261" si="39">N198/N$314</f>
        <v>0.9309380185875108</v>
      </c>
      <c r="R198" s="17"/>
    </row>
    <row r="199" spans="1:18" x14ac:dyDescent="0.25">
      <c r="A199" s="355">
        <f>'A) Base RI'!A201</f>
        <v>5722</v>
      </c>
      <c r="B199" s="40" t="str">
        <f>'A) Base RI'!B201</f>
        <v>Grens</v>
      </c>
      <c r="C199" s="353">
        <f>'B) D RI'!U201</f>
        <v>20499.342258064513</v>
      </c>
      <c r="D199" s="40">
        <f>'B) D RI'!AA201</f>
        <v>377</v>
      </c>
      <c r="E199" s="231">
        <f t="shared" si="31"/>
        <v>54.374913151364758</v>
      </c>
      <c r="F199" s="71">
        <f t="shared" si="32"/>
        <v>1.1668711783003651</v>
      </c>
      <c r="G199" s="312">
        <f t="shared" si="33"/>
        <v>0</v>
      </c>
      <c r="H199" s="312">
        <f t="shared" si="34"/>
        <v>0</v>
      </c>
      <c r="I199" s="312">
        <f t="shared" si="35"/>
        <v>0</v>
      </c>
      <c r="J199" s="312">
        <f t="shared" si="36"/>
        <v>0</v>
      </c>
      <c r="K199" s="313">
        <f t="shared" si="37"/>
        <v>0</v>
      </c>
      <c r="L199" s="66">
        <f>K199*D199*'B) D RI'!S201</f>
        <v>0</v>
      </c>
      <c r="M199" s="19">
        <f>(('B) D RI'!S201*C199)-(L199*$M$4))/'B) D RI'!S201</f>
        <v>20499.342258064513</v>
      </c>
      <c r="N199" s="302">
        <f t="shared" si="38"/>
        <v>54.374913151364758</v>
      </c>
      <c r="O199" s="71">
        <f t="shared" si="39"/>
        <v>1.2000386183550553</v>
      </c>
      <c r="R199" s="17"/>
    </row>
    <row r="200" spans="1:18" x14ac:dyDescent="0.25">
      <c r="A200" s="355">
        <f>'A) Base RI'!A202</f>
        <v>5723</v>
      </c>
      <c r="B200" s="40" t="str">
        <f>'A) Base RI'!B202</f>
        <v>Mies</v>
      </c>
      <c r="C200" s="353">
        <f>'B) D RI'!U202</f>
        <v>621558.82755102031</v>
      </c>
      <c r="D200" s="40">
        <f>'B) D RI'!AA202</f>
        <v>1791</v>
      </c>
      <c r="E200" s="231">
        <f t="shared" si="31"/>
        <v>347.04568819152445</v>
      </c>
      <c r="F200" s="71">
        <f t="shared" si="32"/>
        <v>7.4475081914487848</v>
      </c>
      <c r="G200" s="312">
        <f t="shared" si="33"/>
        <v>291.1270083963143</v>
      </c>
      <c r="H200" s="312">
        <f t="shared" si="34"/>
        <v>277.14733844751174</v>
      </c>
      <c r="I200" s="312">
        <f t="shared" si="35"/>
        <v>253.84788853284084</v>
      </c>
      <c r="J200" s="312">
        <f t="shared" si="36"/>
        <v>207.24898870349904</v>
      </c>
      <c r="K200" s="313">
        <f t="shared" si="37"/>
        <v>178.6301445910583</v>
      </c>
      <c r="L200" s="66">
        <f>K200*D200*'B) D RI'!S202</f>
        <v>15676402.859166685</v>
      </c>
      <c r="M200" s="19">
        <f>(('B) D RI'!S202*C200)-(L200*$M$4))/'B) D RI'!S202</f>
        <v>461595.53306972765</v>
      </c>
      <c r="N200" s="302">
        <f t="shared" si="38"/>
        <v>257.73061589599536</v>
      </c>
      <c r="O200" s="71">
        <f t="shared" si="39"/>
        <v>5.68804020609024</v>
      </c>
      <c r="R200" s="17"/>
    </row>
    <row r="201" spans="1:18" x14ac:dyDescent="0.25">
      <c r="A201" s="355">
        <f>'A) Base RI'!A203</f>
        <v>5724</v>
      </c>
      <c r="B201" s="40" t="str">
        <f>'A) Base RI'!B203</f>
        <v>Nyon</v>
      </c>
      <c r="C201" s="353">
        <f>'B) D RI'!U203</f>
        <v>1418675.3806683479</v>
      </c>
      <c r="D201" s="40">
        <f>'B) D RI'!AA203</f>
        <v>20047</v>
      </c>
      <c r="E201" s="231">
        <f t="shared" si="31"/>
        <v>70.767465489517036</v>
      </c>
      <c r="F201" s="71">
        <f t="shared" si="32"/>
        <v>1.518650992806424</v>
      </c>
      <c r="G201" s="312">
        <f t="shared" si="33"/>
        <v>14.848785694306876</v>
      </c>
      <c r="H201" s="312">
        <f t="shared" si="34"/>
        <v>0.86911574550433102</v>
      </c>
      <c r="I201" s="312">
        <f t="shared" si="35"/>
        <v>0</v>
      </c>
      <c r="J201" s="312">
        <f t="shared" si="36"/>
        <v>0</v>
      </c>
      <c r="K201" s="313">
        <f t="shared" si="37"/>
        <v>5.4324744245009091</v>
      </c>
      <c r="L201" s="66">
        <f>K201*D201*'B) D RI'!S203</f>
        <v>6643193.7020661533</v>
      </c>
      <c r="M201" s="19">
        <f>(('B) D RI'!S203*C201)-(L201*$M$4))/'B) D RI'!S203</f>
        <v>1364222.9732743632</v>
      </c>
      <c r="N201" s="302">
        <f t="shared" si="38"/>
        <v>68.051228277266588</v>
      </c>
      <c r="O201" s="71">
        <f t="shared" si="39"/>
        <v>1.5018709405913926</v>
      </c>
      <c r="R201" s="17"/>
    </row>
    <row r="202" spans="1:18" x14ac:dyDescent="0.25">
      <c r="A202" s="355">
        <f>'A) Base RI'!A204</f>
        <v>5725</v>
      </c>
      <c r="B202" s="40" t="str">
        <f>'A) Base RI'!B204</f>
        <v>Prangins</v>
      </c>
      <c r="C202" s="353">
        <f>'B) D RI'!U204</f>
        <v>319840.55765306117</v>
      </c>
      <c r="D202" s="40">
        <f>'B) D RI'!AA204</f>
        <v>4011</v>
      </c>
      <c r="E202" s="231">
        <f t="shared" si="31"/>
        <v>79.740852070072592</v>
      </c>
      <c r="F202" s="71">
        <f t="shared" si="32"/>
        <v>1.7112174828613096</v>
      </c>
      <c r="G202" s="312">
        <f t="shared" si="33"/>
        <v>23.822172274862432</v>
      </c>
      <c r="H202" s="312">
        <f t="shared" si="34"/>
        <v>9.8425023260598863</v>
      </c>
      <c r="I202" s="312">
        <f t="shared" si="35"/>
        <v>0</v>
      </c>
      <c r="J202" s="312">
        <f t="shared" si="36"/>
        <v>0</v>
      </c>
      <c r="K202" s="313">
        <f t="shared" si="37"/>
        <v>9.5602322515564637</v>
      </c>
      <c r="L202" s="66">
        <f>K202*D202*'B) D RI'!S204</f>
        <v>2147381.1274156063</v>
      </c>
      <c r="M202" s="19">
        <f>(('B) D RI'!S204*C202)-(L202*$M$4))/'B) D RI'!S204</f>
        <v>300667.51187256473</v>
      </c>
      <c r="N202" s="302">
        <f t="shared" si="38"/>
        <v>74.96073594429437</v>
      </c>
      <c r="O202" s="71">
        <f t="shared" si="39"/>
        <v>1.6543617778856414</v>
      </c>
      <c r="R202" s="17"/>
    </row>
    <row r="203" spans="1:18" x14ac:dyDescent="0.25">
      <c r="A203" s="355">
        <f>'A) Base RI'!A205</f>
        <v>5726</v>
      </c>
      <c r="B203" s="40" t="str">
        <f>'A) Base RI'!B205</f>
        <v>La Rippe</v>
      </c>
      <c r="C203" s="353">
        <f>'B) D RI'!U205</f>
        <v>62420.845692307696</v>
      </c>
      <c r="D203" s="40">
        <f>'B) D RI'!AA205</f>
        <v>1120</v>
      </c>
      <c r="E203" s="231">
        <f t="shared" si="31"/>
        <v>55.732897939560445</v>
      </c>
      <c r="F203" s="71">
        <f t="shared" si="32"/>
        <v>1.1960131707759174</v>
      </c>
      <c r="G203" s="312">
        <f t="shared" si="33"/>
        <v>0</v>
      </c>
      <c r="H203" s="312">
        <f t="shared" si="34"/>
        <v>0</v>
      </c>
      <c r="I203" s="312">
        <f t="shared" si="35"/>
        <v>0</v>
      </c>
      <c r="J203" s="312">
        <f t="shared" si="36"/>
        <v>0</v>
      </c>
      <c r="K203" s="313">
        <f t="shared" si="37"/>
        <v>0</v>
      </c>
      <c r="L203" s="66">
        <f>K203*D203*'B) D RI'!S205</f>
        <v>0</v>
      </c>
      <c r="M203" s="19">
        <f>(('B) D RI'!S205*C203)-(L203*$M$4))/'B) D RI'!S205</f>
        <v>62420.845692307696</v>
      </c>
      <c r="N203" s="302">
        <f t="shared" si="38"/>
        <v>55.732897939560445</v>
      </c>
      <c r="O203" s="71">
        <f t="shared" si="39"/>
        <v>1.2300089501593026</v>
      </c>
      <c r="R203" s="17"/>
    </row>
    <row r="204" spans="1:18" x14ac:dyDescent="0.25">
      <c r="A204" s="355">
        <f>'A) Base RI'!A206</f>
        <v>5727</v>
      </c>
      <c r="B204" s="40" t="str">
        <f>'A) Base RI'!B206</f>
        <v>Saint-Cergue</v>
      </c>
      <c r="C204" s="353">
        <f>'B) D RI'!U206</f>
        <v>94126.01979797981</v>
      </c>
      <c r="D204" s="40">
        <f>'B) D RI'!AA206</f>
        <v>2481</v>
      </c>
      <c r="E204" s="231">
        <f t="shared" si="31"/>
        <v>37.938742361136562</v>
      </c>
      <c r="F204" s="71">
        <f t="shared" si="32"/>
        <v>0.81415532341061359</v>
      </c>
      <c r="G204" s="312">
        <f t="shared" si="33"/>
        <v>0</v>
      </c>
      <c r="H204" s="312">
        <f t="shared" si="34"/>
        <v>0</v>
      </c>
      <c r="I204" s="312">
        <f t="shared" si="35"/>
        <v>0</v>
      </c>
      <c r="J204" s="312">
        <f t="shared" si="36"/>
        <v>0</v>
      </c>
      <c r="K204" s="313">
        <f t="shared" si="37"/>
        <v>0</v>
      </c>
      <c r="L204" s="66">
        <f>K204*D204*'B) D RI'!S206</f>
        <v>0</v>
      </c>
      <c r="M204" s="19">
        <f>(('B) D RI'!S206*C204)-(L204*$M$4))/'B) D RI'!S206</f>
        <v>94126.01979797981</v>
      </c>
      <c r="N204" s="302">
        <f t="shared" si="38"/>
        <v>37.938742361136562</v>
      </c>
      <c r="O204" s="71">
        <f t="shared" si="39"/>
        <v>0.83729707923301799</v>
      </c>
      <c r="R204" s="17"/>
    </row>
    <row r="205" spans="1:18" x14ac:dyDescent="0.25">
      <c r="A205" s="355">
        <f>'A) Base RI'!A207</f>
        <v>5728</v>
      </c>
      <c r="B205" s="40" t="str">
        <f>'A) Base RI'!B207</f>
        <v>Signy-Avenex</v>
      </c>
      <c r="C205" s="353">
        <f>'B) D RI'!U207</f>
        <v>33547.613749999997</v>
      </c>
      <c r="D205" s="40">
        <f>'B) D RI'!AA207</f>
        <v>516</v>
      </c>
      <c r="E205" s="231">
        <f t="shared" si="31"/>
        <v>65.014755329457358</v>
      </c>
      <c r="F205" s="71">
        <f t="shared" si="32"/>
        <v>1.3951993623789309</v>
      </c>
      <c r="G205" s="312">
        <f t="shared" si="33"/>
        <v>9.0960755342471984</v>
      </c>
      <c r="H205" s="312">
        <f t="shared" si="34"/>
        <v>0</v>
      </c>
      <c r="I205" s="312">
        <f t="shared" si="35"/>
        <v>0</v>
      </c>
      <c r="J205" s="312">
        <f t="shared" si="36"/>
        <v>0</v>
      </c>
      <c r="K205" s="313">
        <f t="shared" si="37"/>
        <v>3.2745871923289913</v>
      </c>
      <c r="L205" s="66">
        <f>K205*D205*'B) D RI'!S207</f>
        <v>94622.471509538533</v>
      </c>
      <c r="M205" s="19">
        <f>(('B) D RI'!S207*C205)-(L205*$M$4))/'B) D RI'!S207</f>
        <v>32702.770254379117</v>
      </c>
      <c r="N205" s="302">
        <f t="shared" si="38"/>
        <v>63.377461733292861</v>
      </c>
      <c r="O205" s="71">
        <f t="shared" si="39"/>
        <v>1.3987222637313259</v>
      </c>
      <c r="R205" s="17"/>
    </row>
    <row r="206" spans="1:18" x14ac:dyDescent="0.25">
      <c r="A206" s="355">
        <f>'A) Base RI'!A208</f>
        <v>5729</v>
      </c>
      <c r="B206" s="40" t="str">
        <f>'A) Base RI'!B208</f>
        <v>Tannay</v>
      </c>
      <c r="C206" s="353">
        <f>'B) D RI'!U208</f>
        <v>141635.67650273221</v>
      </c>
      <c r="D206" s="40">
        <f>'B) D RI'!AA208</f>
        <v>1430</v>
      </c>
      <c r="E206" s="231">
        <f t="shared" si="31"/>
        <v>99.045927624288254</v>
      </c>
      <c r="F206" s="71">
        <f t="shared" si="32"/>
        <v>2.1254992711635281</v>
      </c>
      <c r="G206" s="312">
        <f t="shared" si="33"/>
        <v>43.127247829078094</v>
      </c>
      <c r="H206" s="312">
        <f t="shared" si="34"/>
        <v>29.147577880275549</v>
      </c>
      <c r="I206" s="312">
        <f t="shared" si="35"/>
        <v>5.8481279656046468</v>
      </c>
      <c r="J206" s="312">
        <f t="shared" si="36"/>
        <v>0</v>
      </c>
      <c r="K206" s="313">
        <f t="shared" si="37"/>
        <v>19.025379803056133</v>
      </c>
      <c r="L206" s="66">
        <f>K206*D206*'B) D RI'!S208</f>
        <v>1659583.8802205864</v>
      </c>
      <c r="M206" s="19">
        <f>(('B) D RI'!S208*C206)-(L206*$M$4))/'B) D RI'!S208</f>
        <v>128032.5299435471</v>
      </c>
      <c r="N206" s="302">
        <f t="shared" si="38"/>
        <v>89.533237722760205</v>
      </c>
      <c r="O206" s="71">
        <f t="shared" si="39"/>
        <v>1.9759726805371303</v>
      </c>
      <c r="R206" s="17"/>
    </row>
    <row r="207" spans="1:18" x14ac:dyDescent="0.25">
      <c r="A207" s="355">
        <f>'A) Base RI'!A209</f>
        <v>5730</v>
      </c>
      <c r="B207" s="40" t="str">
        <f>'A) Base RI'!B209</f>
        <v>Trélex</v>
      </c>
      <c r="C207" s="353">
        <f>'B) D RI'!U209</f>
        <v>125167.38524366473</v>
      </c>
      <c r="D207" s="40">
        <f>'B) D RI'!AA209</f>
        <v>1414</v>
      </c>
      <c r="E207" s="231">
        <f t="shared" si="31"/>
        <v>88.520074429748746</v>
      </c>
      <c r="F207" s="71">
        <f t="shared" si="32"/>
        <v>1.8996172603630987</v>
      </c>
      <c r="G207" s="312">
        <f t="shared" si="33"/>
        <v>32.601394634538586</v>
      </c>
      <c r="H207" s="312">
        <f t="shared" si="34"/>
        <v>18.621724685736041</v>
      </c>
      <c r="I207" s="312">
        <f t="shared" si="35"/>
        <v>0</v>
      </c>
      <c r="J207" s="312">
        <f t="shared" si="36"/>
        <v>0</v>
      </c>
      <c r="K207" s="313">
        <f t="shared" si="37"/>
        <v>13.598674537007495</v>
      </c>
      <c r="L207" s="66">
        <f>K207*D207*'B) D RI'!S209</f>
        <v>1096025.9703337301</v>
      </c>
      <c r="M207" s="19">
        <f>(('B) D RI'!S209*C207)-(L207*$M$4))/'B) D RI'!S209</f>
        <v>115553.12234600043</v>
      </c>
      <c r="N207" s="302">
        <f t="shared" si="38"/>
        <v>81.720737161244998</v>
      </c>
      <c r="O207" s="71">
        <f t="shared" si="39"/>
        <v>1.803553051035552</v>
      </c>
      <c r="R207" s="17"/>
    </row>
    <row r="208" spans="1:18" x14ac:dyDescent="0.25">
      <c r="A208" s="355">
        <f>'A) Base RI'!A210</f>
        <v>5731</v>
      </c>
      <c r="B208" s="40" t="str">
        <f>'A) Base RI'!B210</f>
        <v>Le Vaud</v>
      </c>
      <c r="C208" s="353">
        <f>'B) D RI'!U210</f>
        <v>47266.974133333322</v>
      </c>
      <c r="D208" s="40">
        <f>'B) D RI'!AA210</f>
        <v>1260</v>
      </c>
      <c r="E208" s="231">
        <f t="shared" si="31"/>
        <v>37.513471534391527</v>
      </c>
      <c r="F208" s="71">
        <f t="shared" si="32"/>
        <v>0.8050291245453508</v>
      </c>
      <c r="G208" s="312">
        <f t="shared" si="33"/>
        <v>0</v>
      </c>
      <c r="H208" s="312">
        <f t="shared" si="34"/>
        <v>0</v>
      </c>
      <c r="I208" s="312">
        <f t="shared" si="35"/>
        <v>0</v>
      </c>
      <c r="J208" s="312">
        <f t="shared" si="36"/>
        <v>0</v>
      </c>
      <c r="K208" s="313">
        <f t="shared" si="37"/>
        <v>0</v>
      </c>
      <c r="L208" s="66">
        <f>K208*D208*'B) D RI'!S210</f>
        <v>0</v>
      </c>
      <c r="M208" s="19">
        <f>(('B) D RI'!S210*C208)-(L208*$M$4))/'B) D RI'!S210</f>
        <v>47266.974133333322</v>
      </c>
      <c r="N208" s="302">
        <f t="shared" si="38"/>
        <v>37.513471534391527</v>
      </c>
      <c r="O208" s="71">
        <f t="shared" si="39"/>
        <v>0.82791147499429163</v>
      </c>
      <c r="R208" s="17"/>
    </row>
    <row r="209" spans="1:18" x14ac:dyDescent="0.25">
      <c r="A209" s="355">
        <f>'A) Base RI'!A211</f>
        <v>5732</v>
      </c>
      <c r="B209" s="40" t="str">
        <f>'A) Base RI'!B211</f>
        <v>Vich</v>
      </c>
      <c r="C209" s="353">
        <f>'B) D RI'!U211</f>
        <v>76343.818235294122</v>
      </c>
      <c r="D209" s="40">
        <f>'B) D RI'!AA211</f>
        <v>958</v>
      </c>
      <c r="E209" s="231">
        <f t="shared" si="31"/>
        <v>79.690833230995949</v>
      </c>
      <c r="F209" s="71">
        <f t="shared" si="32"/>
        <v>1.7101440918744018</v>
      </c>
      <c r="G209" s="312">
        <f t="shared" si="33"/>
        <v>23.772153435785789</v>
      </c>
      <c r="H209" s="312">
        <f t="shared" si="34"/>
        <v>9.7924834869832438</v>
      </c>
      <c r="I209" s="312">
        <f t="shared" si="35"/>
        <v>0</v>
      </c>
      <c r="J209" s="312">
        <f t="shared" si="36"/>
        <v>0</v>
      </c>
      <c r="K209" s="313">
        <f t="shared" si="37"/>
        <v>9.5372235855812093</v>
      </c>
      <c r="L209" s="66">
        <f>K209*D209*'B) D RI'!S211</f>
        <v>621292.89325910225</v>
      </c>
      <c r="M209" s="19">
        <f>(('B) D RI'!S211*C209)-(L209*$M$4))/'B) D RI'!S211</f>
        <v>71775.488137800727</v>
      </c>
      <c r="N209" s="302">
        <f t="shared" si="38"/>
        <v>74.922221438205355</v>
      </c>
      <c r="O209" s="71">
        <f t="shared" si="39"/>
        <v>1.6535117738673357</v>
      </c>
      <c r="R209" s="17"/>
    </row>
    <row r="210" spans="1:18" x14ac:dyDescent="0.25">
      <c r="A210" s="355">
        <f>'A) Base RI'!A212</f>
        <v>5741</v>
      </c>
      <c r="B210" s="40" t="str">
        <f>'A) Base RI'!B212</f>
        <v>L'Abergement</v>
      </c>
      <c r="C210" s="353">
        <f>'B) D RI'!U212</f>
        <v>6474.3855761316872</v>
      </c>
      <c r="D210" s="40">
        <f>'B) D RI'!AA212</f>
        <v>240</v>
      </c>
      <c r="E210" s="231">
        <f t="shared" si="31"/>
        <v>26.976606567215363</v>
      </c>
      <c r="F210" s="71">
        <f t="shared" si="32"/>
        <v>0.57891080403209594</v>
      </c>
      <c r="G210" s="312">
        <f t="shared" si="33"/>
        <v>0</v>
      </c>
      <c r="H210" s="312">
        <f t="shared" si="34"/>
        <v>0</v>
      </c>
      <c r="I210" s="312">
        <f t="shared" si="35"/>
        <v>0</v>
      </c>
      <c r="J210" s="312">
        <f t="shared" si="36"/>
        <v>0</v>
      </c>
      <c r="K210" s="313">
        <f t="shared" si="37"/>
        <v>0</v>
      </c>
      <c r="L210" s="66">
        <f>K210*D210*'B) D RI'!S212</f>
        <v>0</v>
      </c>
      <c r="M210" s="19">
        <f>(('B) D RI'!S212*C210)-(L210*$M$4))/'B) D RI'!S212</f>
        <v>6474.3855761316872</v>
      </c>
      <c r="N210" s="302">
        <f t="shared" si="38"/>
        <v>26.976606567215363</v>
      </c>
      <c r="O210" s="71">
        <f t="shared" si="39"/>
        <v>0.59536591042842901</v>
      </c>
      <c r="R210" s="17"/>
    </row>
    <row r="211" spans="1:18" x14ac:dyDescent="0.25">
      <c r="A211" s="355">
        <f>'A) Base RI'!A213</f>
        <v>5742</v>
      </c>
      <c r="B211" s="40" t="str">
        <f>'A) Base RI'!B213</f>
        <v>Agiez</v>
      </c>
      <c r="C211" s="353">
        <f>'B) D RI'!U213</f>
        <v>8406.0221052631568</v>
      </c>
      <c r="D211" s="40">
        <f>'B) D RI'!AA213</f>
        <v>293</v>
      </c>
      <c r="E211" s="231">
        <f t="shared" si="31"/>
        <v>28.689495239805996</v>
      </c>
      <c r="F211" s="71">
        <f t="shared" si="32"/>
        <v>0.6156689395001802</v>
      </c>
      <c r="G211" s="312">
        <f t="shared" si="33"/>
        <v>0</v>
      </c>
      <c r="H211" s="312">
        <f t="shared" si="34"/>
        <v>0</v>
      </c>
      <c r="I211" s="312">
        <f t="shared" si="35"/>
        <v>0</v>
      </c>
      <c r="J211" s="312">
        <f t="shared" si="36"/>
        <v>0</v>
      </c>
      <c r="K211" s="313">
        <f t="shared" si="37"/>
        <v>0</v>
      </c>
      <c r="L211" s="66">
        <f>K211*D211*'B) D RI'!S213</f>
        <v>0</v>
      </c>
      <c r="M211" s="19">
        <f>(('B) D RI'!S213*C211)-(L211*$M$4))/'B) D RI'!S213</f>
        <v>8406.0221052631568</v>
      </c>
      <c r="N211" s="302">
        <f t="shared" si="38"/>
        <v>28.689495239805996</v>
      </c>
      <c r="O211" s="71">
        <f t="shared" si="39"/>
        <v>0.63316886839048869</v>
      </c>
      <c r="R211" s="17"/>
    </row>
    <row r="212" spans="1:18" x14ac:dyDescent="0.25">
      <c r="A212" s="355">
        <f>'A) Base RI'!A214</f>
        <v>5743</v>
      </c>
      <c r="B212" s="40" t="str">
        <f>'A) Base RI'!B214</f>
        <v>Arnex-sur-Orbe</v>
      </c>
      <c r="C212" s="353">
        <f>'B) D RI'!U214</f>
        <v>16157.310890410963</v>
      </c>
      <c r="D212" s="40">
        <f>'B) D RI'!AA214</f>
        <v>632</v>
      </c>
      <c r="E212" s="231">
        <f t="shared" si="31"/>
        <v>25.565365332928739</v>
      </c>
      <c r="F212" s="71">
        <f t="shared" si="32"/>
        <v>0.54862594238396722</v>
      </c>
      <c r="G212" s="312">
        <f t="shared" si="33"/>
        <v>0</v>
      </c>
      <c r="H212" s="312">
        <f t="shared" si="34"/>
        <v>0</v>
      </c>
      <c r="I212" s="312">
        <f t="shared" si="35"/>
        <v>0</v>
      </c>
      <c r="J212" s="312">
        <f t="shared" si="36"/>
        <v>0</v>
      </c>
      <c r="K212" s="313">
        <f t="shared" si="37"/>
        <v>0</v>
      </c>
      <c r="L212" s="66">
        <f>K212*D212*'B) D RI'!S214</f>
        <v>0</v>
      </c>
      <c r="M212" s="19">
        <f>(('B) D RI'!S214*C212)-(L212*$M$4))/'B) D RI'!S214</f>
        <v>16157.310890410963</v>
      </c>
      <c r="N212" s="302">
        <f t="shared" si="38"/>
        <v>25.565365332928739</v>
      </c>
      <c r="O212" s="71">
        <f t="shared" si="39"/>
        <v>0.56422022425060203</v>
      </c>
      <c r="R212" s="17"/>
    </row>
    <row r="213" spans="1:18" x14ac:dyDescent="0.25">
      <c r="A213" s="355">
        <f>'A) Base RI'!A215</f>
        <v>5744</v>
      </c>
      <c r="B213" s="40" t="str">
        <f>'A) Base RI'!B215</f>
        <v>Ballaigues</v>
      </c>
      <c r="C213" s="353">
        <f>'B) D RI'!U215</f>
        <v>67876.800151515155</v>
      </c>
      <c r="D213" s="40">
        <f>'B) D RI'!AA215</f>
        <v>1101</v>
      </c>
      <c r="E213" s="231">
        <f t="shared" si="31"/>
        <v>61.650136377397963</v>
      </c>
      <c r="F213" s="71">
        <f t="shared" si="32"/>
        <v>1.3229955342975477</v>
      </c>
      <c r="G213" s="312">
        <f t="shared" si="33"/>
        <v>5.7314565821878034</v>
      </c>
      <c r="H213" s="312">
        <f t="shared" si="34"/>
        <v>0</v>
      </c>
      <c r="I213" s="312">
        <f t="shared" si="35"/>
        <v>0</v>
      </c>
      <c r="J213" s="312">
        <f t="shared" si="36"/>
        <v>0</v>
      </c>
      <c r="K213" s="313">
        <f t="shared" si="37"/>
        <v>2.0633243695876091</v>
      </c>
      <c r="L213" s="66">
        <f>K213*D213*'B) D RI'!S215</f>
        <v>149933.52864045321</v>
      </c>
      <c r="M213" s="19">
        <f>(('B) D RI'!S215*C213)-(L213*$M$4))/'B) D RI'!S215</f>
        <v>66740.940086057177</v>
      </c>
      <c r="N213" s="302">
        <f t="shared" si="38"/>
        <v>60.618474192604154</v>
      </c>
      <c r="O213" s="71">
        <f t="shared" si="39"/>
        <v>1.3378322060834122</v>
      </c>
      <c r="R213" s="17"/>
    </row>
    <row r="214" spans="1:18" x14ac:dyDescent="0.25">
      <c r="A214" s="355">
        <f>'A) Base RI'!A216</f>
        <v>5745</v>
      </c>
      <c r="B214" s="40" t="str">
        <f>'A) Base RI'!B216</f>
        <v>Baulmes</v>
      </c>
      <c r="C214" s="353">
        <f>'B) D RI'!U216</f>
        <v>26708.244230769233</v>
      </c>
      <c r="D214" s="40">
        <f>'B) D RI'!AA216</f>
        <v>1055</v>
      </c>
      <c r="E214" s="231">
        <f t="shared" si="31"/>
        <v>25.315871308786001</v>
      </c>
      <c r="F214" s="71">
        <f t="shared" si="32"/>
        <v>0.54327186696466645</v>
      </c>
      <c r="G214" s="312">
        <f t="shared" si="33"/>
        <v>0</v>
      </c>
      <c r="H214" s="312">
        <f t="shared" si="34"/>
        <v>0</v>
      </c>
      <c r="I214" s="312">
        <f t="shared" si="35"/>
        <v>0</v>
      </c>
      <c r="J214" s="312">
        <f t="shared" si="36"/>
        <v>0</v>
      </c>
      <c r="K214" s="313">
        <f t="shared" si="37"/>
        <v>0</v>
      </c>
      <c r="L214" s="66">
        <f>K214*D214*'B) D RI'!S216</f>
        <v>0</v>
      </c>
      <c r="M214" s="19">
        <f>(('B) D RI'!S216*C214)-(L214*$M$4))/'B) D RI'!S216</f>
        <v>26708.244230769233</v>
      </c>
      <c r="N214" s="302">
        <f t="shared" si="38"/>
        <v>25.315871308786001</v>
      </c>
      <c r="O214" s="71">
        <f t="shared" si="39"/>
        <v>0.55871396324404843</v>
      </c>
      <c r="R214" s="17"/>
    </row>
    <row r="215" spans="1:18" x14ac:dyDescent="0.25">
      <c r="A215" s="355">
        <f>'A) Base RI'!A217</f>
        <v>5746</v>
      </c>
      <c r="B215" s="40" t="str">
        <f>'A) Base RI'!B217</f>
        <v>Bavois</v>
      </c>
      <c r="C215" s="353">
        <f>'B) D RI'!U217</f>
        <v>26575.73502283105</v>
      </c>
      <c r="D215" s="40">
        <f>'B) D RI'!AA217</f>
        <v>939</v>
      </c>
      <c r="E215" s="231">
        <f t="shared" si="31"/>
        <v>28.302167223462245</v>
      </c>
      <c r="F215" s="71">
        <f t="shared" si="32"/>
        <v>0.60735698325738785</v>
      </c>
      <c r="G215" s="312">
        <f t="shared" si="33"/>
        <v>0</v>
      </c>
      <c r="H215" s="312">
        <f t="shared" si="34"/>
        <v>0</v>
      </c>
      <c r="I215" s="312">
        <f t="shared" si="35"/>
        <v>0</v>
      </c>
      <c r="J215" s="312">
        <f t="shared" si="36"/>
        <v>0</v>
      </c>
      <c r="K215" s="313">
        <f t="shared" si="37"/>
        <v>0</v>
      </c>
      <c r="L215" s="66">
        <f>K215*D215*'B) D RI'!S217</f>
        <v>0</v>
      </c>
      <c r="M215" s="19">
        <f>(('B) D RI'!S217*C215)-(L215*$M$4))/'B) D RI'!S217</f>
        <v>26575.73502283105</v>
      </c>
      <c r="N215" s="302">
        <f t="shared" si="38"/>
        <v>28.302167223462245</v>
      </c>
      <c r="O215" s="71">
        <f t="shared" si="39"/>
        <v>0.62462065101146569</v>
      </c>
      <c r="R215" s="17"/>
    </row>
    <row r="216" spans="1:18" x14ac:dyDescent="0.25">
      <c r="A216" s="355">
        <f>'A) Base RI'!A218</f>
        <v>5747</v>
      </c>
      <c r="B216" s="40" t="str">
        <f>'A) Base RI'!B218</f>
        <v>Bofflens</v>
      </c>
      <c r="C216" s="353">
        <f>'B) D RI'!U218</f>
        <v>5307.8250724637683</v>
      </c>
      <c r="D216" s="40">
        <f>'B) D RI'!AA218</f>
        <v>188</v>
      </c>
      <c r="E216" s="231">
        <f t="shared" si="31"/>
        <v>28.233112087573236</v>
      </c>
      <c r="F216" s="71">
        <f t="shared" si="32"/>
        <v>0.60587507840251131</v>
      </c>
      <c r="G216" s="312">
        <f t="shared" si="33"/>
        <v>0</v>
      </c>
      <c r="H216" s="312">
        <f t="shared" si="34"/>
        <v>0</v>
      </c>
      <c r="I216" s="312">
        <f t="shared" si="35"/>
        <v>0</v>
      </c>
      <c r="J216" s="312">
        <f t="shared" si="36"/>
        <v>0</v>
      </c>
      <c r="K216" s="313">
        <f t="shared" si="37"/>
        <v>0</v>
      </c>
      <c r="L216" s="66">
        <f>K216*D216*'B) D RI'!S218</f>
        <v>0</v>
      </c>
      <c r="M216" s="19">
        <f>(('B) D RI'!S218*C216)-(L216*$M$4))/'B) D RI'!S218</f>
        <v>5307.8250724637683</v>
      </c>
      <c r="N216" s="302">
        <f t="shared" si="38"/>
        <v>28.233112087573236</v>
      </c>
      <c r="O216" s="71">
        <f t="shared" si="39"/>
        <v>0.62309662412002254</v>
      </c>
      <c r="R216" s="17"/>
    </row>
    <row r="217" spans="1:18" x14ac:dyDescent="0.25">
      <c r="A217" s="355">
        <f>'A) Base RI'!A219</f>
        <v>5748</v>
      </c>
      <c r="B217" s="40" t="str">
        <f>'A) Base RI'!B219</f>
        <v>Bretonnières</v>
      </c>
      <c r="C217" s="353">
        <f>'B) D RI'!U219</f>
        <v>7260.9913888888877</v>
      </c>
      <c r="D217" s="40">
        <f>'B) D RI'!AA219</f>
        <v>258</v>
      </c>
      <c r="E217" s="231">
        <f t="shared" si="31"/>
        <v>28.143377476313518</v>
      </c>
      <c r="F217" s="71">
        <f t="shared" si="32"/>
        <v>0.60394939750471432</v>
      </c>
      <c r="G217" s="312">
        <f t="shared" si="33"/>
        <v>0</v>
      </c>
      <c r="H217" s="312">
        <f t="shared" si="34"/>
        <v>0</v>
      </c>
      <c r="I217" s="312">
        <f t="shared" si="35"/>
        <v>0</v>
      </c>
      <c r="J217" s="312">
        <f t="shared" si="36"/>
        <v>0</v>
      </c>
      <c r="K217" s="313">
        <f t="shared" si="37"/>
        <v>0</v>
      </c>
      <c r="L217" s="66">
        <f>K217*D217*'B) D RI'!S219</f>
        <v>0</v>
      </c>
      <c r="M217" s="19">
        <f>(('B) D RI'!S219*C217)-(L217*$M$4))/'B) D RI'!S219</f>
        <v>7260.9913888888877</v>
      </c>
      <c r="N217" s="302">
        <f t="shared" si="38"/>
        <v>28.143377476313518</v>
      </c>
      <c r="O217" s="71">
        <f t="shared" si="39"/>
        <v>0.62111620718372373</v>
      </c>
      <c r="R217" s="17"/>
    </row>
    <row r="218" spans="1:18" x14ac:dyDescent="0.25">
      <c r="A218" s="355">
        <f>'A) Base RI'!A220</f>
        <v>5749</v>
      </c>
      <c r="B218" s="40" t="str">
        <f>'A) Base RI'!B220</f>
        <v>Chavornay</v>
      </c>
      <c r="C218" s="353">
        <f>'B) D RI'!U220</f>
        <v>132615.92523493644</v>
      </c>
      <c r="D218" s="40">
        <f>'B) D RI'!AA220</f>
        <v>4817</v>
      </c>
      <c r="E218" s="231">
        <f t="shared" si="31"/>
        <v>27.530812795295088</v>
      </c>
      <c r="F218" s="71">
        <f t="shared" si="32"/>
        <v>0.59080392232693513</v>
      </c>
      <c r="G218" s="312">
        <f t="shared" si="33"/>
        <v>0</v>
      </c>
      <c r="H218" s="312">
        <f t="shared" si="34"/>
        <v>0</v>
      </c>
      <c r="I218" s="312">
        <f t="shared" si="35"/>
        <v>0</v>
      </c>
      <c r="J218" s="312">
        <f t="shared" si="36"/>
        <v>0</v>
      </c>
      <c r="K218" s="313">
        <f t="shared" si="37"/>
        <v>0</v>
      </c>
      <c r="L218" s="66">
        <f>K218*D218*'B) D RI'!S220</f>
        <v>0</v>
      </c>
      <c r="M218" s="19">
        <f>(('B) D RI'!S220*C218)-(L218*$M$4))/'B) D RI'!S220</f>
        <v>132615.92523493644</v>
      </c>
      <c r="N218" s="302">
        <f t="shared" si="38"/>
        <v>27.530812795295088</v>
      </c>
      <c r="O218" s="71">
        <f t="shared" si="39"/>
        <v>0.60759708171098703</v>
      </c>
      <c r="R218" s="17"/>
    </row>
    <row r="219" spans="1:18" x14ac:dyDescent="0.25">
      <c r="A219" s="355">
        <f>'A) Base RI'!A221</f>
        <v>5750</v>
      </c>
      <c r="B219" s="40" t="str">
        <f>'A) Base RI'!B221</f>
        <v>Les Clées</v>
      </c>
      <c r="C219" s="353">
        <f>'B) D RI'!U221</f>
        <v>4790.0727916666665</v>
      </c>
      <c r="D219" s="40">
        <f>'B) D RI'!AA221</f>
        <v>176</v>
      </c>
      <c r="E219" s="231">
        <f t="shared" si="31"/>
        <v>27.216322679924243</v>
      </c>
      <c r="F219" s="71">
        <f t="shared" si="32"/>
        <v>0.58405504807190778</v>
      </c>
      <c r="G219" s="312">
        <f t="shared" si="33"/>
        <v>0</v>
      </c>
      <c r="H219" s="312">
        <f t="shared" si="34"/>
        <v>0</v>
      </c>
      <c r="I219" s="312">
        <f t="shared" si="35"/>
        <v>0</v>
      </c>
      <c r="J219" s="312">
        <f t="shared" si="36"/>
        <v>0</v>
      </c>
      <c r="K219" s="313">
        <f t="shared" si="37"/>
        <v>0</v>
      </c>
      <c r="L219" s="66">
        <f>K219*D219*'B) D RI'!S221</f>
        <v>0</v>
      </c>
      <c r="M219" s="19">
        <f>(('B) D RI'!S221*C219)-(L219*$M$4))/'B) D RI'!S221</f>
        <v>4790.0727916666665</v>
      </c>
      <c r="N219" s="302">
        <f t="shared" si="38"/>
        <v>27.216322679924243</v>
      </c>
      <c r="O219" s="71">
        <f t="shared" si="39"/>
        <v>0.60065637575555175</v>
      </c>
      <c r="R219" s="17"/>
    </row>
    <row r="220" spans="1:18" x14ac:dyDescent="0.25">
      <c r="A220" s="355">
        <f>'A) Base RI'!A222</f>
        <v>5752</v>
      </c>
      <c r="B220" s="40" t="str">
        <f>'A) Base RI'!B222</f>
        <v>Croy</v>
      </c>
      <c r="C220" s="353">
        <f>'B) D RI'!U222</f>
        <v>9213.5061196911174</v>
      </c>
      <c r="D220" s="40">
        <f>'B) D RI'!AA222</f>
        <v>344</v>
      </c>
      <c r="E220" s="231">
        <f t="shared" si="31"/>
        <v>26.783448022357899</v>
      </c>
      <c r="F220" s="71">
        <f t="shared" si="32"/>
        <v>0.5747656730190277</v>
      </c>
      <c r="G220" s="312">
        <f t="shared" si="33"/>
        <v>0</v>
      </c>
      <c r="H220" s="312">
        <f t="shared" si="34"/>
        <v>0</v>
      </c>
      <c r="I220" s="312">
        <f t="shared" si="35"/>
        <v>0</v>
      </c>
      <c r="J220" s="312">
        <f t="shared" si="36"/>
        <v>0</v>
      </c>
      <c r="K220" s="313">
        <f t="shared" si="37"/>
        <v>0</v>
      </c>
      <c r="L220" s="66">
        <f>K220*D220*'B) D RI'!S222</f>
        <v>0</v>
      </c>
      <c r="M220" s="19">
        <f>(('B) D RI'!S222*C220)-(L220*$M$4))/'B) D RI'!S222</f>
        <v>9213.5061196911174</v>
      </c>
      <c r="N220" s="302">
        <f t="shared" si="38"/>
        <v>26.783448022357899</v>
      </c>
      <c r="O220" s="71">
        <f t="shared" si="39"/>
        <v>0.59110295716818262</v>
      </c>
      <c r="R220" s="17"/>
    </row>
    <row r="221" spans="1:18" x14ac:dyDescent="0.25">
      <c r="A221" s="355">
        <f>'A) Base RI'!A223</f>
        <v>5754</v>
      </c>
      <c r="B221" s="40" t="str">
        <f>'A) Base RI'!B223</f>
        <v>Juriens</v>
      </c>
      <c r="C221" s="353">
        <f>'B) D RI'!U223</f>
        <v>7202.565316455697</v>
      </c>
      <c r="D221" s="40">
        <f>'B) D RI'!AA223</f>
        <v>302</v>
      </c>
      <c r="E221" s="231">
        <f t="shared" si="31"/>
        <v>23.849554027998998</v>
      </c>
      <c r="F221" s="71">
        <f t="shared" si="32"/>
        <v>0.51180508800299429</v>
      </c>
      <c r="G221" s="312">
        <f t="shared" si="33"/>
        <v>0</v>
      </c>
      <c r="H221" s="312">
        <f t="shared" si="34"/>
        <v>0</v>
      </c>
      <c r="I221" s="312">
        <f t="shared" si="35"/>
        <v>0</v>
      </c>
      <c r="J221" s="312">
        <f t="shared" si="36"/>
        <v>0</v>
      </c>
      <c r="K221" s="313">
        <f t="shared" si="37"/>
        <v>0</v>
      </c>
      <c r="L221" s="66">
        <f>K221*D221*'B) D RI'!S223</f>
        <v>0</v>
      </c>
      <c r="M221" s="19">
        <f>(('B) D RI'!S223*C221)-(L221*$M$4))/'B) D RI'!S223</f>
        <v>7202.565316455697</v>
      </c>
      <c r="N221" s="302">
        <f t="shared" si="38"/>
        <v>23.849554027998998</v>
      </c>
      <c r="O221" s="71">
        <f t="shared" si="39"/>
        <v>0.52635276463748826</v>
      </c>
      <c r="R221" s="17"/>
    </row>
    <row r="222" spans="1:18" x14ac:dyDescent="0.25">
      <c r="A222" s="355">
        <f>'A) Base RI'!A224</f>
        <v>5755</v>
      </c>
      <c r="B222" s="40" t="str">
        <f>'A) Base RI'!B224</f>
        <v>Lignerolle</v>
      </c>
      <c r="C222" s="353">
        <f>'B) D RI'!U224</f>
        <v>9116.1979107142852</v>
      </c>
      <c r="D222" s="40">
        <f>'B) D RI'!AA224</f>
        <v>405</v>
      </c>
      <c r="E222" s="231">
        <f t="shared" si="31"/>
        <v>22.509130643738974</v>
      </c>
      <c r="F222" s="71">
        <f t="shared" si="32"/>
        <v>0.48303995858644094</v>
      </c>
      <c r="G222" s="312">
        <f t="shared" si="33"/>
        <v>0</v>
      </c>
      <c r="H222" s="312">
        <f t="shared" si="34"/>
        <v>0</v>
      </c>
      <c r="I222" s="312">
        <f t="shared" si="35"/>
        <v>0</v>
      </c>
      <c r="J222" s="312">
        <f t="shared" si="36"/>
        <v>0</v>
      </c>
      <c r="K222" s="313">
        <f t="shared" si="37"/>
        <v>0</v>
      </c>
      <c r="L222" s="66">
        <f>K222*D222*'B) D RI'!S224</f>
        <v>0</v>
      </c>
      <c r="M222" s="19">
        <f>(('B) D RI'!S224*C222)-(L222*$M$4))/'B) D RI'!S224</f>
        <v>9116.1979107142852</v>
      </c>
      <c r="N222" s="302">
        <f t="shared" si="38"/>
        <v>22.509130643738974</v>
      </c>
      <c r="O222" s="71">
        <f t="shared" si="39"/>
        <v>0.49677000794267906</v>
      </c>
      <c r="R222" s="17"/>
    </row>
    <row r="223" spans="1:18" x14ac:dyDescent="0.25">
      <c r="A223" s="355">
        <f>'A) Base RI'!A225</f>
        <v>5756</v>
      </c>
      <c r="B223" s="40" t="str">
        <f>'A) Base RI'!B225</f>
        <v>Montcherand</v>
      </c>
      <c r="C223" s="353">
        <f>'B) D RI'!U225</f>
        <v>14643.939999999999</v>
      </c>
      <c r="D223" s="40">
        <f>'B) D RI'!AA225</f>
        <v>469</v>
      </c>
      <c r="E223" s="231">
        <f t="shared" si="31"/>
        <v>31.2237526652452</v>
      </c>
      <c r="F223" s="71">
        <f t="shared" si="32"/>
        <v>0.67005343000790385</v>
      </c>
      <c r="G223" s="312">
        <f t="shared" si="33"/>
        <v>0</v>
      </c>
      <c r="H223" s="312">
        <f t="shared" si="34"/>
        <v>0</v>
      </c>
      <c r="I223" s="312">
        <f t="shared" si="35"/>
        <v>0</v>
      </c>
      <c r="J223" s="312">
        <f t="shared" si="36"/>
        <v>0</v>
      </c>
      <c r="K223" s="313">
        <f t="shared" si="37"/>
        <v>0</v>
      </c>
      <c r="L223" s="66">
        <f>K223*D223*'B) D RI'!S225</f>
        <v>0</v>
      </c>
      <c r="M223" s="19">
        <f>(('B) D RI'!S225*C223)-(L223*$M$4))/'B) D RI'!S225</f>
        <v>14643.939999999999</v>
      </c>
      <c r="N223" s="302">
        <f t="shared" si="38"/>
        <v>31.2237526652452</v>
      </c>
      <c r="O223" s="71">
        <f t="shared" si="39"/>
        <v>0.68909919734410408</v>
      </c>
      <c r="R223" s="17"/>
    </row>
    <row r="224" spans="1:18" x14ac:dyDescent="0.25">
      <c r="A224" s="355">
        <f>'A) Base RI'!A226</f>
        <v>5757</v>
      </c>
      <c r="B224" s="40" t="str">
        <f>'A) Base RI'!B226</f>
        <v>Orbe</v>
      </c>
      <c r="C224" s="353">
        <f>'B) D RI'!U226</f>
        <v>219459.11337837842</v>
      </c>
      <c r="D224" s="40">
        <f>'B) D RI'!AA226</f>
        <v>6805</v>
      </c>
      <c r="E224" s="231">
        <f t="shared" si="31"/>
        <v>32.249686021804322</v>
      </c>
      <c r="F224" s="71">
        <f t="shared" si="32"/>
        <v>0.69206968705080352</v>
      </c>
      <c r="G224" s="312">
        <f t="shared" si="33"/>
        <v>0</v>
      </c>
      <c r="H224" s="312">
        <f t="shared" si="34"/>
        <v>0</v>
      </c>
      <c r="I224" s="312">
        <f t="shared" si="35"/>
        <v>0</v>
      </c>
      <c r="J224" s="312">
        <f t="shared" si="36"/>
        <v>0</v>
      </c>
      <c r="K224" s="313">
        <f t="shared" si="37"/>
        <v>0</v>
      </c>
      <c r="L224" s="66">
        <f>K224*D224*'B) D RI'!S226</f>
        <v>0</v>
      </c>
      <c r="M224" s="19">
        <f>(('B) D RI'!S226*C224)-(L224*$M$4))/'B) D RI'!S226</f>
        <v>219459.11337837842</v>
      </c>
      <c r="N224" s="302">
        <f t="shared" si="38"/>
        <v>32.249686021804322</v>
      </c>
      <c r="O224" s="71">
        <f t="shared" si="39"/>
        <v>0.71174125001832844</v>
      </c>
      <c r="R224" s="17"/>
    </row>
    <row r="225" spans="1:18" x14ac:dyDescent="0.25">
      <c r="A225" s="355">
        <f>'A) Base RI'!A227</f>
        <v>5758</v>
      </c>
      <c r="B225" s="40" t="str">
        <f>'A) Base RI'!B227</f>
        <v>La Praz</v>
      </c>
      <c r="C225" s="353">
        <f>'B) D RI'!U227</f>
        <v>3792.6817536813919</v>
      </c>
      <c r="D225" s="40">
        <f>'B) D RI'!AA227</f>
        <v>159</v>
      </c>
      <c r="E225" s="231">
        <f t="shared" si="31"/>
        <v>23.853344362776049</v>
      </c>
      <c r="F225" s="71">
        <f t="shared" si="32"/>
        <v>0.51188642757948499</v>
      </c>
      <c r="G225" s="312">
        <f t="shared" si="33"/>
        <v>0</v>
      </c>
      <c r="H225" s="312">
        <f t="shared" si="34"/>
        <v>0</v>
      </c>
      <c r="I225" s="312">
        <f t="shared" si="35"/>
        <v>0</v>
      </c>
      <c r="J225" s="312">
        <f t="shared" si="36"/>
        <v>0</v>
      </c>
      <c r="K225" s="313">
        <f t="shared" si="37"/>
        <v>0</v>
      </c>
      <c r="L225" s="66">
        <f>K225*D225*'B) D RI'!S227</f>
        <v>0</v>
      </c>
      <c r="M225" s="19">
        <f>(('B) D RI'!S227*C225)-(L225*$M$4))/'B) D RI'!S227</f>
        <v>3792.6817536813919</v>
      </c>
      <c r="N225" s="302">
        <f t="shared" si="38"/>
        <v>23.853344362776049</v>
      </c>
      <c r="O225" s="71">
        <f t="shared" si="39"/>
        <v>0.52643641623057302</v>
      </c>
      <c r="R225" s="17"/>
    </row>
    <row r="226" spans="1:18" x14ac:dyDescent="0.25">
      <c r="A226" s="355">
        <f>'A) Base RI'!A228</f>
        <v>5759</v>
      </c>
      <c r="B226" s="40" t="str">
        <f>'A) Base RI'!B228</f>
        <v>Premier</v>
      </c>
      <c r="C226" s="353">
        <f>'B) D RI'!U228</f>
        <v>4689.5245679012341</v>
      </c>
      <c r="D226" s="40">
        <f>'B) D RI'!AA228</f>
        <v>196</v>
      </c>
      <c r="E226" s="231">
        <f t="shared" si="31"/>
        <v>23.926145754598135</v>
      </c>
      <c r="F226" s="71">
        <f t="shared" si="32"/>
        <v>0.5134487260905809</v>
      </c>
      <c r="G226" s="312">
        <f t="shared" si="33"/>
        <v>0</v>
      </c>
      <c r="H226" s="312">
        <f t="shared" si="34"/>
        <v>0</v>
      </c>
      <c r="I226" s="312">
        <f t="shared" si="35"/>
        <v>0</v>
      </c>
      <c r="J226" s="312">
        <f t="shared" si="36"/>
        <v>0</v>
      </c>
      <c r="K226" s="313">
        <f t="shared" si="37"/>
        <v>0</v>
      </c>
      <c r="L226" s="66">
        <f>K226*D226*'B) D RI'!S228</f>
        <v>0</v>
      </c>
      <c r="M226" s="19">
        <f>(('B) D RI'!S228*C226)-(L226*$M$4))/'B) D RI'!S228</f>
        <v>4689.5245679012341</v>
      </c>
      <c r="N226" s="302">
        <f t="shared" si="38"/>
        <v>23.926145754598135</v>
      </c>
      <c r="O226" s="71">
        <f t="shared" si="39"/>
        <v>0.5280431219077536</v>
      </c>
      <c r="R226" s="17"/>
    </row>
    <row r="227" spans="1:18" x14ac:dyDescent="0.25">
      <c r="A227" s="355">
        <f>'A) Base RI'!A229</f>
        <v>5760</v>
      </c>
      <c r="B227" s="40" t="str">
        <f>'A) Base RI'!B229</f>
        <v>Rances</v>
      </c>
      <c r="C227" s="353">
        <f>'B) D RI'!U229</f>
        <v>13227.609572649571</v>
      </c>
      <c r="D227" s="40">
        <f>'B) D RI'!AA229</f>
        <v>473</v>
      </c>
      <c r="E227" s="231">
        <f t="shared" si="31"/>
        <v>27.965347933720025</v>
      </c>
      <c r="F227" s="71">
        <f t="shared" si="32"/>
        <v>0.60012893085752983</v>
      </c>
      <c r="G227" s="312">
        <f t="shared" si="33"/>
        <v>0</v>
      </c>
      <c r="H227" s="312">
        <f t="shared" si="34"/>
        <v>0</v>
      </c>
      <c r="I227" s="312">
        <f t="shared" si="35"/>
        <v>0</v>
      </c>
      <c r="J227" s="312">
        <f t="shared" si="36"/>
        <v>0</v>
      </c>
      <c r="K227" s="313">
        <f t="shared" si="37"/>
        <v>0</v>
      </c>
      <c r="L227" s="66">
        <f>K227*D227*'B) D RI'!S229</f>
        <v>0</v>
      </c>
      <c r="M227" s="19">
        <f>(('B) D RI'!S229*C227)-(L227*$M$4))/'B) D RI'!S229</f>
        <v>13227.609572649571</v>
      </c>
      <c r="N227" s="302">
        <f t="shared" si="38"/>
        <v>27.965347933720025</v>
      </c>
      <c r="O227" s="71">
        <f t="shared" si="39"/>
        <v>0.61718714663100971</v>
      </c>
      <c r="R227" s="17"/>
    </row>
    <row r="228" spans="1:18" x14ac:dyDescent="0.25">
      <c r="A228" s="355">
        <f>'A) Base RI'!A230</f>
        <v>5761</v>
      </c>
      <c r="B228" s="40" t="str">
        <f>'A) Base RI'!B230</f>
        <v>Romainmôtier-Envy</v>
      </c>
      <c r="C228" s="353">
        <f>'B) D RI'!U230</f>
        <v>12165.915592105261</v>
      </c>
      <c r="D228" s="40">
        <f>'B) D RI'!AA230</f>
        <v>546</v>
      </c>
      <c r="E228" s="231">
        <f t="shared" si="31"/>
        <v>22.281896688837474</v>
      </c>
      <c r="F228" s="71">
        <f t="shared" si="32"/>
        <v>0.47816357833425271</v>
      </c>
      <c r="G228" s="312">
        <f t="shared" si="33"/>
        <v>0</v>
      </c>
      <c r="H228" s="312">
        <f t="shared" si="34"/>
        <v>0</v>
      </c>
      <c r="I228" s="312">
        <f t="shared" si="35"/>
        <v>0</v>
      </c>
      <c r="J228" s="312">
        <f t="shared" si="36"/>
        <v>0</v>
      </c>
      <c r="K228" s="313">
        <f t="shared" si="37"/>
        <v>0</v>
      </c>
      <c r="L228" s="66">
        <f>K228*D228*'B) D RI'!S230</f>
        <v>0</v>
      </c>
      <c r="M228" s="19">
        <f>(('B) D RI'!S230*C228)-(L228*$M$4))/'B) D RI'!S230</f>
        <v>12165.915592105261</v>
      </c>
      <c r="N228" s="302">
        <f t="shared" si="38"/>
        <v>22.281896688837474</v>
      </c>
      <c r="O228" s="71">
        <f t="shared" si="39"/>
        <v>0.49175502023089623</v>
      </c>
      <c r="R228" s="17"/>
    </row>
    <row r="229" spans="1:18" x14ac:dyDescent="0.25">
      <c r="A229" s="355">
        <f>'A) Base RI'!A231</f>
        <v>5762</v>
      </c>
      <c r="B229" s="40" t="str">
        <f>'A) Base RI'!B231</f>
        <v>Sergey</v>
      </c>
      <c r="C229" s="353">
        <f>'B) D RI'!U231</f>
        <v>3586.5485897435897</v>
      </c>
      <c r="D229" s="40">
        <f>'B) D RI'!AA231</f>
        <v>140</v>
      </c>
      <c r="E229" s="231">
        <f t="shared" si="31"/>
        <v>25.618204212454213</v>
      </c>
      <c r="F229" s="71">
        <f t="shared" si="32"/>
        <v>0.54975985068907718</v>
      </c>
      <c r="G229" s="312">
        <f t="shared" si="33"/>
        <v>0</v>
      </c>
      <c r="H229" s="312">
        <f t="shared" si="34"/>
        <v>0</v>
      </c>
      <c r="I229" s="312">
        <f t="shared" si="35"/>
        <v>0</v>
      </c>
      <c r="J229" s="312">
        <f t="shared" si="36"/>
        <v>0</v>
      </c>
      <c r="K229" s="313">
        <f t="shared" si="37"/>
        <v>0</v>
      </c>
      <c r="L229" s="66">
        <f>K229*D229*'B) D RI'!S231</f>
        <v>0</v>
      </c>
      <c r="M229" s="19">
        <f>(('B) D RI'!S231*C229)-(L229*$M$4))/'B) D RI'!S231</f>
        <v>3586.5485897435897</v>
      </c>
      <c r="N229" s="302">
        <f t="shared" si="38"/>
        <v>25.618204212454213</v>
      </c>
      <c r="O229" s="71">
        <f t="shared" si="39"/>
        <v>0.56538636305076284</v>
      </c>
      <c r="R229" s="17"/>
    </row>
    <row r="230" spans="1:18" x14ac:dyDescent="0.25">
      <c r="A230" s="355">
        <f>'A) Base RI'!A232</f>
        <v>5763</v>
      </c>
      <c r="B230" s="40" t="str">
        <f>'A) Base RI'!B232</f>
        <v>Valeyres-sous-Rances</v>
      </c>
      <c r="C230" s="353">
        <f>'B) D RI'!U232</f>
        <v>16085.850769230768</v>
      </c>
      <c r="D230" s="40">
        <f>'B) D RI'!AA232</f>
        <v>623</v>
      </c>
      <c r="E230" s="231">
        <f t="shared" si="31"/>
        <v>25.819985183355968</v>
      </c>
      <c r="F230" s="71">
        <f t="shared" si="32"/>
        <v>0.55409001667241009</v>
      </c>
      <c r="G230" s="312">
        <f t="shared" si="33"/>
        <v>0</v>
      </c>
      <c r="H230" s="312">
        <f t="shared" si="34"/>
        <v>0</v>
      </c>
      <c r="I230" s="312">
        <f t="shared" si="35"/>
        <v>0</v>
      </c>
      <c r="J230" s="312">
        <f t="shared" si="36"/>
        <v>0</v>
      </c>
      <c r="K230" s="313">
        <f t="shared" si="37"/>
        <v>0</v>
      </c>
      <c r="L230" s="66">
        <f>K230*D230*'B) D RI'!S232</f>
        <v>0</v>
      </c>
      <c r="M230" s="19">
        <f>(('B) D RI'!S232*C230)-(L230*$M$4))/'B) D RI'!S232</f>
        <v>16085.850769230768</v>
      </c>
      <c r="N230" s="302">
        <f t="shared" si="38"/>
        <v>25.819985183355968</v>
      </c>
      <c r="O230" s="71">
        <f t="shared" si="39"/>
        <v>0.56983961076183898</v>
      </c>
      <c r="R230" s="17"/>
    </row>
    <row r="231" spans="1:18" x14ac:dyDescent="0.25">
      <c r="A231" s="355">
        <f>'A) Base RI'!A233</f>
        <v>5764</v>
      </c>
      <c r="B231" s="40" t="str">
        <f>'A) Base RI'!B233</f>
        <v>Vallorbe</v>
      </c>
      <c r="C231" s="353">
        <f>'B) D RI'!U233</f>
        <v>84513.608378378369</v>
      </c>
      <c r="D231" s="40">
        <f>'B) D RI'!AA233</f>
        <v>3747</v>
      </c>
      <c r="E231" s="231">
        <f t="shared" si="31"/>
        <v>22.555006239225612</v>
      </c>
      <c r="F231" s="71">
        <f t="shared" si="32"/>
        <v>0.48402443666756834</v>
      </c>
      <c r="G231" s="312">
        <f t="shared" si="33"/>
        <v>0</v>
      </c>
      <c r="H231" s="312">
        <f t="shared" si="34"/>
        <v>0</v>
      </c>
      <c r="I231" s="312">
        <f t="shared" si="35"/>
        <v>0</v>
      </c>
      <c r="J231" s="312">
        <f t="shared" si="36"/>
        <v>0</v>
      </c>
      <c r="K231" s="313">
        <f t="shared" si="37"/>
        <v>0</v>
      </c>
      <c r="L231" s="66">
        <f>K231*D231*'B) D RI'!S233</f>
        <v>0</v>
      </c>
      <c r="M231" s="19">
        <f>(('B) D RI'!S233*C231)-(L231*$M$4))/'B) D RI'!S233</f>
        <v>84513.608378378369</v>
      </c>
      <c r="N231" s="302">
        <f t="shared" si="38"/>
        <v>22.555006239225612</v>
      </c>
      <c r="O231" s="71">
        <f t="shared" si="39"/>
        <v>0.49778246907656171</v>
      </c>
      <c r="R231" s="17"/>
    </row>
    <row r="232" spans="1:18" x14ac:dyDescent="0.25">
      <c r="A232" s="355">
        <f>'A) Base RI'!A234</f>
        <v>5765</v>
      </c>
      <c r="B232" s="40" t="str">
        <f>'A) Base RI'!B234</f>
        <v>Vaulion</v>
      </c>
      <c r="C232" s="353">
        <f>'B) D RI'!U234</f>
        <v>10199.027160493826</v>
      </c>
      <c r="D232" s="40">
        <f>'B) D RI'!AA234</f>
        <v>494</v>
      </c>
      <c r="E232" s="231">
        <f t="shared" si="31"/>
        <v>20.645803968610984</v>
      </c>
      <c r="F232" s="71">
        <f t="shared" si="32"/>
        <v>0.44305346358436981</v>
      </c>
      <c r="G232" s="312">
        <f t="shared" si="33"/>
        <v>0</v>
      </c>
      <c r="H232" s="312">
        <f t="shared" si="34"/>
        <v>0</v>
      </c>
      <c r="I232" s="312">
        <f t="shared" si="35"/>
        <v>0</v>
      </c>
      <c r="J232" s="312">
        <f t="shared" si="36"/>
        <v>0</v>
      </c>
      <c r="K232" s="313">
        <f t="shared" si="37"/>
        <v>0</v>
      </c>
      <c r="L232" s="66">
        <f>K232*D232*'B) D RI'!S234</f>
        <v>0</v>
      </c>
      <c r="M232" s="19">
        <f>(('B) D RI'!S234*C232)-(L232*$M$4))/'B) D RI'!S234</f>
        <v>10199.027160493826</v>
      </c>
      <c r="N232" s="302">
        <f t="shared" si="38"/>
        <v>20.645803968610984</v>
      </c>
      <c r="O232" s="71">
        <f t="shared" si="39"/>
        <v>0.45564692674271234</v>
      </c>
      <c r="R232" s="17"/>
    </row>
    <row r="233" spans="1:18" x14ac:dyDescent="0.25">
      <c r="A233" s="355">
        <f>'A) Base RI'!A235</f>
        <v>5766</v>
      </c>
      <c r="B233" s="40" t="str">
        <f>'A) Base RI'!B235</f>
        <v>Vuiteboeuf</v>
      </c>
      <c r="C233" s="353">
        <f>'B) D RI'!U235</f>
        <v>13023.960575139146</v>
      </c>
      <c r="D233" s="40">
        <f>'B) D RI'!AA235</f>
        <v>556</v>
      </c>
      <c r="E233" s="231">
        <f t="shared" si="31"/>
        <v>23.424389523631557</v>
      </c>
      <c r="F233" s="71">
        <f t="shared" si="32"/>
        <v>0.50268117078768426</v>
      </c>
      <c r="G233" s="312">
        <f t="shared" si="33"/>
        <v>0</v>
      </c>
      <c r="H233" s="312">
        <f t="shared" si="34"/>
        <v>0</v>
      </c>
      <c r="I233" s="312">
        <f t="shared" si="35"/>
        <v>0</v>
      </c>
      <c r="J233" s="312">
        <f t="shared" si="36"/>
        <v>0</v>
      </c>
      <c r="K233" s="313">
        <f t="shared" si="37"/>
        <v>0</v>
      </c>
      <c r="L233" s="66">
        <f>K233*D233*'B) D RI'!S235</f>
        <v>0</v>
      </c>
      <c r="M233" s="19">
        <f>(('B) D RI'!S235*C233)-(L233*$M$4))/'B) D RI'!S235</f>
        <v>13023.960575139146</v>
      </c>
      <c r="N233" s="302">
        <f t="shared" si="38"/>
        <v>23.424389523631557</v>
      </c>
      <c r="O233" s="71">
        <f t="shared" si="39"/>
        <v>0.51696950690290722</v>
      </c>
      <c r="R233" s="17"/>
    </row>
    <row r="234" spans="1:18" x14ac:dyDescent="0.25">
      <c r="A234" s="355">
        <f>'A) Base RI'!A236</f>
        <v>5785</v>
      </c>
      <c r="B234" s="40" t="str">
        <f>'A) Base RI'!B236</f>
        <v>Corcelles-le-Jorat</v>
      </c>
      <c r="C234" s="353">
        <f>'B) D RI'!U236</f>
        <v>12275.22831168831</v>
      </c>
      <c r="D234" s="40">
        <f>'B) D RI'!AA236</f>
        <v>425</v>
      </c>
      <c r="E234" s="231">
        <f t="shared" si="31"/>
        <v>28.882890145148966</v>
      </c>
      <c r="F234" s="71">
        <f t="shared" si="32"/>
        <v>0.61981914274642069</v>
      </c>
      <c r="G234" s="312">
        <f t="shared" si="33"/>
        <v>0</v>
      </c>
      <c r="H234" s="312">
        <f t="shared" si="34"/>
        <v>0</v>
      </c>
      <c r="I234" s="312">
        <f t="shared" si="35"/>
        <v>0</v>
      </c>
      <c r="J234" s="312">
        <f t="shared" si="36"/>
        <v>0</v>
      </c>
      <c r="K234" s="313">
        <f t="shared" si="37"/>
        <v>0</v>
      </c>
      <c r="L234" s="66">
        <f>K234*D234*'B) D RI'!S236</f>
        <v>0</v>
      </c>
      <c r="M234" s="19">
        <f>(('B) D RI'!S236*C234)-(L234*$M$4))/'B) D RI'!S236</f>
        <v>12275.22831168831</v>
      </c>
      <c r="N234" s="302">
        <f t="shared" si="38"/>
        <v>28.882890145148966</v>
      </c>
      <c r="O234" s="71">
        <f t="shared" si="39"/>
        <v>0.63743703805833962</v>
      </c>
      <c r="R234" s="17"/>
    </row>
    <row r="235" spans="1:18" x14ac:dyDescent="0.25">
      <c r="A235" s="355">
        <f>'A) Base RI'!A237</f>
        <v>5788</v>
      </c>
      <c r="B235" s="40" t="str">
        <f>'A) Base RI'!B237</f>
        <v>Essertes</v>
      </c>
      <c r="C235" s="353">
        <f>'B) D RI'!U237</f>
        <v>9663.2152777777756</v>
      </c>
      <c r="D235" s="40">
        <f>'B) D RI'!AA237</f>
        <v>335</v>
      </c>
      <c r="E235" s="231">
        <f t="shared" si="31"/>
        <v>28.84541873963515</v>
      </c>
      <c r="F235" s="71">
        <f t="shared" si="32"/>
        <v>0.61901501634749179</v>
      </c>
      <c r="G235" s="312">
        <f t="shared" si="33"/>
        <v>0</v>
      </c>
      <c r="H235" s="312">
        <f t="shared" si="34"/>
        <v>0</v>
      </c>
      <c r="I235" s="312">
        <f t="shared" si="35"/>
        <v>0</v>
      </c>
      <c r="J235" s="312">
        <f t="shared" si="36"/>
        <v>0</v>
      </c>
      <c r="K235" s="313">
        <f t="shared" si="37"/>
        <v>0</v>
      </c>
      <c r="L235" s="66">
        <f>K235*D235*'B) D RI'!S237</f>
        <v>0</v>
      </c>
      <c r="M235" s="19">
        <f>(('B) D RI'!S237*C235)-(L235*$M$4))/'B) D RI'!S237</f>
        <v>9663.2152777777756</v>
      </c>
      <c r="N235" s="302">
        <f t="shared" si="38"/>
        <v>28.84541873963515</v>
      </c>
      <c r="O235" s="71">
        <f t="shared" si="39"/>
        <v>0.63661005496826195</v>
      </c>
      <c r="R235" s="17"/>
    </row>
    <row r="236" spans="1:18" x14ac:dyDescent="0.25">
      <c r="A236" s="355">
        <f>'A) Base RI'!A238</f>
        <v>5790</v>
      </c>
      <c r="B236" s="40" t="str">
        <f>'A) Base RI'!B238</f>
        <v>Maracon</v>
      </c>
      <c r="C236" s="353">
        <f>'B) D RI'!U238</f>
        <v>12077.747368421051</v>
      </c>
      <c r="D236" s="40">
        <f>'B) D RI'!AA238</f>
        <v>449</v>
      </c>
      <c r="E236" s="231">
        <f t="shared" si="31"/>
        <v>26.899214629000113</v>
      </c>
      <c r="F236" s="71">
        <f t="shared" si="32"/>
        <v>0.5772499936159986</v>
      </c>
      <c r="G236" s="312">
        <f t="shared" si="33"/>
        <v>0</v>
      </c>
      <c r="H236" s="312">
        <f t="shared" si="34"/>
        <v>0</v>
      </c>
      <c r="I236" s="312">
        <f t="shared" si="35"/>
        <v>0</v>
      </c>
      <c r="J236" s="312">
        <f t="shared" si="36"/>
        <v>0</v>
      </c>
      <c r="K236" s="313">
        <f t="shared" si="37"/>
        <v>0</v>
      </c>
      <c r="L236" s="66">
        <f>K236*D236*'B) D RI'!S238</f>
        <v>0</v>
      </c>
      <c r="M236" s="19">
        <f>(('B) D RI'!S238*C236)-(L236*$M$4))/'B) D RI'!S238</f>
        <v>12077.747368421051</v>
      </c>
      <c r="N236" s="302">
        <f t="shared" si="38"/>
        <v>26.899214629000113</v>
      </c>
      <c r="O236" s="71">
        <f t="shared" si="39"/>
        <v>0.59365789271906522</v>
      </c>
      <c r="R236" s="17"/>
    </row>
    <row r="237" spans="1:18" x14ac:dyDescent="0.25">
      <c r="A237" s="355">
        <f>'A) Base RI'!A239</f>
        <v>5792</v>
      </c>
      <c r="B237" s="40" t="str">
        <f>'A) Base RI'!B239</f>
        <v>Montpreveyres</v>
      </c>
      <c r="C237" s="353">
        <f>'B) D RI'!U239</f>
        <v>15670.869999999999</v>
      </c>
      <c r="D237" s="40">
        <f>'B) D RI'!AA239</f>
        <v>621</v>
      </c>
      <c r="E237" s="231">
        <f t="shared" si="31"/>
        <v>25.234895330112721</v>
      </c>
      <c r="F237" s="71">
        <f t="shared" si="32"/>
        <v>0.54153414399331234</v>
      </c>
      <c r="G237" s="312">
        <f t="shared" si="33"/>
        <v>0</v>
      </c>
      <c r="H237" s="312">
        <f t="shared" si="34"/>
        <v>0</v>
      </c>
      <c r="I237" s="312">
        <f t="shared" si="35"/>
        <v>0</v>
      </c>
      <c r="J237" s="312">
        <f t="shared" si="36"/>
        <v>0</v>
      </c>
      <c r="K237" s="313">
        <f t="shared" si="37"/>
        <v>0</v>
      </c>
      <c r="L237" s="66">
        <f>K237*D237*'B) D RI'!S239</f>
        <v>0</v>
      </c>
      <c r="M237" s="19">
        <f>(('B) D RI'!S239*C237)-(L237*$M$4))/'B) D RI'!S239</f>
        <v>15670.869999999999</v>
      </c>
      <c r="N237" s="302">
        <f t="shared" si="38"/>
        <v>25.234895330112721</v>
      </c>
      <c r="O237" s="71">
        <f t="shared" si="39"/>
        <v>0.55692684679759963</v>
      </c>
      <c r="R237" s="17"/>
    </row>
    <row r="238" spans="1:18" x14ac:dyDescent="0.25">
      <c r="A238" s="355">
        <f>'A) Base RI'!A240</f>
        <v>5798</v>
      </c>
      <c r="B238" s="40" t="str">
        <f>'A) Base RI'!B240</f>
        <v>Ropraz</v>
      </c>
      <c r="C238" s="353">
        <f>'B) D RI'!U240</f>
        <v>10971.989935483871</v>
      </c>
      <c r="D238" s="40">
        <f>'B) D RI'!AA240</f>
        <v>438</v>
      </c>
      <c r="E238" s="231">
        <f t="shared" si="31"/>
        <v>25.050205332154956</v>
      </c>
      <c r="F238" s="71">
        <f t="shared" si="32"/>
        <v>0.53757074574498132</v>
      </c>
      <c r="G238" s="312">
        <f t="shared" si="33"/>
        <v>0</v>
      </c>
      <c r="H238" s="312">
        <f t="shared" si="34"/>
        <v>0</v>
      </c>
      <c r="I238" s="312">
        <f t="shared" si="35"/>
        <v>0</v>
      </c>
      <c r="J238" s="312">
        <f t="shared" si="36"/>
        <v>0</v>
      </c>
      <c r="K238" s="313">
        <f t="shared" si="37"/>
        <v>0</v>
      </c>
      <c r="L238" s="66">
        <f>K238*D238*'B) D RI'!S240</f>
        <v>0</v>
      </c>
      <c r="M238" s="19">
        <f>(('B) D RI'!S240*C238)-(L238*$M$4))/'B) D RI'!S240</f>
        <v>10971.989935483871</v>
      </c>
      <c r="N238" s="302">
        <f t="shared" si="38"/>
        <v>25.050205332154956</v>
      </c>
      <c r="O238" s="71">
        <f t="shared" si="39"/>
        <v>0.55285079191993458</v>
      </c>
      <c r="R238" s="17"/>
    </row>
    <row r="239" spans="1:18" x14ac:dyDescent="0.25">
      <c r="A239" s="355">
        <f>'A) Base RI'!A241</f>
        <v>5799</v>
      </c>
      <c r="B239" s="40" t="str">
        <f>'A) Base RI'!B241</f>
        <v>Servion</v>
      </c>
      <c r="C239" s="353">
        <f>'B) D RI'!U241</f>
        <v>60598.657971014502</v>
      </c>
      <c r="D239" s="40">
        <f>'B) D RI'!AA241</f>
        <v>1918</v>
      </c>
      <c r="E239" s="231">
        <f t="shared" si="31"/>
        <v>31.594712185096196</v>
      </c>
      <c r="F239" s="71">
        <f t="shared" si="32"/>
        <v>0.67801412266823602</v>
      </c>
      <c r="G239" s="312">
        <f t="shared" si="33"/>
        <v>0</v>
      </c>
      <c r="H239" s="312">
        <f t="shared" si="34"/>
        <v>0</v>
      </c>
      <c r="I239" s="312">
        <f t="shared" si="35"/>
        <v>0</v>
      </c>
      <c r="J239" s="312">
        <f t="shared" si="36"/>
        <v>0</v>
      </c>
      <c r="K239" s="313">
        <f t="shared" si="37"/>
        <v>0</v>
      </c>
      <c r="L239" s="66">
        <f>K239*D239*'B) D RI'!S241</f>
        <v>0</v>
      </c>
      <c r="M239" s="19">
        <f>(('B) D RI'!S241*C239)-(L239*$M$4))/'B) D RI'!S241</f>
        <v>60598.657971014502</v>
      </c>
      <c r="N239" s="302">
        <f t="shared" si="38"/>
        <v>31.594712185096196</v>
      </c>
      <c r="O239" s="71">
        <f t="shared" si="39"/>
        <v>0.6972861667361917</v>
      </c>
      <c r="R239" s="17"/>
    </row>
    <row r="240" spans="1:18" x14ac:dyDescent="0.25">
      <c r="A240" s="355">
        <f>'A) Base RI'!A242</f>
        <v>5803</v>
      </c>
      <c r="B240" s="40" t="str">
        <f>'A) Base RI'!B242</f>
        <v>Vulliens</v>
      </c>
      <c r="C240" s="353">
        <f>'B) D RI'!U242</f>
        <v>14215.08564102564</v>
      </c>
      <c r="D240" s="40">
        <f>'B) D RI'!AA242</f>
        <v>466</v>
      </c>
      <c r="E240" s="231">
        <f t="shared" si="31"/>
        <v>30.504475624518541</v>
      </c>
      <c r="F240" s="71">
        <f t="shared" si="32"/>
        <v>0.65461793596489315</v>
      </c>
      <c r="G240" s="312">
        <f t="shared" si="33"/>
        <v>0</v>
      </c>
      <c r="H240" s="312">
        <f t="shared" si="34"/>
        <v>0</v>
      </c>
      <c r="I240" s="312">
        <f t="shared" si="35"/>
        <v>0</v>
      </c>
      <c r="J240" s="312">
        <f t="shared" si="36"/>
        <v>0</v>
      </c>
      <c r="K240" s="313">
        <f t="shared" si="37"/>
        <v>0</v>
      </c>
      <c r="L240" s="66">
        <f>K240*D240*'B) D RI'!S242</f>
        <v>0</v>
      </c>
      <c r="M240" s="19">
        <f>(('B) D RI'!S242*C240)-(L240*$M$4))/'B) D RI'!S242</f>
        <v>14215.08564102564</v>
      </c>
      <c r="N240" s="302">
        <f t="shared" si="38"/>
        <v>30.504475624518541</v>
      </c>
      <c r="O240" s="71">
        <f t="shared" si="39"/>
        <v>0.67322496093354967</v>
      </c>
      <c r="R240" s="17"/>
    </row>
    <row r="241" spans="1:18" x14ac:dyDescent="0.25">
      <c r="A241" s="355">
        <f>'A) Base RI'!A243</f>
        <v>5804</v>
      </c>
      <c r="B241" s="40" t="str">
        <f>'A) Base RI'!B243</f>
        <v>Jorat-Menthue</v>
      </c>
      <c r="C241" s="353">
        <f>'B) D RI'!U243</f>
        <v>48554.511111111118</v>
      </c>
      <c r="D241" s="40">
        <f>'B) D RI'!AA243</f>
        <v>1545</v>
      </c>
      <c r="E241" s="231">
        <f t="shared" si="31"/>
        <v>31.426868033081629</v>
      </c>
      <c r="F241" s="71">
        <f t="shared" si="32"/>
        <v>0.6744122317946476</v>
      </c>
      <c r="G241" s="312">
        <f t="shared" si="33"/>
        <v>0</v>
      </c>
      <c r="H241" s="312">
        <f t="shared" si="34"/>
        <v>0</v>
      </c>
      <c r="I241" s="312">
        <f t="shared" si="35"/>
        <v>0</v>
      </c>
      <c r="J241" s="312">
        <f t="shared" si="36"/>
        <v>0</v>
      </c>
      <c r="K241" s="313">
        <f t="shared" si="37"/>
        <v>0</v>
      </c>
      <c r="L241" s="66">
        <f>K241*D241*'B) D RI'!S243</f>
        <v>0</v>
      </c>
      <c r="M241" s="19">
        <f>(('B) D RI'!S243*C241)-(L241*$M$4))/'B) D RI'!S243</f>
        <v>48554.511111111118</v>
      </c>
      <c r="N241" s="302">
        <f t="shared" si="38"/>
        <v>31.426868033081629</v>
      </c>
      <c r="O241" s="71">
        <f t="shared" si="39"/>
        <v>0.69358189480987453</v>
      </c>
      <c r="R241" s="17"/>
    </row>
    <row r="242" spans="1:18" x14ac:dyDescent="0.25">
      <c r="A242" s="355">
        <f>'A) Base RI'!A244</f>
        <v>5805</v>
      </c>
      <c r="B242" s="40" t="str">
        <f>'A) Base RI'!B244</f>
        <v>Oron</v>
      </c>
      <c r="C242" s="353">
        <f>'B) D RI'!U244</f>
        <v>147104.2625559947</v>
      </c>
      <c r="D242" s="40">
        <f>'B) D RI'!AA244</f>
        <v>5397</v>
      </c>
      <c r="E242" s="231">
        <f t="shared" si="31"/>
        <v>27.25667269890582</v>
      </c>
      <c r="F242" s="71">
        <f t="shared" si="32"/>
        <v>0.58492094875045064</v>
      </c>
      <c r="G242" s="312">
        <f t="shared" si="33"/>
        <v>0</v>
      </c>
      <c r="H242" s="312">
        <f t="shared" si="34"/>
        <v>0</v>
      </c>
      <c r="I242" s="312">
        <f t="shared" si="35"/>
        <v>0</v>
      </c>
      <c r="J242" s="312">
        <f t="shared" si="36"/>
        <v>0</v>
      </c>
      <c r="K242" s="313">
        <f t="shared" si="37"/>
        <v>0</v>
      </c>
      <c r="L242" s="66">
        <f>K242*D242*'B) D RI'!S244</f>
        <v>0</v>
      </c>
      <c r="M242" s="19">
        <f>(('B) D RI'!S244*C242)-(L242*$M$4))/'B) D RI'!S244</f>
        <v>147104.2625559947</v>
      </c>
      <c r="N242" s="302">
        <f t="shared" si="38"/>
        <v>27.25667269890582</v>
      </c>
      <c r="O242" s="71">
        <f t="shared" si="39"/>
        <v>0.60154688901291475</v>
      </c>
      <c r="R242" s="17"/>
    </row>
    <row r="243" spans="1:18" x14ac:dyDescent="0.25">
      <c r="A243" s="355">
        <f>'A) Base RI'!A245</f>
        <v>5806</v>
      </c>
      <c r="B243" s="40" t="str">
        <f>'A) Base RI'!B245</f>
        <v>Jorat-Mézières</v>
      </c>
      <c r="C243" s="353">
        <f>'B) D RI'!U245</f>
        <v>90980.17</v>
      </c>
      <c r="D243" s="40">
        <f>'B) D RI'!AA245</f>
        <v>2814</v>
      </c>
      <c r="E243" s="231">
        <f t="shared" si="31"/>
        <v>32.331261549395876</v>
      </c>
      <c r="F243" s="71">
        <f t="shared" si="32"/>
        <v>0.69382027618252773</v>
      </c>
      <c r="G243" s="312">
        <f t="shared" si="33"/>
        <v>0</v>
      </c>
      <c r="H243" s="312">
        <f t="shared" si="34"/>
        <v>0</v>
      </c>
      <c r="I243" s="312">
        <f t="shared" si="35"/>
        <v>0</v>
      </c>
      <c r="J243" s="312">
        <f t="shared" si="36"/>
        <v>0</v>
      </c>
      <c r="K243" s="313">
        <f t="shared" si="37"/>
        <v>0</v>
      </c>
      <c r="L243" s="66">
        <f>K243*D243*'B) D RI'!S245</f>
        <v>0</v>
      </c>
      <c r="M243" s="19">
        <f>(('B) D RI'!S245*C243)-(L243*$M$4))/'B) D RI'!S245</f>
        <v>90980.17</v>
      </c>
      <c r="N243" s="302">
        <f t="shared" si="38"/>
        <v>32.331261549395876</v>
      </c>
      <c r="O243" s="71">
        <f t="shared" si="39"/>
        <v>0.71354159833612796</v>
      </c>
      <c r="R243" s="17"/>
    </row>
    <row r="244" spans="1:18" x14ac:dyDescent="0.25">
      <c r="A244" s="355">
        <f>'A) Base RI'!A246</f>
        <v>5812</v>
      </c>
      <c r="B244" s="40" t="str">
        <f>'A) Base RI'!B246</f>
        <v>Champtauroz</v>
      </c>
      <c r="C244" s="353">
        <f>'B) D RI'!U246</f>
        <v>2326.5760389610391</v>
      </c>
      <c r="D244" s="40">
        <f>'B) D RI'!AA246</f>
        <v>130</v>
      </c>
      <c r="E244" s="231">
        <f t="shared" si="31"/>
        <v>17.896738761238762</v>
      </c>
      <c r="F244" s="71">
        <f t="shared" si="32"/>
        <v>0.38405925519232476</v>
      </c>
      <c r="G244" s="312">
        <f t="shared" si="33"/>
        <v>0</v>
      </c>
      <c r="H244" s="312">
        <f t="shared" si="34"/>
        <v>0</v>
      </c>
      <c r="I244" s="312">
        <f t="shared" si="35"/>
        <v>0</v>
      </c>
      <c r="J244" s="312">
        <f t="shared" si="36"/>
        <v>0</v>
      </c>
      <c r="K244" s="313">
        <f t="shared" si="37"/>
        <v>0</v>
      </c>
      <c r="L244" s="66">
        <f>K244*D244*'B) D RI'!S246</f>
        <v>0</v>
      </c>
      <c r="M244" s="19">
        <f>(('B) D RI'!S246*C244)-(L244*$M$4))/'B) D RI'!S246</f>
        <v>2326.5760389610391</v>
      </c>
      <c r="N244" s="302">
        <f t="shared" si="38"/>
        <v>17.896738761238762</v>
      </c>
      <c r="O244" s="71">
        <f t="shared" si="39"/>
        <v>0.39497585212343977</v>
      </c>
      <c r="R244" s="17"/>
    </row>
    <row r="245" spans="1:18" x14ac:dyDescent="0.25">
      <c r="A245" s="355">
        <f>'A) Base RI'!A247</f>
        <v>5813</v>
      </c>
      <c r="B245" s="40" t="str">
        <f>'A) Base RI'!B247</f>
        <v>Chevroux</v>
      </c>
      <c r="C245" s="353">
        <f>'B) D RI'!U247</f>
        <v>11503.329976190478</v>
      </c>
      <c r="D245" s="40">
        <f>'B) D RI'!AA247</f>
        <v>446</v>
      </c>
      <c r="E245" s="231">
        <f t="shared" si="31"/>
        <v>25.792219677557124</v>
      </c>
      <c r="F245" s="71">
        <f t="shared" si="32"/>
        <v>0.55349417630063036</v>
      </c>
      <c r="G245" s="312">
        <f t="shared" si="33"/>
        <v>0</v>
      </c>
      <c r="H245" s="312">
        <f t="shared" si="34"/>
        <v>0</v>
      </c>
      <c r="I245" s="312">
        <f t="shared" si="35"/>
        <v>0</v>
      </c>
      <c r="J245" s="312">
        <f t="shared" si="36"/>
        <v>0</v>
      </c>
      <c r="K245" s="313">
        <f t="shared" si="37"/>
        <v>0</v>
      </c>
      <c r="L245" s="66">
        <f>K245*D245*'B) D RI'!S247</f>
        <v>0</v>
      </c>
      <c r="M245" s="19">
        <f>(('B) D RI'!S247*C245)-(L245*$M$4))/'B) D RI'!S247</f>
        <v>11503.329976190478</v>
      </c>
      <c r="N245" s="302">
        <f t="shared" si="38"/>
        <v>25.792219677557124</v>
      </c>
      <c r="O245" s="71">
        <f t="shared" si="39"/>
        <v>0.56922683407336838</v>
      </c>
      <c r="R245" s="17"/>
    </row>
    <row r="246" spans="1:18" x14ac:dyDescent="0.25">
      <c r="A246" s="355">
        <f>'A) Base RI'!A248</f>
        <v>5816</v>
      </c>
      <c r="B246" s="40" t="str">
        <f>'A) Base RI'!B248</f>
        <v>Corcelles-près-Payerne</v>
      </c>
      <c r="C246" s="353">
        <f>'B) D RI'!U248</f>
        <v>56641.066845238092</v>
      </c>
      <c r="D246" s="40">
        <f>'B) D RI'!AA248</f>
        <v>2393</v>
      </c>
      <c r="E246" s="231">
        <f t="shared" si="31"/>
        <v>23.669480503651521</v>
      </c>
      <c r="F246" s="71">
        <f t="shared" si="32"/>
        <v>0.50794075805085048</v>
      </c>
      <c r="G246" s="312">
        <f t="shared" si="33"/>
        <v>0</v>
      </c>
      <c r="H246" s="312">
        <f t="shared" si="34"/>
        <v>0</v>
      </c>
      <c r="I246" s="312">
        <f t="shared" si="35"/>
        <v>0</v>
      </c>
      <c r="J246" s="312">
        <f t="shared" si="36"/>
        <v>0</v>
      </c>
      <c r="K246" s="313">
        <f t="shared" si="37"/>
        <v>0</v>
      </c>
      <c r="L246" s="66">
        <f>K246*D246*'B) D RI'!S248</f>
        <v>0</v>
      </c>
      <c r="M246" s="19">
        <f>(('B) D RI'!S248*C246)-(L246*$M$4))/'B) D RI'!S248</f>
        <v>56641.066845238092</v>
      </c>
      <c r="N246" s="302">
        <f t="shared" si="38"/>
        <v>23.669480503651521</v>
      </c>
      <c r="O246" s="71">
        <f t="shared" si="39"/>
        <v>0.52237859399819508</v>
      </c>
      <c r="R246" s="17"/>
    </row>
    <row r="247" spans="1:18" x14ac:dyDescent="0.25">
      <c r="A247" s="355">
        <f>'A) Base RI'!A249</f>
        <v>5817</v>
      </c>
      <c r="B247" s="40" t="str">
        <f>'A) Base RI'!B249</f>
        <v>Grandcour</v>
      </c>
      <c r="C247" s="353">
        <f>'B) D RI'!U249</f>
        <v>20990.550314465407</v>
      </c>
      <c r="D247" s="40">
        <f>'B) D RI'!AA249</f>
        <v>885</v>
      </c>
      <c r="E247" s="231">
        <f t="shared" si="31"/>
        <v>23.718135948548483</v>
      </c>
      <c r="F247" s="71">
        <f t="shared" si="32"/>
        <v>0.50898489096117994</v>
      </c>
      <c r="G247" s="312">
        <f t="shared" si="33"/>
        <v>0</v>
      </c>
      <c r="H247" s="312">
        <f t="shared" si="34"/>
        <v>0</v>
      </c>
      <c r="I247" s="312">
        <f t="shared" si="35"/>
        <v>0</v>
      </c>
      <c r="J247" s="312">
        <f t="shared" si="36"/>
        <v>0</v>
      </c>
      <c r="K247" s="313">
        <f t="shared" si="37"/>
        <v>0</v>
      </c>
      <c r="L247" s="66">
        <f>K247*D247*'B) D RI'!S249</f>
        <v>0</v>
      </c>
      <c r="M247" s="19">
        <f>(('B) D RI'!S249*C247)-(L247*$M$4))/'B) D RI'!S249</f>
        <v>20990.550314465407</v>
      </c>
      <c r="N247" s="302">
        <f t="shared" si="38"/>
        <v>23.718135948548483</v>
      </c>
      <c r="O247" s="71">
        <f t="shared" si="39"/>
        <v>0.52345240560515915</v>
      </c>
      <c r="R247" s="17"/>
    </row>
    <row r="248" spans="1:18" x14ac:dyDescent="0.25">
      <c r="A248" s="355">
        <f>'A) Base RI'!A250</f>
        <v>5819</v>
      </c>
      <c r="B248" s="40" t="str">
        <f>'A) Base RI'!B250</f>
        <v>Henniez</v>
      </c>
      <c r="C248" s="353">
        <f>'B) D RI'!U250</f>
        <v>14949.743880597016</v>
      </c>
      <c r="D248" s="40">
        <f>'B) D RI'!AA250</f>
        <v>338</v>
      </c>
      <c r="E248" s="231">
        <f t="shared" si="31"/>
        <v>44.230011481056259</v>
      </c>
      <c r="F248" s="71">
        <f t="shared" si="32"/>
        <v>0.94916428591745561</v>
      </c>
      <c r="G248" s="312">
        <f t="shared" si="33"/>
        <v>0</v>
      </c>
      <c r="H248" s="312">
        <f t="shared" si="34"/>
        <v>0</v>
      </c>
      <c r="I248" s="312">
        <f t="shared" si="35"/>
        <v>0</v>
      </c>
      <c r="J248" s="312">
        <f t="shared" si="36"/>
        <v>0</v>
      </c>
      <c r="K248" s="313">
        <f t="shared" si="37"/>
        <v>0</v>
      </c>
      <c r="L248" s="66">
        <f>K248*D248*'B) D RI'!S250</f>
        <v>0</v>
      </c>
      <c r="M248" s="19">
        <f>(('B) D RI'!S250*C248)-(L248*$M$4))/'B) D RI'!S250</f>
        <v>14949.743880597016</v>
      </c>
      <c r="N248" s="302">
        <f t="shared" si="38"/>
        <v>44.230011481056259</v>
      </c>
      <c r="O248" s="71">
        <f t="shared" si="39"/>
        <v>0.97614357046973577</v>
      </c>
      <c r="R248" s="17"/>
    </row>
    <row r="249" spans="1:18" x14ac:dyDescent="0.25">
      <c r="A249" s="355">
        <f>'A) Base RI'!A251</f>
        <v>5821</v>
      </c>
      <c r="B249" s="40" t="str">
        <f>'A) Base RI'!B251</f>
        <v>Missy</v>
      </c>
      <c r="C249" s="353">
        <f>'B) D RI'!U251</f>
        <v>7776.2584722222218</v>
      </c>
      <c r="D249" s="40">
        <f>'B) D RI'!AA251</f>
        <v>361</v>
      </c>
      <c r="E249" s="231">
        <f t="shared" si="31"/>
        <v>21.540882194521391</v>
      </c>
      <c r="F249" s="71">
        <f t="shared" si="32"/>
        <v>0.46226160431705732</v>
      </c>
      <c r="G249" s="312">
        <f t="shared" si="33"/>
        <v>0</v>
      </c>
      <c r="H249" s="312">
        <f t="shared" si="34"/>
        <v>0</v>
      </c>
      <c r="I249" s="312">
        <f t="shared" si="35"/>
        <v>0</v>
      </c>
      <c r="J249" s="312">
        <f t="shared" si="36"/>
        <v>0</v>
      </c>
      <c r="K249" s="313">
        <f t="shared" si="37"/>
        <v>0</v>
      </c>
      <c r="L249" s="66">
        <f>K249*D249*'B) D RI'!S251</f>
        <v>0</v>
      </c>
      <c r="M249" s="19">
        <f>(('B) D RI'!S251*C249)-(L249*$M$4))/'B) D RI'!S251</f>
        <v>7776.2584722222218</v>
      </c>
      <c r="N249" s="302">
        <f t="shared" si="38"/>
        <v>21.540882194521391</v>
      </c>
      <c r="O249" s="71">
        <f t="shared" si="39"/>
        <v>0.47540104450196541</v>
      </c>
      <c r="R249" s="17"/>
    </row>
    <row r="250" spans="1:18" x14ac:dyDescent="0.25">
      <c r="A250" s="355">
        <f>'A) Base RI'!A252</f>
        <v>5822</v>
      </c>
      <c r="B250" s="40" t="str">
        <f>'A) Base RI'!B252</f>
        <v>Payerne</v>
      </c>
      <c r="C250" s="353">
        <f>'B) D RI'!U252</f>
        <v>231493.6713333333</v>
      </c>
      <c r="D250" s="40">
        <f>'B) D RI'!AA252</f>
        <v>9301</v>
      </c>
      <c r="E250" s="231">
        <f t="shared" si="31"/>
        <v>24.889116367415689</v>
      </c>
      <c r="F250" s="71">
        <f t="shared" si="32"/>
        <v>0.53411381939416147</v>
      </c>
      <c r="G250" s="312">
        <f t="shared" si="33"/>
        <v>0</v>
      </c>
      <c r="H250" s="312">
        <f t="shared" si="34"/>
        <v>0</v>
      </c>
      <c r="I250" s="312">
        <f t="shared" si="35"/>
        <v>0</v>
      </c>
      <c r="J250" s="312">
        <f t="shared" si="36"/>
        <v>0</v>
      </c>
      <c r="K250" s="313">
        <f t="shared" si="37"/>
        <v>0</v>
      </c>
      <c r="L250" s="66">
        <f>K250*D250*'B) D RI'!S252</f>
        <v>0</v>
      </c>
      <c r="M250" s="19">
        <f>(('B) D RI'!S252*C250)-(L250*$M$4))/'B) D RI'!S252</f>
        <v>231493.6713333333</v>
      </c>
      <c r="N250" s="302">
        <f t="shared" si="38"/>
        <v>24.889116367415689</v>
      </c>
      <c r="O250" s="71">
        <f t="shared" si="39"/>
        <v>0.54929560502446628</v>
      </c>
      <c r="R250" s="17"/>
    </row>
    <row r="251" spans="1:18" x14ac:dyDescent="0.25">
      <c r="A251" s="355">
        <f>'A) Base RI'!A253</f>
        <v>5827</v>
      </c>
      <c r="B251" s="40" t="str">
        <f>'A) Base RI'!B253</f>
        <v>Trey</v>
      </c>
      <c r="C251" s="353">
        <f>'B) D RI'!U253</f>
        <v>6204.9173749999991</v>
      </c>
      <c r="D251" s="40">
        <f>'B) D RI'!AA253</f>
        <v>260</v>
      </c>
      <c r="E251" s="231">
        <f t="shared" si="31"/>
        <v>23.865066826923073</v>
      </c>
      <c r="F251" s="71">
        <f t="shared" si="32"/>
        <v>0.51213798854315484</v>
      </c>
      <c r="G251" s="312">
        <f t="shared" si="33"/>
        <v>0</v>
      </c>
      <c r="H251" s="312">
        <f t="shared" si="34"/>
        <v>0</v>
      </c>
      <c r="I251" s="312">
        <f t="shared" si="35"/>
        <v>0</v>
      </c>
      <c r="J251" s="312">
        <f t="shared" si="36"/>
        <v>0</v>
      </c>
      <c r="K251" s="313">
        <f t="shared" si="37"/>
        <v>0</v>
      </c>
      <c r="L251" s="66">
        <f>K251*D251*'B) D RI'!S253</f>
        <v>0</v>
      </c>
      <c r="M251" s="19">
        <f>(('B) D RI'!S253*C251)-(L251*$M$4))/'B) D RI'!S253</f>
        <v>6204.9173749999991</v>
      </c>
      <c r="N251" s="302">
        <f t="shared" si="38"/>
        <v>23.865066826923073</v>
      </c>
      <c r="O251" s="71">
        <f t="shared" si="39"/>
        <v>0.52669512762638804</v>
      </c>
      <c r="R251" s="17"/>
    </row>
    <row r="252" spans="1:18" x14ac:dyDescent="0.25">
      <c r="A252" s="355">
        <f>'A) Base RI'!A254</f>
        <v>5828</v>
      </c>
      <c r="B252" s="40" t="str">
        <f>'A) Base RI'!B254</f>
        <v>Treytorrens (Payerne)</v>
      </c>
      <c r="C252" s="353">
        <f>'B) D RI'!U254</f>
        <v>2352.5354761904764</v>
      </c>
      <c r="D252" s="40">
        <f>'B) D RI'!AA254</f>
        <v>131</v>
      </c>
      <c r="E252" s="231">
        <f t="shared" si="31"/>
        <v>17.958286077789896</v>
      </c>
      <c r="F252" s="71">
        <f t="shared" si="32"/>
        <v>0.38538004424048977</v>
      </c>
      <c r="G252" s="312">
        <f t="shared" si="33"/>
        <v>0</v>
      </c>
      <c r="H252" s="312">
        <f t="shared" si="34"/>
        <v>0</v>
      </c>
      <c r="I252" s="312">
        <f t="shared" si="35"/>
        <v>0</v>
      </c>
      <c r="J252" s="312">
        <f t="shared" si="36"/>
        <v>0</v>
      </c>
      <c r="K252" s="313">
        <f t="shared" si="37"/>
        <v>0</v>
      </c>
      <c r="L252" s="66">
        <f>K252*D252*'B) D RI'!S254</f>
        <v>0</v>
      </c>
      <c r="M252" s="19">
        <f>(('B) D RI'!S254*C252)-(L252*$M$4))/'B) D RI'!S254</f>
        <v>2352.5354761904764</v>
      </c>
      <c r="N252" s="302">
        <f t="shared" si="38"/>
        <v>17.958286077789896</v>
      </c>
      <c r="O252" s="71">
        <f t="shared" si="39"/>
        <v>0.39633418361193118</v>
      </c>
      <c r="R252" s="17"/>
    </row>
    <row r="253" spans="1:18" x14ac:dyDescent="0.25">
      <c r="A253" s="355">
        <f>'A) Base RI'!A255</f>
        <v>5830</v>
      </c>
      <c r="B253" s="40" t="str">
        <f>'A) Base RI'!B255</f>
        <v>Villarzel</v>
      </c>
      <c r="C253" s="353">
        <f>'B) D RI'!U255</f>
        <v>9737.3892405063307</v>
      </c>
      <c r="D253" s="40">
        <f>'B) D RI'!AA255</f>
        <v>424</v>
      </c>
      <c r="E253" s="231">
        <f t="shared" si="31"/>
        <v>22.965540661571534</v>
      </c>
      <c r="F253" s="71">
        <f t="shared" si="32"/>
        <v>0.49283439621273817</v>
      </c>
      <c r="G253" s="312">
        <f t="shared" si="33"/>
        <v>0</v>
      </c>
      <c r="H253" s="312">
        <f t="shared" si="34"/>
        <v>0</v>
      </c>
      <c r="I253" s="312">
        <f t="shared" si="35"/>
        <v>0</v>
      </c>
      <c r="J253" s="312">
        <f t="shared" si="36"/>
        <v>0</v>
      </c>
      <c r="K253" s="313">
        <f t="shared" si="37"/>
        <v>0</v>
      </c>
      <c r="L253" s="66">
        <f>K253*D253*'B) D RI'!S255</f>
        <v>0</v>
      </c>
      <c r="M253" s="19">
        <f>(('B) D RI'!S255*C253)-(L253*$M$4))/'B) D RI'!S255</f>
        <v>9737.3892405063307</v>
      </c>
      <c r="N253" s="302">
        <f t="shared" si="38"/>
        <v>22.965540661571534</v>
      </c>
      <c r="O253" s="71">
        <f t="shared" si="39"/>
        <v>0.50684284512916833</v>
      </c>
      <c r="R253" s="17"/>
    </row>
    <row r="254" spans="1:18" x14ac:dyDescent="0.25">
      <c r="A254" s="355">
        <f>'A) Base RI'!A256</f>
        <v>5831</v>
      </c>
      <c r="B254" s="40" t="str">
        <f>'A) Base RI'!B256</f>
        <v>Valbroye</v>
      </c>
      <c r="C254" s="353">
        <f>'B) D RI'!U256</f>
        <v>75142.69210045661</v>
      </c>
      <c r="D254" s="40">
        <f>'B) D RI'!AA256</f>
        <v>2974</v>
      </c>
      <c r="E254" s="231">
        <f t="shared" si="31"/>
        <v>25.266540719723139</v>
      </c>
      <c r="F254" s="71">
        <f t="shared" si="32"/>
        <v>0.54221324564005313</v>
      </c>
      <c r="G254" s="312">
        <f t="shared" si="33"/>
        <v>0</v>
      </c>
      <c r="H254" s="312">
        <f t="shared" si="34"/>
        <v>0</v>
      </c>
      <c r="I254" s="312">
        <f t="shared" si="35"/>
        <v>0</v>
      </c>
      <c r="J254" s="312">
        <f t="shared" si="36"/>
        <v>0</v>
      </c>
      <c r="K254" s="313">
        <f t="shared" si="37"/>
        <v>0</v>
      </c>
      <c r="L254" s="66">
        <f>K254*D254*'B) D RI'!S256</f>
        <v>0</v>
      </c>
      <c r="M254" s="19">
        <f>(('B) D RI'!S256*C254)-(L254*$M$4))/'B) D RI'!S256</f>
        <v>75142.69210045661</v>
      </c>
      <c r="N254" s="302">
        <f t="shared" si="38"/>
        <v>25.266540719723139</v>
      </c>
      <c r="O254" s="71">
        <f t="shared" si="39"/>
        <v>0.55762525140046637</v>
      </c>
      <c r="R254" s="17"/>
    </row>
    <row r="255" spans="1:18" x14ac:dyDescent="0.25">
      <c r="A255" s="355">
        <f>'A) Base RI'!A257</f>
        <v>5841</v>
      </c>
      <c r="B255" s="40" t="str">
        <f>'A) Base RI'!B257</f>
        <v>Château-d'Oex</v>
      </c>
      <c r="C255" s="353">
        <f>'B) D RI'!U257</f>
        <v>106457.35927710844</v>
      </c>
      <c r="D255" s="40">
        <f>'B) D RI'!AA257</f>
        <v>3477</v>
      </c>
      <c r="E255" s="231">
        <f t="shared" si="31"/>
        <v>30.617589668423481</v>
      </c>
      <c r="F255" s="71">
        <f t="shared" si="32"/>
        <v>0.65704533327082082</v>
      </c>
      <c r="G255" s="312">
        <f t="shared" si="33"/>
        <v>0</v>
      </c>
      <c r="H255" s="312">
        <f t="shared" si="34"/>
        <v>0</v>
      </c>
      <c r="I255" s="312">
        <f t="shared" si="35"/>
        <v>0</v>
      </c>
      <c r="J255" s="312">
        <f t="shared" si="36"/>
        <v>0</v>
      </c>
      <c r="K255" s="313">
        <f t="shared" si="37"/>
        <v>0</v>
      </c>
      <c r="L255" s="66">
        <f>K255*D255*'B) D RI'!S257</f>
        <v>0</v>
      </c>
      <c r="M255" s="19">
        <f>(('B) D RI'!S257*C255)-(L255*$M$4))/'B) D RI'!S257</f>
        <v>106457.35927710844</v>
      </c>
      <c r="N255" s="302">
        <f t="shared" si="38"/>
        <v>30.617589668423481</v>
      </c>
      <c r="O255" s="71">
        <f t="shared" si="39"/>
        <v>0.67572135519143783</v>
      </c>
      <c r="R255" s="17"/>
    </row>
    <row r="256" spans="1:18" x14ac:dyDescent="0.25">
      <c r="A256" s="355">
        <f>'A) Base RI'!A258</f>
        <v>5842</v>
      </c>
      <c r="B256" s="40" t="str">
        <f>'A) Base RI'!B258</f>
        <v>Rossinière</v>
      </c>
      <c r="C256" s="353">
        <f>'B) D RI'!U258</f>
        <v>13519.399629629628</v>
      </c>
      <c r="D256" s="40">
        <f>'B) D RI'!AA258</f>
        <v>546</v>
      </c>
      <c r="E256" s="231">
        <f t="shared" si="31"/>
        <v>24.760805182471845</v>
      </c>
      <c r="F256" s="71">
        <f t="shared" si="32"/>
        <v>0.53136029548235764</v>
      </c>
      <c r="G256" s="312">
        <f t="shared" si="33"/>
        <v>0</v>
      </c>
      <c r="H256" s="312">
        <f t="shared" si="34"/>
        <v>0</v>
      </c>
      <c r="I256" s="312">
        <f t="shared" si="35"/>
        <v>0</v>
      </c>
      <c r="J256" s="312">
        <f t="shared" si="36"/>
        <v>0</v>
      </c>
      <c r="K256" s="313">
        <f t="shared" si="37"/>
        <v>0</v>
      </c>
      <c r="L256" s="66">
        <f>K256*D256*'B) D RI'!S258</f>
        <v>0</v>
      </c>
      <c r="M256" s="19">
        <f>(('B) D RI'!S258*C256)-(L256*$M$4))/'B) D RI'!S258</f>
        <v>13519.399629629628</v>
      </c>
      <c r="N256" s="302">
        <f t="shared" si="38"/>
        <v>24.760805182471845</v>
      </c>
      <c r="O256" s="71">
        <f t="shared" si="39"/>
        <v>0.54646381425597579</v>
      </c>
      <c r="R256" s="17"/>
    </row>
    <row r="257" spans="1:18" x14ac:dyDescent="0.25">
      <c r="A257" s="355">
        <f>'A) Base RI'!A259</f>
        <v>5843</v>
      </c>
      <c r="B257" s="40" t="str">
        <f>'A) Base RI'!B259</f>
        <v>Rougemont</v>
      </c>
      <c r="C257" s="353">
        <f>'B) D RI'!U259</f>
        <v>88213.430628019312</v>
      </c>
      <c r="D257" s="40">
        <f>'B) D RI'!AA259</f>
        <v>892</v>
      </c>
      <c r="E257" s="231">
        <f t="shared" si="31"/>
        <v>98.893980524685333</v>
      </c>
      <c r="F257" s="71">
        <f t="shared" si="32"/>
        <v>2.1222385268077728</v>
      </c>
      <c r="G257" s="312">
        <f t="shared" si="33"/>
        <v>42.975300729475173</v>
      </c>
      <c r="H257" s="312">
        <f t="shared" si="34"/>
        <v>28.995630780672627</v>
      </c>
      <c r="I257" s="312">
        <f t="shared" si="35"/>
        <v>5.6961808660017255</v>
      </c>
      <c r="J257" s="312">
        <f t="shared" si="36"/>
        <v>0</v>
      </c>
      <c r="K257" s="313">
        <f t="shared" si="37"/>
        <v>18.940289427278497</v>
      </c>
      <c r="L257" s="66">
        <f>K257*D257*'B) D RI'!S259</f>
        <v>1165736.9336701368</v>
      </c>
      <c r="M257" s="19">
        <f>(('B) D RI'!S259*C257)-(L257*$M$4))/'B) D RI'!S259</f>
        <v>79766.061543453106</v>
      </c>
      <c r="N257" s="302">
        <f t="shared" si="38"/>
        <v>89.423835811046089</v>
      </c>
      <c r="O257" s="71">
        <f t="shared" si="39"/>
        <v>1.97355821196385</v>
      </c>
      <c r="R257" s="17"/>
    </row>
    <row r="258" spans="1:18" x14ac:dyDescent="0.25">
      <c r="A258" s="355">
        <f>'A) Base RI'!A260</f>
        <v>5851</v>
      </c>
      <c r="B258" s="40" t="str">
        <f>'A) Base RI'!B260</f>
        <v>Allaman</v>
      </c>
      <c r="C258" s="353">
        <f>'B) D RI'!U260</f>
        <v>26900.629237536661</v>
      </c>
      <c r="D258" s="40">
        <f>'B) D RI'!AA260</f>
        <v>432</v>
      </c>
      <c r="E258" s="231">
        <f t="shared" si="31"/>
        <v>62.269975086890419</v>
      </c>
      <c r="F258" s="71">
        <f t="shared" si="32"/>
        <v>1.3362971081922637</v>
      </c>
      <c r="G258" s="312">
        <f t="shared" si="33"/>
        <v>6.351295291680259</v>
      </c>
      <c r="H258" s="312">
        <f t="shared" si="34"/>
        <v>0</v>
      </c>
      <c r="I258" s="312">
        <f t="shared" si="35"/>
        <v>0</v>
      </c>
      <c r="J258" s="312">
        <f t="shared" si="36"/>
        <v>0</v>
      </c>
      <c r="K258" s="313">
        <f t="shared" si="37"/>
        <v>2.2864663050048932</v>
      </c>
      <c r="L258" s="66">
        <f>K258*D258*'B) D RI'!S260</f>
        <v>61240.713513251059</v>
      </c>
      <c r="M258" s="19">
        <f>(('B) D RI'!S260*C258)-(L258*$M$4))/'B) D RI'!S260</f>
        <v>26406.752515655604</v>
      </c>
      <c r="N258" s="302">
        <f t="shared" si="38"/>
        <v>61.126741934387972</v>
      </c>
      <c r="O258" s="71">
        <f t="shared" si="39"/>
        <v>1.3490495282501032</v>
      </c>
      <c r="R258" s="17"/>
    </row>
    <row r="259" spans="1:18" x14ac:dyDescent="0.25">
      <c r="A259" s="355">
        <f>'A) Base RI'!A261</f>
        <v>5852</v>
      </c>
      <c r="B259" s="40" t="str">
        <f>'A) Base RI'!B261</f>
        <v>Bursinel</v>
      </c>
      <c r="C259" s="353">
        <f>'B) D RI'!U261</f>
        <v>29922.291297709922</v>
      </c>
      <c r="D259" s="40">
        <f>'B) D RI'!AA261</f>
        <v>485</v>
      </c>
      <c r="E259" s="231">
        <f t="shared" si="31"/>
        <v>61.695445974659634</v>
      </c>
      <c r="F259" s="71">
        <f t="shared" si="32"/>
        <v>1.3239678662072625</v>
      </c>
      <c r="G259" s="312">
        <f t="shared" si="33"/>
        <v>5.7767661794494742</v>
      </c>
      <c r="H259" s="312">
        <f t="shared" si="34"/>
        <v>0</v>
      </c>
      <c r="I259" s="312">
        <f t="shared" si="35"/>
        <v>0</v>
      </c>
      <c r="J259" s="312">
        <f t="shared" si="36"/>
        <v>0</v>
      </c>
      <c r="K259" s="313">
        <f t="shared" si="37"/>
        <v>2.0796358246018105</v>
      </c>
      <c r="L259" s="66">
        <f>K259*D259*'B) D RI'!S261</f>
        <v>66064.83105803802</v>
      </c>
      <c r="M259" s="19">
        <f>(('B) D RI'!S261*C259)-(L259*$M$4))/'B) D RI'!S261</f>
        <v>29417.979610243983</v>
      </c>
      <c r="N259" s="302">
        <f t="shared" si="38"/>
        <v>60.65562806235873</v>
      </c>
      <c r="O259" s="71">
        <f t="shared" si="39"/>
        <v>1.3386521812510546</v>
      </c>
      <c r="R259" s="17"/>
    </row>
    <row r="260" spans="1:18" x14ac:dyDescent="0.25">
      <c r="A260" s="355">
        <f>'A) Base RI'!A262</f>
        <v>5853</v>
      </c>
      <c r="B260" s="40" t="str">
        <f>'A) Base RI'!B262</f>
        <v>Bursins</v>
      </c>
      <c r="C260" s="353">
        <f>'B) D RI'!U262</f>
        <v>40543.223380281692</v>
      </c>
      <c r="D260" s="40">
        <f>'B) D RI'!AA262</f>
        <v>766</v>
      </c>
      <c r="E260" s="231">
        <f t="shared" si="31"/>
        <v>52.928490052587065</v>
      </c>
      <c r="F260" s="71">
        <f t="shared" si="32"/>
        <v>1.135831323194882</v>
      </c>
      <c r="G260" s="312">
        <f t="shared" si="33"/>
        <v>0</v>
      </c>
      <c r="H260" s="312">
        <f t="shared" si="34"/>
        <v>0</v>
      </c>
      <c r="I260" s="312">
        <f t="shared" si="35"/>
        <v>0</v>
      </c>
      <c r="J260" s="312">
        <f t="shared" si="36"/>
        <v>0</v>
      </c>
      <c r="K260" s="313">
        <f t="shared" si="37"/>
        <v>0</v>
      </c>
      <c r="L260" s="66">
        <f>K260*D260*'B) D RI'!S262</f>
        <v>0</v>
      </c>
      <c r="M260" s="19">
        <f>(('B) D RI'!S262*C260)-(L260*$M$4))/'B) D RI'!S262</f>
        <v>40543.223380281692</v>
      </c>
      <c r="N260" s="302">
        <f t="shared" si="38"/>
        <v>52.928490052587065</v>
      </c>
      <c r="O260" s="71">
        <f t="shared" si="39"/>
        <v>1.1681164785958222</v>
      </c>
      <c r="R260" s="17"/>
    </row>
    <row r="261" spans="1:18" x14ac:dyDescent="0.25">
      <c r="A261" s="355">
        <f>'A) Base RI'!A263</f>
        <v>5854</v>
      </c>
      <c r="B261" s="40" t="str">
        <f>'A) Base RI'!B263</f>
        <v>Burtigny</v>
      </c>
      <c r="C261" s="353">
        <f>'B) D RI'!U263</f>
        <v>10577.787833333332</v>
      </c>
      <c r="D261" s="40">
        <f>'B) D RI'!AA263</f>
        <v>359</v>
      </c>
      <c r="E261" s="231">
        <f t="shared" si="31"/>
        <v>29.464590064995352</v>
      </c>
      <c r="F261" s="71">
        <f t="shared" si="32"/>
        <v>0.63230226835618264</v>
      </c>
      <c r="G261" s="312">
        <f t="shared" si="33"/>
        <v>0</v>
      </c>
      <c r="H261" s="312">
        <f t="shared" si="34"/>
        <v>0</v>
      </c>
      <c r="I261" s="312">
        <f t="shared" si="35"/>
        <v>0</v>
      </c>
      <c r="J261" s="312">
        <f t="shared" si="36"/>
        <v>0</v>
      </c>
      <c r="K261" s="313">
        <f t="shared" si="37"/>
        <v>0</v>
      </c>
      <c r="L261" s="66">
        <f>K261*D261*'B) D RI'!S263</f>
        <v>0</v>
      </c>
      <c r="M261" s="19">
        <f>(('B) D RI'!S263*C261)-(L261*$M$4))/'B) D RI'!S263</f>
        <v>10577.787833333332</v>
      </c>
      <c r="N261" s="302">
        <f t="shared" si="38"/>
        <v>29.464590064995352</v>
      </c>
      <c r="O261" s="71">
        <f t="shared" si="39"/>
        <v>0.65027498717223498</v>
      </c>
      <c r="R261" s="17"/>
    </row>
    <row r="262" spans="1:18" x14ac:dyDescent="0.25">
      <c r="A262" s="355">
        <f>'A) Base RI'!A264</f>
        <v>5855</v>
      </c>
      <c r="B262" s="40" t="str">
        <f>'A) Base RI'!B264</f>
        <v>Dully</v>
      </c>
      <c r="C262" s="353">
        <f>'B) D RI'!U264</f>
        <v>79387.772653061227</v>
      </c>
      <c r="D262" s="40">
        <f>'B) D RI'!AA264</f>
        <v>633</v>
      </c>
      <c r="E262" s="231">
        <f t="shared" ref="E262:E313" si="40">C262/D262</f>
        <v>125.41512267466229</v>
      </c>
      <c r="F262" s="71">
        <f t="shared" ref="F262:F313" si="41">E262/$E$314</f>
        <v>2.6913751855508932</v>
      </c>
      <c r="G262" s="312">
        <f t="shared" ref="G262:G313" si="42">IF(E262-$G$2&lt;0,0,E262-$G$2)</f>
        <v>69.496442879452133</v>
      </c>
      <c r="H262" s="312">
        <f t="shared" ref="H262:H313" si="43">IF(E262-$H$2&lt;0,0,E262-$H$2)</f>
        <v>55.51677293064958</v>
      </c>
      <c r="I262" s="312">
        <f t="shared" ref="I262:I313" si="44">IF(E262-$I$2&lt;0,0,E262-$I$2)</f>
        <v>32.217323015978678</v>
      </c>
      <c r="J262" s="312">
        <f t="shared" ref="J262:J313" si="45">IF(E262-$J$2&lt;0,0,E262-$J$2)</f>
        <v>0</v>
      </c>
      <c r="K262" s="313">
        <f t="shared" ref="K262:K313" si="46">(G262-H262)*$G$3+(H262-I262)*$H$3+(I262-J262)*$I$3+(J262*$J$3)</f>
        <v>33.792129031265596</v>
      </c>
      <c r="L262" s="66">
        <f>K262*D262*'B) D RI'!S264</f>
        <v>1048130.466162765</v>
      </c>
      <c r="M262" s="19">
        <f>(('B) D RI'!S264*C262)-(L262*$M$4))/'B) D RI'!S264</f>
        <v>68692.563814665671</v>
      </c>
      <c r="N262" s="302">
        <f t="shared" ref="N262:N313" si="47">M262/D262</f>
        <v>108.5190581590295</v>
      </c>
      <c r="O262" s="71">
        <f t="shared" ref="O262:O313" si="48">N262/N$314</f>
        <v>2.3949842504729606</v>
      </c>
      <c r="R262" s="17"/>
    </row>
    <row r="263" spans="1:18" x14ac:dyDescent="0.25">
      <c r="A263" s="355">
        <f>'A) Base RI'!A265</f>
        <v>5856</v>
      </c>
      <c r="B263" s="40" t="str">
        <f>'A) Base RI'!B265</f>
        <v>Essertines-sur-Rolle</v>
      </c>
      <c r="C263" s="353">
        <f>'B) D RI'!U265</f>
        <v>31862.802285067875</v>
      </c>
      <c r="D263" s="40">
        <f>'B) D RI'!AA265</f>
        <v>695</v>
      </c>
      <c r="E263" s="231">
        <f t="shared" si="40"/>
        <v>45.845758683550898</v>
      </c>
      <c r="F263" s="71">
        <f t="shared" si="41"/>
        <v>0.98383779126655091</v>
      </c>
      <c r="G263" s="312">
        <f t="shared" si="42"/>
        <v>0</v>
      </c>
      <c r="H263" s="312">
        <f t="shared" si="43"/>
        <v>0</v>
      </c>
      <c r="I263" s="312">
        <f t="shared" si="44"/>
        <v>0</v>
      </c>
      <c r="J263" s="312">
        <f t="shared" si="45"/>
        <v>0</v>
      </c>
      <c r="K263" s="313">
        <f t="shared" si="46"/>
        <v>0</v>
      </c>
      <c r="L263" s="66">
        <f>K263*D263*'B) D RI'!S265</f>
        <v>0</v>
      </c>
      <c r="M263" s="19">
        <f>(('B) D RI'!S265*C263)-(L263*$M$4))/'B) D RI'!S265</f>
        <v>31862.802285067875</v>
      </c>
      <c r="N263" s="302">
        <f t="shared" si="47"/>
        <v>45.845758683550898</v>
      </c>
      <c r="O263" s="71">
        <f t="shared" si="48"/>
        <v>1.0118026442616366</v>
      </c>
      <c r="R263" s="17"/>
    </row>
    <row r="264" spans="1:18" x14ac:dyDescent="0.25">
      <c r="A264" s="355">
        <f>'A) Base RI'!A266</f>
        <v>5857</v>
      </c>
      <c r="B264" s="40" t="str">
        <f>'A) Base RI'!B266</f>
        <v>Gilly</v>
      </c>
      <c r="C264" s="353">
        <f>'B) D RI'!U266</f>
        <v>62540.44560606061</v>
      </c>
      <c r="D264" s="40">
        <f>'B) D RI'!AA266</f>
        <v>1230</v>
      </c>
      <c r="E264" s="231">
        <f t="shared" si="40"/>
        <v>50.845890736634644</v>
      </c>
      <c r="F264" s="71">
        <f t="shared" si="41"/>
        <v>1.0911392956238561</v>
      </c>
      <c r="G264" s="312">
        <f t="shared" si="42"/>
        <v>0</v>
      </c>
      <c r="H264" s="312">
        <f t="shared" si="43"/>
        <v>0</v>
      </c>
      <c r="I264" s="312">
        <f t="shared" si="44"/>
        <v>0</v>
      </c>
      <c r="J264" s="312">
        <f t="shared" si="45"/>
        <v>0</v>
      </c>
      <c r="K264" s="313">
        <f t="shared" si="46"/>
        <v>0</v>
      </c>
      <c r="L264" s="66">
        <f>K264*D264*'B) D RI'!S266</f>
        <v>0</v>
      </c>
      <c r="M264" s="19">
        <f>(('B) D RI'!S266*C264)-(L264*$M$4))/'B) D RI'!S266</f>
        <v>62540.44560606061</v>
      </c>
      <c r="N264" s="302">
        <f t="shared" si="47"/>
        <v>50.845890736634644</v>
      </c>
      <c r="O264" s="71">
        <f t="shared" si="48"/>
        <v>1.1221541135848541</v>
      </c>
      <c r="R264" s="17"/>
    </row>
    <row r="265" spans="1:18" x14ac:dyDescent="0.25">
      <c r="A265" s="355">
        <f>'A) Base RI'!A267</f>
        <v>5858</v>
      </c>
      <c r="B265" s="40" t="str">
        <f>'A) Base RI'!B267</f>
        <v>Luins</v>
      </c>
      <c r="C265" s="353">
        <f>'B) D RI'!U267</f>
        <v>35045.301944444444</v>
      </c>
      <c r="D265" s="40">
        <f>'B) D RI'!AA267</f>
        <v>625</v>
      </c>
      <c r="E265" s="231">
        <f t="shared" si="40"/>
        <v>56.072483111111111</v>
      </c>
      <c r="F265" s="71">
        <f t="shared" si="41"/>
        <v>1.2033005782639552</v>
      </c>
      <c r="G265" s="312">
        <f t="shared" si="42"/>
        <v>0.15380331590095153</v>
      </c>
      <c r="H265" s="312">
        <f t="shared" si="43"/>
        <v>0</v>
      </c>
      <c r="I265" s="312">
        <f t="shared" si="44"/>
        <v>0</v>
      </c>
      <c r="J265" s="312">
        <f t="shared" si="45"/>
        <v>0</v>
      </c>
      <c r="K265" s="313">
        <f t="shared" si="46"/>
        <v>5.5369193724342548E-2</v>
      </c>
      <c r="L265" s="66">
        <f>K265*D265*'B) D RI'!S267</f>
        <v>2076.3447646628456</v>
      </c>
      <c r="M265" s="19">
        <f>(('B) D RI'!S267*C265)-(L265*$M$4))/'B) D RI'!S267</f>
        <v>35027.999071405589</v>
      </c>
      <c r="N265" s="302">
        <f t="shared" si="47"/>
        <v>56.044798514248946</v>
      </c>
      <c r="O265" s="71">
        <f t="shared" si="48"/>
        <v>1.2368925057002818</v>
      </c>
      <c r="R265" s="17"/>
    </row>
    <row r="266" spans="1:18" x14ac:dyDescent="0.25">
      <c r="A266" s="355">
        <f>'A) Base RI'!A268</f>
        <v>5859</v>
      </c>
      <c r="B266" s="40" t="str">
        <f>'A) Base RI'!B268</f>
        <v>Mont-sur-Rolle</v>
      </c>
      <c r="C266" s="353">
        <f>'B) D RI'!U268</f>
        <v>130430.38093750003</v>
      </c>
      <c r="D266" s="40">
        <f>'B) D RI'!AA268</f>
        <v>2660</v>
      </c>
      <c r="E266" s="231">
        <f t="shared" si="40"/>
        <v>49.033977796052639</v>
      </c>
      <c r="F266" s="71">
        <f t="shared" si="41"/>
        <v>1.0522561256945715</v>
      </c>
      <c r="G266" s="312">
        <f t="shared" si="42"/>
        <v>0</v>
      </c>
      <c r="H266" s="312">
        <f t="shared" si="43"/>
        <v>0</v>
      </c>
      <c r="I266" s="312">
        <f t="shared" si="44"/>
        <v>0</v>
      </c>
      <c r="J266" s="312">
        <f t="shared" si="45"/>
        <v>0</v>
      </c>
      <c r="K266" s="313">
        <f t="shared" si="46"/>
        <v>0</v>
      </c>
      <c r="L266" s="66">
        <f>K266*D266*'B) D RI'!S268</f>
        <v>0</v>
      </c>
      <c r="M266" s="19">
        <f>(('B) D RI'!S268*C266)-(L266*$M$4))/'B) D RI'!S268</f>
        <v>130430.38093750003</v>
      </c>
      <c r="N266" s="302">
        <f t="shared" si="47"/>
        <v>49.033977796052639</v>
      </c>
      <c r="O266" s="71">
        <f t="shared" si="48"/>
        <v>1.082165718647232</v>
      </c>
      <c r="R266" s="17"/>
    </row>
    <row r="267" spans="1:18" x14ac:dyDescent="0.25">
      <c r="A267" s="355">
        <f>'A) Base RI'!A269</f>
        <v>5860</v>
      </c>
      <c r="B267" s="40" t="str">
        <f>'A) Base RI'!B269</f>
        <v>Perroy</v>
      </c>
      <c r="C267" s="353">
        <f>'B) D RI'!U269</f>
        <v>92749.778038461533</v>
      </c>
      <c r="D267" s="40">
        <f>'B) D RI'!AA269</f>
        <v>1453</v>
      </c>
      <c r="E267" s="231">
        <f t="shared" si="40"/>
        <v>63.833295277674836</v>
      </c>
      <c r="F267" s="71">
        <f t="shared" si="41"/>
        <v>1.3698455438100514</v>
      </c>
      <c r="G267" s="312">
        <f t="shared" si="42"/>
        <v>7.9146154824646757</v>
      </c>
      <c r="H267" s="312">
        <f t="shared" si="43"/>
        <v>0</v>
      </c>
      <c r="I267" s="312">
        <f t="shared" si="44"/>
        <v>0</v>
      </c>
      <c r="J267" s="312">
        <f t="shared" si="45"/>
        <v>0</v>
      </c>
      <c r="K267" s="313">
        <f t="shared" si="46"/>
        <v>2.8492615736872833</v>
      </c>
      <c r="L267" s="66">
        <f>K267*D267*'B) D RI'!S269</f>
        <v>248398.62399405736</v>
      </c>
      <c r="M267" s="19">
        <f>(('B) D RI'!S269*C267)-(L267*$M$4))/'B) D RI'!S269</f>
        <v>90679.789505177716</v>
      </c>
      <c r="N267" s="302">
        <f t="shared" si="47"/>
        <v>62.408664490831185</v>
      </c>
      <c r="O267" s="71">
        <f t="shared" si="48"/>
        <v>1.3773411885823217</v>
      </c>
      <c r="R267" s="17"/>
    </row>
    <row r="268" spans="1:18" x14ac:dyDescent="0.25">
      <c r="A268" s="355">
        <f>'A) Base RI'!A270</f>
        <v>5861</v>
      </c>
      <c r="B268" s="40" t="str">
        <f>'A) Base RI'!B270</f>
        <v>Rolle</v>
      </c>
      <c r="C268" s="353">
        <f>'B) D RI'!U270</f>
        <v>834788.40991596645</v>
      </c>
      <c r="D268" s="40">
        <f>'B) D RI'!AA270</f>
        <v>6142</v>
      </c>
      <c r="E268" s="231">
        <f t="shared" si="40"/>
        <v>135.91475250992616</v>
      </c>
      <c r="F268" s="71">
        <f t="shared" si="41"/>
        <v>2.9166944500338845</v>
      </c>
      <c r="G268" s="312">
        <f t="shared" si="42"/>
        <v>79.996072714716007</v>
      </c>
      <c r="H268" s="312">
        <f t="shared" si="43"/>
        <v>66.016402765913455</v>
      </c>
      <c r="I268" s="312">
        <f t="shared" si="44"/>
        <v>42.716952851242553</v>
      </c>
      <c r="J268" s="312">
        <f t="shared" si="45"/>
        <v>0</v>
      </c>
      <c r="K268" s="313">
        <f t="shared" si="46"/>
        <v>39.671921739013364</v>
      </c>
      <c r="L268" s="66">
        <f>K268*D268*'B) D RI'!S270</f>
        <v>14498064.127600694</v>
      </c>
      <c r="M268" s="19">
        <f>(('B) D RI'!S270*C268)-(L268*$M$4))/'B) D RI'!S270</f>
        <v>712955.93825545628</v>
      </c>
      <c r="N268" s="302">
        <f t="shared" si="47"/>
        <v>116.07879164041945</v>
      </c>
      <c r="O268" s="71">
        <f t="shared" si="48"/>
        <v>2.5618253835683973</v>
      </c>
      <c r="R268" s="17"/>
    </row>
    <row r="269" spans="1:18" x14ac:dyDescent="0.25">
      <c r="A269" s="355">
        <f>'A) Base RI'!A271</f>
        <v>5862</v>
      </c>
      <c r="B269" s="40" t="str">
        <f>'A) Base RI'!B271</f>
        <v>Tartegnin</v>
      </c>
      <c r="C269" s="353">
        <f>'B) D RI'!U271</f>
        <v>8301.4215873015874</v>
      </c>
      <c r="D269" s="40">
        <f>'B) D RI'!AA271</f>
        <v>236</v>
      </c>
      <c r="E269" s="231">
        <f t="shared" si="40"/>
        <v>35.175515200430453</v>
      </c>
      <c r="F269" s="71">
        <f t="shared" si="41"/>
        <v>0.75485720326559258</v>
      </c>
      <c r="G269" s="312">
        <f t="shared" si="42"/>
        <v>0</v>
      </c>
      <c r="H269" s="312">
        <f t="shared" si="43"/>
        <v>0</v>
      </c>
      <c r="I269" s="312">
        <f t="shared" si="44"/>
        <v>0</v>
      </c>
      <c r="J269" s="312">
        <f t="shared" si="45"/>
        <v>0</v>
      </c>
      <c r="K269" s="313">
        <f t="shared" si="46"/>
        <v>0</v>
      </c>
      <c r="L269" s="66">
        <f>K269*D269*'B) D RI'!S271</f>
        <v>0</v>
      </c>
      <c r="M269" s="19">
        <f>(('B) D RI'!S271*C269)-(L269*$M$4))/'B) D RI'!S271</f>
        <v>8301.4215873015874</v>
      </c>
      <c r="N269" s="302">
        <f t="shared" si="47"/>
        <v>35.175515200430453</v>
      </c>
      <c r="O269" s="71">
        <f t="shared" si="48"/>
        <v>0.77631345439661315</v>
      </c>
      <c r="R269" s="17"/>
    </row>
    <row r="270" spans="1:18" x14ac:dyDescent="0.25">
      <c r="A270" s="355">
        <f>'A) Base RI'!A272</f>
        <v>5863</v>
      </c>
      <c r="B270" s="40" t="str">
        <f>'A) Base RI'!B272</f>
        <v>Vinzel</v>
      </c>
      <c r="C270" s="353">
        <f>'B) D RI'!U272</f>
        <v>24528.370999999999</v>
      </c>
      <c r="D270" s="40">
        <f>'B) D RI'!AA272</f>
        <v>352</v>
      </c>
      <c r="E270" s="231">
        <f t="shared" si="40"/>
        <v>69.682872159090905</v>
      </c>
      <c r="F270" s="71">
        <f t="shared" si="41"/>
        <v>1.4953759083216356</v>
      </c>
      <c r="G270" s="312">
        <f t="shared" si="42"/>
        <v>13.764192363880746</v>
      </c>
      <c r="H270" s="312">
        <f t="shared" si="43"/>
        <v>0</v>
      </c>
      <c r="I270" s="312">
        <f t="shared" si="44"/>
        <v>0</v>
      </c>
      <c r="J270" s="312">
        <f t="shared" si="45"/>
        <v>0</v>
      </c>
      <c r="K270" s="313">
        <f t="shared" si="46"/>
        <v>4.9551092509970678</v>
      </c>
      <c r="L270" s="66">
        <f>K270*D270*'B) D RI'!S272</f>
        <v>122093.89194456776</v>
      </c>
      <c r="M270" s="19">
        <f>(('B) D RI'!S272*C270)-(L270*$M$4))/'B) D RI'!S272</f>
        <v>23656.271771824515</v>
      </c>
      <c r="N270" s="302">
        <f t="shared" si="47"/>
        <v>67.205317533592378</v>
      </c>
      <c r="O270" s="71">
        <f t="shared" si="48"/>
        <v>1.4832019349551966</v>
      </c>
      <c r="R270" s="17"/>
    </row>
    <row r="271" spans="1:18" x14ac:dyDescent="0.25">
      <c r="A271" s="355">
        <f>'A) Base RI'!A273</f>
        <v>5871</v>
      </c>
      <c r="B271" s="40" t="str">
        <f>'A) Base RI'!B273</f>
        <v>L'Abbaye</v>
      </c>
      <c r="C271" s="353">
        <f>'B) D RI'!U273</f>
        <v>48996.378091415252</v>
      </c>
      <c r="D271" s="40">
        <f>'B) D RI'!AA273</f>
        <v>1439</v>
      </c>
      <c r="E271" s="231">
        <f t="shared" si="40"/>
        <v>34.048907638231583</v>
      </c>
      <c r="F271" s="71">
        <f t="shared" si="41"/>
        <v>0.73068050453826594</v>
      </c>
      <c r="G271" s="312">
        <f t="shared" si="42"/>
        <v>0</v>
      </c>
      <c r="H271" s="312">
        <f t="shared" si="43"/>
        <v>0</v>
      </c>
      <c r="I271" s="312">
        <f t="shared" si="44"/>
        <v>0</v>
      </c>
      <c r="J271" s="312">
        <f t="shared" si="45"/>
        <v>0</v>
      </c>
      <c r="K271" s="313">
        <f t="shared" si="46"/>
        <v>0</v>
      </c>
      <c r="L271" s="66">
        <f>K271*D271*'B) D RI'!S273</f>
        <v>0</v>
      </c>
      <c r="M271" s="19">
        <f>(('B) D RI'!S273*C271)-(L271*$M$4))/'B) D RI'!S273</f>
        <v>48996.378091415252</v>
      </c>
      <c r="N271" s="302">
        <f t="shared" si="47"/>
        <v>34.048907638231583</v>
      </c>
      <c r="O271" s="71">
        <f t="shared" si="48"/>
        <v>0.75144955109977529</v>
      </c>
      <c r="R271" s="17"/>
    </row>
    <row r="272" spans="1:18" x14ac:dyDescent="0.25">
      <c r="A272" s="355">
        <f>'A) Base RI'!A274</f>
        <v>5872</v>
      </c>
      <c r="B272" s="40" t="str">
        <f>'A) Base RI'!B274</f>
        <v>Le Chenit</v>
      </c>
      <c r="C272" s="353">
        <f>'B) D RI'!U274</f>
        <v>315523.99059233442</v>
      </c>
      <c r="D272" s="40">
        <f>'B) D RI'!AA274</f>
        <v>4608</v>
      </c>
      <c r="E272" s="231">
        <f t="shared" si="40"/>
        <v>68.473088236183685</v>
      </c>
      <c r="F272" s="71">
        <f t="shared" si="41"/>
        <v>1.4694142670095489</v>
      </c>
      <c r="G272" s="312">
        <f t="shared" si="42"/>
        <v>12.554408440973525</v>
      </c>
      <c r="H272" s="312">
        <f t="shared" si="43"/>
        <v>0</v>
      </c>
      <c r="I272" s="312">
        <f t="shared" si="44"/>
        <v>0</v>
      </c>
      <c r="J272" s="312">
        <f t="shared" si="45"/>
        <v>0</v>
      </c>
      <c r="K272" s="313">
        <f t="shared" si="46"/>
        <v>4.5195870387504691</v>
      </c>
      <c r="L272" s="66">
        <f>K272*D272*'B) D RI'!S274</f>
        <v>1451590.1180969828</v>
      </c>
      <c r="M272" s="19">
        <f>(('B) D RI'!S274*C272)-(L272*$M$4))/'B) D RI'!S274</f>
        <v>305110.86205505329</v>
      </c>
      <c r="N272" s="302">
        <f t="shared" si="47"/>
        <v>66.213294716808434</v>
      </c>
      <c r="O272" s="71">
        <f t="shared" si="48"/>
        <v>1.461308278093324</v>
      </c>
      <c r="R272" s="17"/>
    </row>
    <row r="273" spans="1:18" x14ac:dyDescent="0.25">
      <c r="A273" s="355">
        <f>'A) Base RI'!A275</f>
        <v>5873</v>
      </c>
      <c r="B273" s="40" t="str">
        <f>'A) Base RI'!B275</f>
        <v>Le Lieu</v>
      </c>
      <c r="C273" s="353">
        <f>'B) D RI'!U275</f>
        <v>30587.067025641027</v>
      </c>
      <c r="D273" s="40">
        <f>'B) D RI'!AA275</f>
        <v>873</v>
      </c>
      <c r="E273" s="231">
        <f t="shared" si="40"/>
        <v>35.036731988134051</v>
      </c>
      <c r="F273" s="71">
        <f t="shared" si="41"/>
        <v>0.75187895243124525</v>
      </c>
      <c r="G273" s="312">
        <f t="shared" si="42"/>
        <v>0</v>
      </c>
      <c r="H273" s="312">
        <f t="shared" si="43"/>
        <v>0</v>
      </c>
      <c r="I273" s="312">
        <f t="shared" si="44"/>
        <v>0</v>
      </c>
      <c r="J273" s="312">
        <f t="shared" si="45"/>
        <v>0</v>
      </c>
      <c r="K273" s="313">
        <f t="shared" si="46"/>
        <v>0</v>
      </c>
      <c r="L273" s="66">
        <f>K273*D273*'B) D RI'!S275</f>
        <v>0</v>
      </c>
      <c r="M273" s="19">
        <f>(('B) D RI'!S275*C273)-(L273*$M$4))/'B) D RI'!S275</f>
        <v>30587.067025641027</v>
      </c>
      <c r="N273" s="302">
        <f t="shared" si="47"/>
        <v>35.036731988134051</v>
      </c>
      <c r="O273" s="71">
        <f t="shared" si="48"/>
        <v>0.77325054901097268</v>
      </c>
      <c r="R273" s="17"/>
    </row>
    <row r="274" spans="1:18" x14ac:dyDescent="0.25">
      <c r="A274" s="355">
        <f>'A) Base RI'!A276</f>
        <v>5881</v>
      </c>
      <c r="B274" s="40" t="str">
        <f>'A) Base RI'!B276</f>
        <v>Blonay</v>
      </c>
      <c r="C274" s="353">
        <f>'B) D RI'!U276</f>
        <v>332407.86157142854</v>
      </c>
      <c r="D274" s="40">
        <f>'B) D RI'!AA276</f>
        <v>6116</v>
      </c>
      <c r="E274" s="231">
        <f t="shared" si="40"/>
        <v>54.350533285060258</v>
      </c>
      <c r="F274" s="71">
        <f t="shared" si="41"/>
        <v>1.1663479928519149</v>
      </c>
      <c r="G274" s="312">
        <f t="shared" si="42"/>
        <v>0</v>
      </c>
      <c r="H274" s="312">
        <f t="shared" si="43"/>
        <v>0</v>
      </c>
      <c r="I274" s="312">
        <f t="shared" si="44"/>
        <v>0</v>
      </c>
      <c r="J274" s="312">
        <f t="shared" si="45"/>
        <v>0</v>
      </c>
      <c r="K274" s="313">
        <f t="shared" si="46"/>
        <v>0</v>
      </c>
      <c r="L274" s="66">
        <f>K274*D274*'B) D RI'!S276</f>
        <v>0</v>
      </c>
      <c r="M274" s="19">
        <f>(('B) D RI'!S276*C274)-(L274*$M$4))/'B) D RI'!S276</f>
        <v>332407.86157142854</v>
      </c>
      <c r="N274" s="302">
        <f t="shared" si="47"/>
        <v>54.350533285060258</v>
      </c>
      <c r="O274" s="71">
        <f t="shared" si="48"/>
        <v>1.1995005617517409</v>
      </c>
      <c r="R274" s="17"/>
    </row>
    <row r="275" spans="1:18" x14ac:dyDescent="0.25">
      <c r="A275" s="355">
        <f>'A) Base RI'!A277</f>
        <v>5882</v>
      </c>
      <c r="B275" s="40" t="str">
        <f>'A) Base RI'!B277</f>
        <v>Chardonne</v>
      </c>
      <c r="C275" s="353">
        <f>'B) D RI'!U277</f>
        <v>151089.46617647054</v>
      </c>
      <c r="D275" s="40">
        <f>'B) D RI'!AA277</f>
        <v>2916</v>
      </c>
      <c r="E275" s="231">
        <f t="shared" si="40"/>
        <v>51.813945876704572</v>
      </c>
      <c r="F275" s="71">
        <f t="shared" si="41"/>
        <v>1.1119135015303308</v>
      </c>
      <c r="G275" s="312">
        <f t="shared" si="42"/>
        <v>0</v>
      </c>
      <c r="H275" s="312">
        <f t="shared" si="43"/>
        <v>0</v>
      </c>
      <c r="I275" s="312">
        <f t="shared" si="44"/>
        <v>0</v>
      </c>
      <c r="J275" s="312">
        <f t="shared" si="45"/>
        <v>0</v>
      </c>
      <c r="K275" s="313">
        <f t="shared" si="46"/>
        <v>0</v>
      </c>
      <c r="L275" s="66">
        <f>K275*D275*'B) D RI'!S277</f>
        <v>0</v>
      </c>
      <c r="M275" s="19">
        <f>(('B) D RI'!S277*C275)-(L275*$M$4))/'B) D RI'!S277</f>
        <v>151089.46617647054</v>
      </c>
      <c r="N275" s="302">
        <f t="shared" si="47"/>
        <v>51.813945876704572</v>
      </c>
      <c r="O275" s="71">
        <f t="shared" si="48"/>
        <v>1.1435188107485472</v>
      </c>
      <c r="R275" s="17"/>
    </row>
    <row r="276" spans="1:18" x14ac:dyDescent="0.25">
      <c r="A276" s="355">
        <f>'A) Base RI'!A278</f>
        <v>5883</v>
      </c>
      <c r="B276" s="40" t="str">
        <f>'A) Base RI'!B278</f>
        <v>Corseaux</v>
      </c>
      <c r="C276" s="353">
        <f>'B) D RI'!U278</f>
        <v>151117.63015625</v>
      </c>
      <c r="D276" s="40">
        <f>'B) D RI'!AA278</f>
        <v>2212</v>
      </c>
      <c r="E276" s="231">
        <f t="shared" si="40"/>
        <v>68.317192656532555</v>
      </c>
      <c r="F276" s="71">
        <f t="shared" si="41"/>
        <v>1.466068789321834</v>
      </c>
      <c r="G276" s="312">
        <f t="shared" si="42"/>
        <v>12.398512861322395</v>
      </c>
      <c r="H276" s="312">
        <f t="shared" si="43"/>
        <v>0</v>
      </c>
      <c r="I276" s="312">
        <f t="shared" si="44"/>
        <v>0</v>
      </c>
      <c r="J276" s="312">
        <f t="shared" si="45"/>
        <v>0</v>
      </c>
      <c r="K276" s="313">
        <f t="shared" si="46"/>
        <v>4.4634646300760616</v>
      </c>
      <c r="L276" s="66">
        <f>K276*D276*'B) D RI'!S278</f>
        <v>631883.76075060794</v>
      </c>
      <c r="M276" s="19">
        <f>(('B) D RI'!S278*C276)-(L276*$M$4))/'B) D RI'!S278</f>
        <v>146181.03827538589</v>
      </c>
      <c r="N276" s="302">
        <f t="shared" si="47"/>
        <v>66.085460341494525</v>
      </c>
      <c r="O276" s="71">
        <f t="shared" si="48"/>
        <v>1.4584870103755634</v>
      </c>
      <c r="R276" s="17"/>
    </row>
    <row r="277" spans="1:18" x14ac:dyDescent="0.25">
      <c r="A277" s="355">
        <f>'A) Base RI'!A279</f>
        <v>5884</v>
      </c>
      <c r="B277" s="40" t="str">
        <f>'A) Base RI'!B279</f>
        <v>Corsier-sur-Vevey</v>
      </c>
      <c r="C277" s="353">
        <f>'B) D RI'!U279</f>
        <v>116440.6211111111</v>
      </c>
      <c r="D277" s="40">
        <f>'B) D RI'!AA279</f>
        <v>3403</v>
      </c>
      <c r="E277" s="231">
        <f t="shared" si="40"/>
        <v>34.217049988572171</v>
      </c>
      <c r="F277" s="71">
        <f t="shared" si="41"/>
        <v>0.73428879466864183</v>
      </c>
      <c r="G277" s="312">
        <f t="shared" si="42"/>
        <v>0</v>
      </c>
      <c r="H277" s="312">
        <f t="shared" si="43"/>
        <v>0</v>
      </c>
      <c r="I277" s="312">
        <f t="shared" si="44"/>
        <v>0</v>
      </c>
      <c r="J277" s="312">
        <f t="shared" si="45"/>
        <v>0</v>
      </c>
      <c r="K277" s="313">
        <f t="shared" si="46"/>
        <v>0</v>
      </c>
      <c r="L277" s="66">
        <f>K277*D277*'B) D RI'!S279</f>
        <v>0</v>
      </c>
      <c r="M277" s="19">
        <f>(('B) D RI'!S279*C277)-(L277*$M$4))/'B) D RI'!S279</f>
        <v>116440.6211111111</v>
      </c>
      <c r="N277" s="302">
        <f t="shared" si="47"/>
        <v>34.217049988572171</v>
      </c>
      <c r="O277" s="71">
        <f t="shared" si="48"/>
        <v>0.75516040417696551</v>
      </c>
      <c r="R277" s="17"/>
    </row>
    <row r="278" spans="1:18" x14ac:dyDescent="0.25">
      <c r="A278" s="355">
        <f>'A) Base RI'!A280</f>
        <v>5885</v>
      </c>
      <c r="B278" s="40" t="str">
        <f>'A) Base RI'!B280</f>
        <v>Jongny</v>
      </c>
      <c r="C278" s="353">
        <f>'B) D RI'!U280</f>
        <v>81843.123028169022</v>
      </c>
      <c r="D278" s="40">
        <f>'B) D RI'!AA280</f>
        <v>1488</v>
      </c>
      <c r="E278" s="231">
        <f t="shared" si="40"/>
        <v>55.002098809253376</v>
      </c>
      <c r="F278" s="71">
        <f t="shared" si="41"/>
        <v>1.1803304157541581</v>
      </c>
      <c r="G278" s="312">
        <f t="shared" si="42"/>
        <v>0</v>
      </c>
      <c r="H278" s="312">
        <f t="shared" si="43"/>
        <v>0</v>
      </c>
      <c r="I278" s="312">
        <f t="shared" si="44"/>
        <v>0</v>
      </c>
      <c r="J278" s="312">
        <f t="shared" si="45"/>
        <v>0</v>
      </c>
      <c r="K278" s="313">
        <f t="shared" si="46"/>
        <v>0</v>
      </c>
      <c r="L278" s="66">
        <f>K278*D278*'B) D RI'!S280</f>
        <v>0</v>
      </c>
      <c r="M278" s="19">
        <f>(('B) D RI'!S280*C278)-(L278*$M$4))/'B) D RI'!S280</f>
        <v>81843.123028169022</v>
      </c>
      <c r="N278" s="302">
        <f t="shared" si="47"/>
        <v>55.002098809253376</v>
      </c>
      <c r="O278" s="71">
        <f t="shared" si="48"/>
        <v>1.2138804245617081</v>
      </c>
      <c r="R278" s="17"/>
    </row>
    <row r="279" spans="1:18" x14ac:dyDescent="0.25">
      <c r="A279" s="355">
        <f>'A) Base RI'!A281</f>
        <v>5886</v>
      </c>
      <c r="B279" s="40" t="str">
        <f>'A) Base RI'!B281</f>
        <v>Montreux</v>
      </c>
      <c r="C279" s="353">
        <f>'B) D RI'!U281</f>
        <v>1175239.0178974359</v>
      </c>
      <c r="D279" s="40">
        <f>'B) D RI'!AA281</f>
        <v>26402</v>
      </c>
      <c r="E279" s="231">
        <f t="shared" si="40"/>
        <v>44.513257249353686</v>
      </c>
      <c r="F279" s="71">
        <f t="shared" si="41"/>
        <v>0.95524266479195163</v>
      </c>
      <c r="G279" s="312">
        <f t="shared" si="42"/>
        <v>0</v>
      </c>
      <c r="H279" s="312">
        <f t="shared" si="43"/>
        <v>0</v>
      </c>
      <c r="I279" s="312">
        <f t="shared" si="44"/>
        <v>0</v>
      </c>
      <c r="J279" s="312">
        <f t="shared" si="45"/>
        <v>0</v>
      </c>
      <c r="K279" s="313">
        <f t="shared" si="46"/>
        <v>0</v>
      </c>
      <c r="L279" s="66">
        <f>K279*D279*'B) D RI'!S281</f>
        <v>0</v>
      </c>
      <c r="M279" s="19">
        <f>(('B) D RI'!S281*C279)-(L279*$M$4))/'B) D RI'!S281</f>
        <v>1175239.0178974359</v>
      </c>
      <c r="N279" s="302">
        <f t="shared" si="47"/>
        <v>44.513257249353686</v>
      </c>
      <c r="O279" s="71">
        <f t="shared" si="48"/>
        <v>0.98239472271519046</v>
      </c>
      <c r="R279" s="17"/>
    </row>
    <row r="280" spans="1:18" x14ac:dyDescent="0.25">
      <c r="A280" s="355">
        <f>'A) Base RI'!A282</f>
        <v>5888</v>
      </c>
      <c r="B280" s="40" t="str">
        <f>'A) Base RI'!B282</f>
        <v>Saint-Légier-La Chiésaz</v>
      </c>
      <c r="C280" s="353">
        <f>'B) D RI'!U282</f>
        <v>307135.62007462693</v>
      </c>
      <c r="D280" s="40">
        <f>'B) D RI'!AA282</f>
        <v>5130</v>
      </c>
      <c r="E280" s="231">
        <f t="shared" si="40"/>
        <v>59.870491242617334</v>
      </c>
      <c r="F280" s="71">
        <f t="shared" si="41"/>
        <v>1.2848048229009656</v>
      </c>
      <c r="G280" s="312">
        <f t="shared" si="42"/>
        <v>3.9518114474071737</v>
      </c>
      <c r="H280" s="312">
        <f t="shared" si="43"/>
        <v>0</v>
      </c>
      <c r="I280" s="312">
        <f t="shared" si="44"/>
        <v>0</v>
      </c>
      <c r="J280" s="312">
        <f t="shared" si="45"/>
        <v>0</v>
      </c>
      <c r="K280" s="313">
        <f t="shared" si="46"/>
        <v>1.4226521210665826</v>
      </c>
      <c r="L280" s="66">
        <f>K280*D280*'B) D RI'!S282</f>
        <v>488979.76053179509</v>
      </c>
      <c r="M280" s="19">
        <f>(('B) D RI'!S282*C280)-(L280*$M$4))/'B) D RI'!S282</f>
        <v>303486.51738409116</v>
      </c>
      <c r="N280" s="302">
        <f t="shared" si="47"/>
        <v>59.159165182084045</v>
      </c>
      <c r="O280" s="71">
        <f t="shared" si="48"/>
        <v>1.3056256779761821</v>
      </c>
      <c r="R280" s="17"/>
    </row>
    <row r="281" spans="1:18" x14ac:dyDescent="0.25">
      <c r="A281" s="355">
        <f>'A) Base RI'!A283</f>
        <v>5889</v>
      </c>
      <c r="B281" s="40" t="str">
        <f>'A) Base RI'!B283</f>
        <v>La Tour-de-Peilz</v>
      </c>
      <c r="C281" s="353">
        <f>'B) D RI'!U283</f>
        <v>618611.02559895837</v>
      </c>
      <c r="D281" s="40">
        <f>'B) D RI'!AA283</f>
        <v>11637</v>
      </c>
      <c r="E281" s="231">
        <f t="shared" si="40"/>
        <v>53.158977880807626</v>
      </c>
      <c r="F281" s="71">
        <f t="shared" si="41"/>
        <v>1.1407775307033141</v>
      </c>
      <c r="G281" s="312">
        <f t="shared" si="42"/>
        <v>0</v>
      </c>
      <c r="H281" s="312">
        <f t="shared" si="43"/>
        <v>0</v>
      </c>
      <c r="I281" s="312">
        <f t="shared" si="44"/>
        <v>0</v>
      </c>
      <c r="J281" s="312">
        <f t="shared" si="45"/>
        <v>0</v>
      </c>
      <c r="K281" s="313">
        <f t="shared" si="46"/>
        <v>0</v>
      </c>
      <c r="L281" s="66">
        <f>K281*D281*'B) D RI'!S283</f>
        <v>0</v>
      </c>
      <c r="M281" s="19">
        <f>(('B) D RI'!S283*C281)-(L281*$M$4))/'B) D RI'!S283</f>
        <v>618611.02559895837</v>
      </c>
      <c r="N281" s="302">
        <f t="shared" si="47"/>
        <v>53.158977880807626</v>
      </c>
      <c r="O281" s="71">
        <f t="shared" si="48"/>
        <v>1.1732032783513549</v>
      </c>
      <c r="R281" s="17"/>
    </row>
    <row r="282" spans="1:18" x14ac:dyDescent="0.25">
      <c r="A282" s="355">
        <f>'A) Base RI'!A284</f>
        <v>5890</v>
      </c>
      <c r="B282" s="40" t="str">
        <f>'A) Base RI'!B284</f>
        <v>Vevey</v>
      </c>
      <c r="C282" s="353">
        <f>'B) D RI'!U284</f>
        <v>909212.90865296812</v>
      </c>
      <c r="D282" s="40">
        <f>'B) D RI'!AA284</f>
        <v>19605</v>
      </c>
      <c r="E282" s="231">
        <f t="shared" si="40"/>
        <v>46.376582945828517</v>
      </c>
      <c r="F282" s="71">
        <f t="shared" si="41"/>
        <v>0.99522913879238628</v>
      </c>
      <c r="G282" s="312">
        <f t="shared" si="42"/>
        <v>0</v>
      </c>
      <c r="H282" s="312">
        <f t="shared" si="43"/>
        <v>0</v>
      </c>
      <c r="I282" s="312">
        <f t="shared" si="44"/>
        <v>0</v>
      </c>
      <c r="J282" s="312">
        <f t="shared" si="45"/>
        <v>0</v>
      </c>
      <c r="K282" s="313">
        <f t="shared" si="46"/>
        <v>0</v>
      </c>
      <c r="L282" s="66">
        <f>K282*D282*'B) D RI'!S284</f>
        <v>0</v>
      </c>
      <c r="M282" s="19">
        <f>(('B) D RI'!S284*C282)-(L282*$M$4))/'B) D RI'!S284</f>
        <v>909212.90865296812</v>
      </c>
      <c r="N282" s="302">
        <f t="shared" si="47"/>
        <v>46.376582945828517</v>
      </c>
      <c r="O282" s="71">
        <f t="shared" si="48"/>
        <v>1.0235177823165649</v>
      </c>
      <c r="R282" s="17"/>
    </row>
    <row r="283" spans="1:18" x14ac:dyDescent="0.25">
      <c r="A283" s="355">
        <f>'A) Base RI'!A285</f>
        <v>5891</v>
      </c>
      <c r="B283" s="40" t="str">
        <f>'A) Base RI'!B285</f>
        <v>Veytaux</v>
      </c>
      <c r="C283" s="353">
        <f>'B) D RI'!U285</f>
        <v>39510.481835748789</v>
      </c>
      <c r="D283" s="40">
        <f>'B) D RI'!AA285</f>
        <v>850</v>
      </c>
      <c r="E283" s="231">
        <f t="shared" si="40"/>
        <v>46.482919806763284</v>
      </c>
      <c r="F283" s="71">
        <f t="shared" si="41"/>
        <v>0.99751109955378192</v>
      </c>
      <c r="G283" s="312">
        <f t="shared" si="42"/>
        <v>0</v>
      </c>
      <c r="H283" s="312">
        <f t="shared" si="43"/>
        <v>0</v>
      </c>
      <c r="I283" s="312">
        <f t="shared" si="44"/>
        <v>0</v>
      </c>
      <c r="J283" s="312">
        <f t="shared" si="45"/>
        <v>0</v>
      </c>
      <c r="K283" s="313">
        <f t="shared" si="46"/>
        <v>0</v>
      </c>
      <c r="L283" s="66">
        <f>K283*D283*'B) D RI'!S285</f>
        <v>0</v>
      </c>
      <c r="M283" s="19">
        <f>(('B) D RI'!S285*C283)-(L283*$M$4))/'B) D RI'!S285</f>
        <v>39510.481835748789</v>
      </c>
      <c r="N283" s="302">
        <f t="shared" si="47"/>
        <v>46.482919806763284</v>
      </c>
      <c r="O283" s="71">
        <f t="shared" si="48"/>
        <v>1.0258646061049752</v>
      </c>
      <c r="R283" s="17"/>
    </row>
    <row r="284" spans="1:18" x14ac:dyDescent="0.25">
      <c r="A284" s="355">
        <f>'A) Base RI'!A286</f>
        <v>5902</v>
      </c>
      <c r="B284" s="40" t="str">
        <f>'A) Base RI'!B286</f>
        <v>Belmont-sur-Yverdon</v>
      </c>
      <c r="C284" s="353">
        <f>'B) D RI'!U286</f>
        <v>9227.1448684210518</v>
      </c>
      <c r="D284" s="40">
        <f>'B) D RI'!AA286</f>
        <v>368</v>
      </c>
      <c r="E284" s="231">
        <f t="shared" si="40"/>
        <v>25.073763229405031</v>
      </c>
      <c r="F284" s="71">
        <f t="shared" si="41"/>
        <v>0.53807629195607964</v>
      </c>
      <c r="G284" s="312">
        <f t="shared" si="42"/>
        <v>0</v>
      </c>
      <c r="H284" s="312">
        <f t="shared" si="43"/>
        <v>0</v>
      </c>
      <c r="I284" s="312">
        <f t="shared" si="44"/>
        <v>0</v>
      </c>
      <c r="J284" s="312">
        <f t="shared" si="45"/>
        <v>0</v>
      </c>
      <c r="K284" s="313">
        <f t="shared" si="46"/>
        <v>0</v>
      </c>
      <c r="L284" s="66">
        <f>K284*D284*'B) D RI'!S286</f>
        <v>0</v>
      </c>
      <c r="M284" s="19">
        <f>(('B) D RI'!S286*C284)-(L284*$M$4))/'B) D RI'!S286</f>
        <v>9227.1448684210518</v>
      </c>
      <c r="N284" s="302">
        <f t="shared" si="47"/>
        <v>25.073763229405031</v>
      </c>
      <c r="O284" s="71">
        <f t="shared" si="48"/>
        <v>0.55337070790377507</v>
      </c>
      <c r="R284" s="17"/>
    </row>
    <row r="285" spans="1:18" x14ac:dyDescent="0.25">
      <c r="A285" s="355">
        <f>'A) Base RI'!A287</f>
        <v>5903</v>
      </c>
      <c r="B285" s="40" t="str">
        <f>'A) Base RI'!B287</f>
        <v>Bioley-Magnoux</v>
      </c>
      <c r="C285" s="353">
        <f>'B) D RI'!U287</f>
        <v>5953.911158301159</v>
      </c>
      <c r="D285" s="40">
        <f>'B) D RI'!AA287</f>
        <v>230</v>
      </c>
      <c r="E285" s="231">
        <f t="shared" si="40"/>
        <v>25.886570253483299</v>
      </c>
      <c r="F285" s="71">
        <f t="shared" si="41"/>
        <v>0.5555189145728151</v>
      </c>
      <c r="G285" s="312">
        <f t="shared" si="42"/>
        <v>0</v>
      </c>
      <c r="H285" s="312">
        <f t="shared" si="43"/>
        <v>0</v>
      </c>
      <c r="I285" s="312">
        <f t="shared" si="44"/>
        <v>0</v>
      </c>
      <c r="J285" s="312">
        <f t="shared" si="45"/>
        <v>0</v>
      </c>
      <c r="K285" s="313">
        <f t="shared" si="46"/>
        <v>0</v>
      </c>
      <c r="L285" s="66">
        <f>K285*D285*'B) D RI'!S287</f>
        <v>0</v>
      </c>
      <c r="M285" s="19">
        <f>(('B) D RI'!S287*C285)-(L285*$M$4))/'B) D RI'!S287</f>
        <v>5953.911158301159</v>
      </c>
      <c r="N285" s="302">
        <f t="shared" si="47"/>
        <v>25.886570253483299</v>
      </c>
      <c r="O285" s="71">
        <f t="shared" si="48"/>
        <v>0.5713091240157957</v>
      </c>
      <c r="R285" s="17"/>
    </row>
    <row r="286" spans="1:18" x14ac:dyDescent="0.25">
      <c r="A286" s="355">
        <f>'A) Base RI'!A288</f>
        <v>5904</v>
      </c>
      <c r="B286" s="40" t="str">
        <f>'A) Base RI'!B288</f>
        <v>Chamblon</v>
      </c>
      <c r="C286" s="353">
        <f>'B) D RI'!U288</f>
        <v>22914.009848484849</v>
      </c>
      <c r="D286" s="40">
        <f>'B) D RI'!AA288</f>
        <v>548</v>
      </c>
      <c r="E286" s="231">
        <f t="shared" si="40"/>
        <v>41.813886584826371</v>
      </c>
      <c r="F286" s="71">
        <f t="shared" si="41"/>
        <v>0.89731488807590976</v>
      </c>
      <c r="G286" s="312">
        <f t="shared" si="42"/>
        <v>0</v>
      </c>
      <c r="H286" s="312">
        <f t="shared" si="43"/>
        <v>0</v>
      </c>
      <c r="I286" s="312">
        <f t="shared" si="44"/>
        <v>0</v>
      </c>
      <c r="J286" s="312">
        <f t="shared" si="45"/>
        <v>0</v>
      </c>
      <c r="K286" s="313">
        <f t="shared" si="46"/>
        <v>0</v>
      </c>
      <c r="L286" s="66">
        <f>K286*D286*'B) D RI'!S288</f>
        <v>0</v>
      </c>
      <c r="M286" s="19">
        <f>(('B) D RI'!S288*C286)-(L286*$M$4))/'B) D RI'!S288</f>
        <v>22914.009848484849</v>
      </c>
      <c r="N286" s="302">
        <f t="shared" si="47"/>
        <v>41.813886584826371</v>
      </c>
      <c r="O286" s="71">
        <f t="shared" si="48"/>
        <v>0.92282039229428348</v>
      </c>
      <c r="R286" s="17"/>
    </row>
    <row r="287" spans="1:18" x14ac:dyDescent="0.25">
      <c r="A287" s="355">
        <f>'A) Base RI'!A289</f>
        <v>5905</v>
      </c>
      <c r="B287" s="40" t="str">
        <f>'A) Base RI'!B289</f>
        <v>Champvent</v>
      </c>
      <c r="C287" s="353">
        <f>'B) D RI'!U289</f>
        <v>21038.740140845071</v>
      </c>
      <c r="D287" s="40">
        <f>'B) D RI'!AA289</f>
        <v>652</v>
      </c>
      <c r="E287" s="231">
        <f t="shared" si="40"/>
        <v>32.268006350989374</v>
      </c>
      <c r="F287" s="71">
        <f t="shared" si="41"/>
        <v>0.69246283644386097</v>
      </c>
      <c r="G287" s="312">
        <f t="shared" si="42"/>
        <v>0</v>
      </c>
      <c r="H287" s="312">
        <f t="shared" si="43"/>
        <v>0</v>
      </c>
      <c r="I287" s="312">
        <f t="shared" si="44"/>
        <v>0</v>
      </c>
      <c r="J287" s="312">
        <f t="shared" si="45"/>
        <v>0</v>
      </c>
      <c r="K287" s="313">
        <f t="shared" si="46"/>
        <v>0</v>
      </c>
      <c r="L287" s="66">
        <f>K287*D287*'B) D RI'!S289</f>
        <v>0</v>
      </c>
      <c r="M287" s="19">
        <f>(('B) D RI'!S289*C287)-(L287*$M$4))/'B) D RI'!S289</f>
        <v>21038.740140845071</v>
      </c>
      <c r="N287" s="302">
        <f t="shared" si="47"/>
        <v>32.268006350989374</v>
      </c>
      <c r="O287" s="71">
        <f t="shared" si="48"/>
        <v>0.71214557438868353</v>
      </c>
      <c r="R287" s="17"/>
    </row>
    <row r="288" spans="1:18" x14ac:dyDescent="0.25">
      <c r="A288" s="355">
        <f>'A) Base RI'!A290</f>
        <v>5907</v>
      </c>
      <c r="B288" s="40" t="str">
        <f>'A) Base RI'!B290</f>
        <v>Chavannes-le-Chêne</v>
      </c>
      <c r="C288" s="353">
        <f>'B) D RI'!U290</f>
        <v>8819.3566666666684</v>
      </c>
      <c r="D288" s="40">
        <f>'B) D RI'!AA290</f>
        <v>300</v>
      </c>
      <c r="E288" s="231">
        <f t="shared" si="40"/>
        <v>29.397855555555562</v>
      </c>
      <c r="F288" s="71">
        <f t="shared" si="41"/>
        <v>0.63087016352786707</v>
      </c>
      <c r="G288" s="312">
        <f t="shared" si="42"/>
        <v>0</v>
      </c>
      <c r="H288" s="312">
        <f t="shared" si="43"/>
        <v>0</v>
      </c>
      <c r="I288" s="312">
        <f t="shared" si="44"/>
        <v>0</v>
      </c>
      <c r="J288" s="312">
        <f t="shared" si="45"/>
        <v>0</v>
      </c>
      <c r="K288" s="313">
        <f t="shared" si="46"/>
        <v>0</v>
      </c>
      <c r="L288" s="66">
        <f>K288*D288*'B) D RI'!S290</f>
        <v>0</v>
      </c>
      <c r="M288" s="19">
        <f>(('B) D RI'!S290*C288)-(L288*$M$4))/'B) D RI'!S290</f>
        <v>8819.3566666666684</v>
      </c>
      <c r="N288" s="302">
        <f t="shared" si="47"/>
        <v>29.397855555555562</v>
      </c>
      <c r="O288" s="71">
        <f t="shared" si="48"/>
        <v>0.64880217583584177</v>
      </c>
      <c r="R288" s="17"/>
    </row>
    <row r="289" spans="1:18" x14ac:dyDescent="0.25">
      <c r="A289" s="355">
        <f>'A) Base RI'!A291</f>
        <v>5908</v>
      </c>
      <c r="B289" s="40" t="str">
        <f>'A) Base RI'!B291</f>
        <v>Chêne-Pâquier</v>
      </c>
      <c r="C289" s="353">
        <f>'B) D RI'!U291</f>
        <v>2915.1287341772154</v>
      </c>
      <c r="D289" s="40">
        <f>'B) D RI'!AA291</f>
        <v>140</v>
      </c>
      <c r="E289" s="231">
        <f t="shared" si="40"/>
        <v>20.822348101265824</v>
      </c>
      <c r="F289" s="71">
        <f t="shared" si="41"/>
        <v>0.44684205372923141</v>
      </c>
      <c r="G289" s="312">
        <f t="shared" si="42"/>
        <v>0</v>
      </c>
      <c r="H289" s="312">
        <f t="shared" si="43"/>
        <v>0</v>
      </c>
      <c r="I289" s="312">
        <f t="shared" si="44"/>
        <v>0</v>
      </c>
      <c r="J289" s="312">
        <f t="shared" si="45"/>
        <v>0</v>
      </c>
      <c r="K289" s="313">
        <f t="shared" si="46"/>
        <v>0</v>
      </c>
      <c r="L289" s="66">
        <f>K289*D289*'B) D RI'!S291</f>
        <v>0</v>
      </c>
      <c r="M289" s="19">
        <f>(('B) D RI'!S291*C289)-(L289*$M$4))/'B) D RI'!S291</f>
        <v>2915.1287341772154</v>
      </c>
      <c r="N289" s="302">
        <f t="shared" si="47"/>
        <v>20.822348101265824</v>
      </c>
      <c r="O289" s="71">
        <f t="shared" si="48"/>
        <v>0.45954320472737864</v>
      </c>
      <c r="R289" s="17"/>
    </row>
    <row r="290" spans="1:18" x14ac:dyDescent="0.25">
      <c r="A290" s="355">
        <f>'A) Base RI'!A292</f>
        <v>5909</v>
      </c>
      <c r="B290" s="40" t="str">
        <f>'A) Base RI'!B292</f>
        <v>Cheseaux-Noréaz</v>
      </c>
      <c r="C290" s="353">
        <f>'B) D RI'!U292</f>
        <v>24771.110857142852</v>
      </c>
      <c r="D290" s="40">
        <f>'B) D RI'!AA292</f>
        <v>670</v>
      </c>
      <c r="E290" s="231">
        <f t="shared" si="40"/>
        <v>36.971807249466941</v>
      </c>
      <c r="F290" s="71">
        <f t="shared" si="41"/>
        <v>0.7934051530158015</v>
      </c>
      <c r="G290" s="312">
        <f t="shared" si="42"/>
        <v>0</v>
      </c>
      <c r="H290" s="312">
        <f t="shared" si="43"/>
        <v>0</v>
      </c>
      <c r="I290" s="312">
        <f t="shared" si="44"/>
        <v>0</v>
      </c>
      <c r="J290" s="312">
        <f t="shared" si="45"/>
        <v>0</v>
      </c>
      <c r="K290" s="313">
        <f t="shared" si="46"/>
        <v>0</v>
      </c>
      <c r="L290" s="66">
        <f>K290*D290*'B) D RI'!S292</f>
        <v>0</v>
      </c>
      <c r="M290" s="19">
        <f>(('B) D RI'!S292*C290)-(L290*$M$4))/'B) D RI'!S292</f>
        <v>24771.110857142852</v>
      </c>
      <c r="N290" s="302">
        <f t="shared" si="47"/>
        <v>36.971807249466941</v>
      </c>
      <c r="O290" s="71">
        <f t="shared" si="48"/>
        <v>0.81595710077242012</v>
      </c>
      <c r="R290" s="17"/>
    </row>
    <row r="291" spans="1:18" x14ac:dyDescent="0.25">
      <c r="A291" s="355">
        <f>'A) Base RI'!A293</f>
        <v>5910</v>
      </c>
      <c r="B291" s="40" t="str">
        <f>'A) Base RI'!B293</f>
        <v>Cronay</v>
      </c>
      <c r="C291" s="353">
        <f>'B) D RI'!U293</f>
        <v>10097.267848101266</v>
      </c>
      <c r="D291" s="40">
        <f>'B) D RI'!AA293</f>
        <v>380</v>
      </c>
      <c r="E291" s="231">
        <f t="shared" si="40"/>
        <v>26.571757495003332</v>
      </c>
      <c r="F291" s="71">
        <f t="shared" si="41"/>
        <v>0.5702228505891026</v>
      </c>
      <c r="G291" s="312">
        <f t="shared" si="42"/>
        <v>0</v>
      </c>
      <c r="H291" s="312">
        <f t="shared" si="43"/>
        <v>0</v>
      </c>
      <c r="I291" s="312">
        <f t="shared" si="44"/>
        <v>0</v>
      </c>
      <c r="J291" s="312">
        <f t="shared" si="45"/>
        <v>0</v>
      </c>
      <c r="K291" s="313">
        <f t="shared" si="46"/>
        <v>0</v>
      </c>
      <c r="L291" s="66">
        <f>K291*D291*'B) D RI'!S293</f>
        <v>0</v>
      </c>
      <c r="M291" s="19">
        <f>(('B) D RI'!S293*C291)-(L291*$M$4))/'B) D RI'!S293</f>
        <v>10097.267848101266</v>
      </c>
      <c r="N291" s="302">
        <f t="shared" si="47"/>
        <v>26.571757495003332</v>
      </c>
      <c r="O291" s="71">
        <f t="shared" si="48"/>
        <v>0.58643100841015405</v>
      </c>
      <c r="R291" s="17"/>
    </row>
    <row r="292" spans="1:18" x14ac:dyDescent="0.25">
      <c r="A292" s="355">
        <f>'A) Base RI'!A294</f>
        <v>5911</v>
      </c>
      <c r="B292" s="40" t="str">
        <f>'A) Base RI'!B294</f>
        <v>Cuarny</v>
      </c>
      <c r="C292" s="353">
        <f>'B) D RI'!U294</f>
        <v>7741.5774683544305</v>
      </c>
      <c r="D292" s="40">
        <f>'B) D RI'!AA294</f>
        <v>237</v>
      </c>
      <c r="E292" s="231">
        <f t="shared" si="40"/>
        <v>32.664883832719113</v>
      </c>
      <c r="F292" s="71">
        <f t="shared" si="41"/>
        <v>0.70097972167469724</v>
      </c>
      <c r="G292" s="312">
        <f t="shared" si="42"/>
        <v>0</v>
      </c>
      <c r="H292" s="312">
        <f t="shared" si="43"/>
        <v>0</v>
      </c>
      <c r="I292" s="312">
        <f t="shared" si="44"/>
        <v>0</v>
      </c>
      <c r="J292" s="312">
        <f t="shared" si="45"/>
        <v>0</v>
      </c>
      <c r="K292" s="313">
        <f t="shared" si="46"/>
        <v>0</v>
      </c>
      <c r="L292" s="66">
        <f>K292*D292*'B) D RI'!S294</f>
        <v>0</v>
      </c>
      <c r="M292" s="19">
        <f>(('B) D RI'!S294*C292)-(L292*$M$4))/'B) D RI'!S294</f>
        <v>7741.5774683544305</v>
      </c>
      <c r="N292" s="302">
        <f t="shared" si="47"/>
        <v>32.664883832719113</v>
      </c>
      <c r="O292" s="71">
        <f t="shared" si="48"/>
        <v>0.72090454570888385</v>
      </c>
      <c r="R292" s="17"/>
    </row>
    <row r="293" spans="1:18" x14ac:dyDescent="0.25">
      <c r="A293" s="355">
        <f>'A) Base RI'!A295</f>
        <v>5912</v>
      </c>
      <c r="B293" s="40" t="str">
        <f>'A) Base RI'!B295</f>
        <v>Démoret</v>
      </c>
      <c r="C293" s="353">
        <f>'B) D RI'!U295</f>
        <v>2761.8208641975311</v>
      </c>
      <c r="D293" s="40">
        <f>'B) D RI'!AA295</f>
        <v>126</v>
      </c>
      <c r="E293" s="231">
        <f t="shared" si="40"/>
        <v>21.919213207916915</v>
      </c>
      <c r="F293" s="71">
        <f t="shared" si="41"/>
        <v>0.47038048726882398</v>
      </c>
      <c r="G293" s="312">
        <f t="shared" si="42"/>
        <v>0</v>
      </c>
      <c r="H293" s="312">
        <f t="shared" si="43"/>
        <v>0</v>
      </c>
      <c r="I293" s="312">
        <f t="shared" si="44"/>
        <v>0</v>
      </c>
      <c r="J293" s="312">
        <f t="shared" si="45"/>
        <v>0</v>
      </c>
      <c r="K293" s="313">
        <f t="shared" si="46"/>
        <v>0</v>
      </c>
      <c r="L293" s="66">
        <f>K293*D293*'B) D RI'!S295</f>
        <v>0</v>
      </c>
      <c r="M293" s="19">
        <f>(('B) D RI'!S295*C293)-(L293*$M$4))/'B) D RI'!S295</f>
        <v>2761.8208641975311</v>
      </c>
      <c r="N293" s="302">
        <f t="shared" si="47"/>
        <v>21.919213207916915</v>
      </c>
      <c r="O293" s="71">
        <f t="shared" si="48"/>
        <v>0.48375070062614511</v>
      </c>
      <c r="R293" s="17"/>
    </row>
    <row r="294" spans="1:18" x14ac:dyDescent="0.25">
      <c r="A294" s="355">
        <f>'A) Base RI'!A296</f>
        <v>5913</v>
      </c>
      <c r="B294" s="40" t="str">
        <f>'A) Base RI'!B296</f>
        <v>Donneloye</v>
      </c>
      <c r="C294" s="353">
        <f>'B) D RI'!U296</f>
        <v>21023.999589041094</v>
      </c>
      <c r="D294" s="40">
        <f>'B) D RI'!AA296</f>
        <v>779</v>
      </c>
      <c r="E294" s="231">
        <f t="shared" si="40"/>
        <v>26.988446199025795</v>
      </c>
      <c r="F294" s="71">
        <f t="shared" si="41"/>
        <v>0.57916487938266847</v>
      </c>
      <c r="G294" s="312">
        <f t="shared" si="42"/>
        <v>0</v>
      </c>
      <c r="H294" s="312">
        <f t="shared" si="43"/>
        <v>0</v>
      </c>
      <c r="I294" s="312">
        <f t="shared" si="44"/>
        <v>0</v>
      </c>
      <c r="J294" s="312">
        <f t="shared" si="45"/>
        <v>0</v>
      </c>
      <c r="K294" s="313">
        <f t="shared" si="46"/>
        <v>0</v>
      </c>
      <c r="L294" s="66">
        <f>K294*D294*'B) D RI'!S296</f>
        <v>0</v>
      </c>
      <c r="M294" s="19">
        <f>(('B) D RI'!S296*C294)-(L294*$M$4))/'B) D RI'!S296</f>
        <v>21023.999589041094</v>
      </c>
      <c r="N294" s="302">
        <f t="shared" si="47"/>
        <v>26.988446199025795</v>
      </c>
      <c r="O294" s="71">
        <f t="shared" si="48"/>
        <v>0.59562720768071276</v>
      </c>
      <c r="R294" s="17"/>
    </row>
    <row r="295" spans="1:18" x14ac:dyDescent="0.25">
      <c r="A295" s="355">
        <f>'A) Base RI'!A297</f>
        <v>5914</v>
      </c>
      <c r="B295" s="40" t="str">
        <f>'A) Base RI'!B297</f>
        <v>Ependes</v>
      </c>
      <c r="C295" s="353">
        <f>'B) D RI'!U297</f>
        <v>8838.0616000000009</v>
      </c>
      <c r="D295" s="40">
        <f>'B) D RI'!AA297</f>
        <v>350</v>
      </c>
      <c r="E295" s="231">
        <f t="shared" si="40"/>
        <v>25.251604571428572</v>
      </c>
      <c r="F295" s="71">
        <f t="shared" si="41"/>
        <v>0.54189271986907428</v>
      </c>
      <c r="G295" s="312">
        <f t="shared" si="42"/>
        <v>0</v>
      </c>
      <c r="H295" s="312">
        <f t="shared" si="43"/>
        <v>0</v>
      </c>
      <c r="I295" s="312">
        <f t="shared" si="44"/>
        <v>0</v>
      </c>
      <c r="J295" s="312">
        <f t="shared" si="45"/>
        <v>0</v>
      </c>
      <c r="K295" s="313">
        <f t="shared" si="46"/>
        <v>0</v>
      </c>
      <c r="L295" s="66">
        <f>K295*D295*'B) D RI'!S297</f>
        <v>0</v>
      </c>
      <c r="M295" s="19">
        <f>(('B) D RI'!S297*C295)-(L295*$M$4))/'B) D RI'!S297</f>
        <v>8838.0616000000009</v>
      </c>
      <c r="N295" s="302">
        <f t="shared" si="47"/>
        <v>25.251604571428572</v>
      </c>
      <c r="O295" s="71">
        <f t="shared" si="48"/>
        <v>0.55729561492430202</v>
      </c>
      <c r="R295" s="17"/>
    </row>
    <row r="296" spans="1:18" x14ac:dyDescent="0.25">
      <c r="A296" s="355">
        <f>'A) Base RI'!A298</f>
        <v>5919</v>
      </c>
      <c r="B296" s="40" t="str">
        <f>'A) Base RI'!B298</f>
        <v>Mathod</v>
      </c>
      <c r="C296" s="353">
        <f>'B) D RI'!U298</f>
        <v>16883.878828828827</v>
      </c>
      <c r="D296" s="40">
        <f>'B) D RI'!AA298</f>
        <v>614</v>
      </c>
      <c r="E296" s="231">
        <f t="shared" si="40"/>
        <v>27.498173988320566</v>
      </c>
      <c r="F296" s="71">
        <f t="shared" si="41"/>
        <v>0.59010350220770369</v>
      </c>
      <c r="G296" s="312">
        <f t="shared" si="42"/>
        <v>0</v>
      </c>
      <c r="H296" s="312">
        <f t="shared" si="43"/>
        <v>0</v>
      </c>
      <c r="I296" s="312">
        <f t="shared" si="44"/>
        <v>0</v>
      </c>
      <c r="J296" s="312">
        <f t="shared" si="45"/>
        <v>0</v>
      </c>
      <c r="K296" s="313">
        <f t="shared" si="46"/>
        <v>0</v>
      </c>
      <c r="L296" s="66">
        <f>K296*D296*'B) D RI'!S298</f>
        <v>0</v>
      </c>
      <c r="M296" s="19">
        <f>(('B) D RI'!S298*C296)-(L296*$M$4))/'B) D RI'!S298</f>
        <v>16883.878828828827</v>
      </c>
      <c r="N296" s="302">
        <f t="shared" si="47"/>
        <v>27.498173988320566</v>
      </c>
      <c r="O296" s="71">
        <f t="shared" si="48"/>
        <v>0.6068767526740021</v>
      </c>
      <c r="R296" s="17"/>
    </row>
    <row r="297" spans="1:18" x14ac:dyDescent="0.25">
      <c r="A297" s="355">
        <f>'A) Base RI'!A299</f>
        <v>5921</v>
      </c>
      <c r="B297" s="40" t="str">
        <f>'A) Base RI'!B299</f>
        <v>Molondin</v>
      </c>
      <c r="C297" s="353">
        <f>'B) D RI'!U299</f>
        <v>5518.0840740740732</v>
      </c>
      <c r="D297" s="40">
        <f>'B) D RI'!AA299</f>
        <v>218</v>
      </c>
      <c r="E297" s="231">
        <f t="shared" si="40"/>
        <v>25.31231226639483</v>
      </c>
      <c r="F297" s="71">
        <f t="shared" si="41"/>
        <v>0.54319549086127772</v>
      </c>
      <c r="G297" s="312">
        <f t="shared" si="42"/>
        <v>0</v>
      </c>
      <c r="H297" s="312">
        <f t="shared" si="43"/>
        <v>0</v>
      </c>
      <c r="I297" s="312">
        <f t="shared" si="44"/>
        <v>0</v>
      </c>
      <c r="J297" s="312">
        <f t="shared" si="45"/>
        <v>0</v>
      </c>
      <c r="K297" s="313">
        <f t="shared" si="46"/>
        <v>0</v>
      </c>
      <c r="L297" s="66">
        <f>K297*D297*'B) D RI'!S299</f>
        <v>0</v>
      </c>
      <c r="M297" s="19">
        <f>(('B) D RI'!S299*C297)-(L297*$M$4))/'B) D RI'!S299</f>
        <v>5518.0840740740732</v>
      </c>
      <c r="N297" s="302">
        <f t="shared" si="47"/>
        <v>25.31231226639483</v>
      </c>
      <c r="O297" s="71">
        <f t="shared" si="48"/>
        <v>0.55863541620707435</v>
      </c>
      <c r="R297" s="17"/>
    </row>
    <row r="298" spans="1:18" x14ac:dyDescent="0.25">
      <c r="A298" s="355">
        <f>'A) Base RI'!A300</f>
        <v>5922</v>
      </c>
      <c r="B298" s="40" t="str">
        <f>'A) Base RI'!B300</f>
        <v>Montagny-près-Yverdon</v>
      </c>
      <c r="C298" s="353">
        <f>'B) D RI'!U300</f>
        <v>45028.443278688515</v>
      </c>
      <c r="D298" s="40">
        <f>'B) D RI'!AA300</f>
        <v>733</v>
      </c>
      <c r="E298" s="231">
        <f t="shared" si="40"/>
        <v>61.430345537092109</v>
      </c>
      <c r="F298" s="71">
        <f t="shared" si="41"/>
        <v>1.3182788813055073</v>
      </c>
      <c r="G298" s="312">
        <f t="shared" si="42"/>
        <v>5.5116657418819486</v>
      </c>
      <c r="H298" s="312">
        <f t="shared" si="43"/>
        <v>0</v>
      </c>
      <c r="I298" s="312">
        <f t="shared" si="44"/>
        <v>0</v>
      </c>
      <c r="J298" s="312">
        <f t="shared" si="45"/>
        <v>0</v>
      </c>
      <c r="K298" s="313">
        <f t="shared" si="46"/>
        <v>1.9841996670775015</v>
      </c>
      <c r="L298" s="66">
        <f>K298*D298*'B) D RI'!S300</f>
        <v>88719.519714036316</v>
      </c>
      <c r="M298" s="19">
        <f>(('B) D RI'!S300*C298)-(L298*$M$4))/'B) D RI'!S300</f>
        <v>44301.234100704613</v>
      </c>
      <c r="N298" s="302">
        <f t="shared" si="47"/>
        <v>60.438245703553356</v>
      </c>
      <c r="O298" s="71">
        <f t="shared" si="48"/>
        <v>1.3338546154179032</v>
      </c>
      <c r="R298" s="17"/>
    </row>
    <row r="299" spans="1:18" x14ac:dyDescent="0.25">
      <c r="A299" s="355">
        <f>'A) Base RI'!A301</f>
        <v>5923</v>
      </c>
      <c r="B299" s="40" t="str">
        <f>'A) Base RI'!B301</f>
        <v>Oppens</v>
      </c>
      <c r="C299" s="353">
        <f>'B) D RI'!U301</f>
        <v>4881.0219753086412</v>
      </c>
      <c r="D299" s="40">
        <f>'B) D RI'!AA301</f>
        <v>182</v>
      </c>
      <c r="E299" s="231">
        <f t="shared" si="40"/>
        <v>26.81880206213539</v>
      </c>
      <c r="F299" s="71">
        <f t="shared" si="41"/>
        <v>0.5755243613122486</v>
      </c>
      <c r="G299" s="312">
        <f t="shared" si="42"/>
        <v>0</v>
      </c>
      <c r="H299" s="312">
        <f t="shared" si="43"/>
        <v>0</v>
      </c>
      <c r="I299" s="312">
        <f t="shared" si="44"/>
        <v>0</v>
      </c>
      <c r="J299" s="312">
        <f t="shared" si="45"/>
        <v>0</v>
      </c>
      <c r="K299" s="313">
        <f t="shared" si="46"/>
        <v>0</v>
      </c>
      <c r="L299" s="66">
        <f>K299*D299*'B) D RI'!S301</f>
        <v>0</v>
      </c>
      <c r="M299" s="19">
        <f>(('B) D RI'!S301*C299)-(L299*$M$4))/'B) D RI'!S301</f>
        <v>4881.0219753086412</v>
      </c>
      <c r="N299" s="302">
        <f t="shared" si="47"/>
        <v>26.81880206213539</v>
      </c>
      <c r="O299" s="71">
        <f t="shared" si="48"/>
        <v>0.59188321060839955</v>
      </c>
      <c r="R299" s="17"/>
    </row>
    <row r="300" spans="1:18" x14ac:dyDescent="0.25">
      <c r="A300" s="355">
        <f>'A) Base RI'!A302</f>
        <v>5924</v>
      </c>
      <c r="B300" s="40" t="str">
        <f>'A) Base RI'!B302</f>
        <v>Orges</v>
      </c>
      <c r="C300" s="353">
        <f>'B) D RI'!U302</f>
        <v>9476.448378378378</v>
      </c>
      <c r="D300" s="40">
        <f>'B) D RI'!AA302</f>
        <v>292</v>
      </c>
      <c r="E300" s="231">
        <f t="shared" si="40"/>
        <v>32.453590336912256</v>
      </c>
      <c r="F300" s="71">
        <f t="shared" si="41"/>
        <v>0.69644541943621796</v>
      </c>
      <c r="G300" s="312">
        <f t="shared" si="42"/>
        <v>0</v>
      </c>
      <c r="H300" s="312">
        <f t="shared" si="43"/>
        <v>0</v>
      </c>
      <c r="I300" s="312">
        <f t="shared" si="44"/>
        <v>0</v>
      </c>
      <c r="J300" s="312">
        <f t="shared" si="45"/>
        <v>0</v>
      </c>
      <c r="K300" s="313">
        <f t="shared" si="46"/>
        <v>0</v>
      </c>
      <c r="L300" s="66">
        <f>K300*D300*'B) D RI'!S302</f>
        <v>0</v>
      </c>
      <c r="M300" s="19">
        <f>(('B) D RI'!S302*C300)-(L300*$M$4))/'B) D RI'!S302</f>
        <v>9476.448378378378</v>
      </c>
      <c r="N300" s="302">
        <f t="shared" si="47"/>
        <v>32.453590336912256</v>
      </c>
      <c r="O300" s="71">
        <f t="shared" si="48"/>
        <v>0.71624135932236721</v>
      </c>
      <c r="R300" s="17"/>
    </row>
    <row r="301" spans="1:18" x14ac:dyDescent="0.25">
      <c r="A301" s="355">
        <f>'A) Base RI'!A303</f>
        <v>5925</v>
      </c>
      <c r="B301" s="40" t="str">
        <f>'A) Base RI'!B303</f>
        <v>Orzens</v>
      </c>
      <c r="C301" s="353">
        <f>'B) D RI'!U303</f>
        <v>4875.4426582278484</v>
      </c>
      <c r="D301" s="40">
        <f>'B) D RI'!AA303</f>
        <v>200</v>
      </c>
      <c r="E301" s="231">
        <f t="shared" si="40"/>
        <v>24.377213291139242</v>
      </c>
      <c r="F301" s="71">
        <f t="shared" si="41"/>
        <v>0.52312851548889372</v>
      </c>
      <c r="G301" s="312">
        <f t="shared" si="42"/>
        <v>0</v>
      </c>
      <c r="H301" s="312">
        <f t="shared" si="43"/>
        <v>0</v>
      </c>
      <c r="I301" s="312">
        <f t="shared" si="44"/>
        <v>0</v>
      </c>
      <c r="J301" s="312">
        <f t="shared" si="45"/>
        <v>0</v>
      </c>
      <c r="K301" s="313">
        <f t="shared" si="46"/>
        <v>0</v>
      </c>
      <c r="L301" s="66">
        <f>K301*D301*'B) D RI'!S303</f>
        <v>0</v>
      </c>
      <c r="M301" s="19">
        <f>(('B) D RI'!S303*C301)-(L301*$M$4))/'B) D RI'!S303</f>
        <v>4875.4426582278484</v>
      </c>
      <c r="N301" s="302">
        <f t="shared" si="47"/>
        <v>24.377213291139242</v>
      </c>
      <c r="O301" s="71">
        <f t="shared" si="48"/>
        <v>0.53799805207617124</v>
      </c>
      <c r="R301" s="17"/>
    </row>
    <row r="302" spans="1:18" x14ac:dyDescent="0.25">
      <c r="A302" s="355">
        <f>'A) Base RI'!A304</f>
        <v>5926</v>
      </c>
      <c r="B302" s="40" t="str">
        <f>'A) Base RI'!B304</f>
        <v>Pomy</v>
      </c>
      <c r="C302" s="353">
        <f>'B) D RI'!U304</f>
        <v>22774.42661971831</v>
      </c>
      <c r="D302" s="40">
        <f>'B) D RI'!AA304</f>
        <v>760</v>
      </c>
      <c r="E302" s="231">
        <f t="shared" si="40"/>
        <v>29.966350815418828</v>
      </c>
      <c r="F302" s="71">
        <f t="shared" si="41"/>
        <v>0.64306992064542257</v>
      </c>
      <c r="G302" s="312">
        <f t="shared" si="42"/>
        <v>0</v>
      </c>
      <c r="H302" s="312">
        <f t="shared" si="43"/>
        <v>0</v>
      </c>
      <c r="I302" s="312">
        <f t="shared" si="44"/>
        <v>0</v>
      </c>
      <c r="J302" s="312">
        <f t="shared" si="45"/>
        <v>0</v>
      </c>
      <c r="K302" s="313">
        <f t="shared" si="46"/>
        <v>0</v>
      </c>
      <c r="L302" s="66">
        <f>K302*D302*'B) D RI'!S304</f>
        <v>0</v>
      </c>
      <c r="M302" s="19">
        <f>(('B) D RI'!S304*C302)-(L302*$M$4))/'B) D RI'!S304</f>
        <v>22774.42661971831</v>
      </c>
      <c r="N302" s="302">
        <f t="shared" si="47"/>
        <v>29.966350815418828</v>
      </c>
      <c r="O302" s="71">
        <f t="shared" si="48"/>
        <v>0.66134870192018902</v>
      </c>
      <c r="R302" s="17"/>
    </row>
    <row r="303" spans="1:18" x14ac:dyDescent="0.25">
      <c r="A303" s="355">
        <f>'A) Base RI'!A305</f>
        <v>5928</v>
      </c>
      <c r="B303" s="40" t="str">
        <f>'A) Base RI'!B305</f>
        <v>Rovray</v>
      </c>
      <c r="C303" s="353">
        <f>'B) D RI'!U305</f>
        <v>4451.7282191780823</v>
      </c>
      <c r="D303" s="40">
        <f>'B) D RI'!AA305</f>
        <v>172</v>
      </c>
      <c r="E303" s="231">
        <f t="shared" si="40"/>
        <v>25.882140809174896</v>
      </c>
      <c r="F303" s="71">
        <f t="shared" si="41"/>
        <v>0.55542385987571663</v>
      </c>
      <c r="G303" s="312">
        <f t="shared" si="42"/>
        <v>0</v>
      </c>
      <c r="H303" s="312">
        <f t="shared" si="43"/>
        <v>0</v>
      </c>
      <c r="I303" s="312">
        <f t="shared" si="44"/>
        <v>0</v>
      </c>
      <c r="J303" s="312">
        <f t="shared" si="45"/>
        <v>0</v>
      </c>
      <c r="K303" s="313">
        <f t="shared" si="46"/>
        <v>0</v>
      </c>
      <c r="L303" s="66">
        <f>K303*D303*'B) D RI'!S305</f>
        <v>0</v>
      </c>
      <c r="M303" s="19">
        <f>(('B) D RI'!S305*C303)-(L303*$M$4))/'B) D RI'!S305</f>
        <v>4451.7282191780823</v>
      </c>
      <c r="N303" s="302">
        <f t="shared" si="47"/>
        <v>25.882140809174896</v>
      </c>
      <c r="O303" s="71">
        <f t="shared" si="48"/>
        <v>0.57121136746006318</v>
      </c>
      <c r="R303" s="17"/>
    </row>
    <row r="304" spans="1:18" x14ac:dyDescent="0.25">
      <c r="A304" s="355">
        <f>'A) Base RI'!A306</f>
        <v>5929</v>
      </c>
      <c r="B304" s="40" t="str">
        <f>'A) Base RI'!B306</f>
        <v>Suchy</v>
      </c>
      <c r="C304" s="353">
        <f>'B) D RI'!U306</f>
        <v>16583.788428571432</v>
      </c>
      <c r="D304" s="40">
        <f>'B) D RI'!AA306</f>
        <v>606</v>
      </c>
      <c r="E304" s="231">
        <f t="shared" si="40"/>
        <v>27.36598750589345</v>
      </c>
      <c r="F304" s="71">
        <f t="shared" si="41"/>
        <v>0.58726681544232473</v>
      </c>
      <c r="G304" s="312">
        <f t="shared" si="42"/>
        <v>0</v>
      </c>
      <c r="H304" s="312">
        <f t="shared" si="43"/>
        <v>0</v>
      </c>
      <c r="I304" s="312">
        <f t="shared" si="44"/>
        <v>0</v>
      </c>
      <c r="J304" s="312">
        <f t="shared" si="45"/>
        <v>0</v>
      </c>
      <c r="K304" s="313">
        <f t="shared" si="46"/>
        <v>0</v>
      </c>
      <c r="L304" s="66">
        <f>K304*D304*'B) D RI'!S306</f>
        <v>0</v>
      </c>
      <c r="M304" s="19">
        <f>(('B) D RI'!S306*C304)-(L304*$M$4))/'B) D RI'!S306</f>
        <v>16583.788428571432</v>
      </c>
      <c r="N304" s="302">
        <f t="shared" si="47"/>
        <v>27.36598750589345</v>
      </c>
      <c r="O304" s="71">
        <f t="shared" si="48"/>
        <v>0.60395943521005557</v>
      </c>
      <c r="R304" s="17"/>
    </row>
    <row r="305" spans="1:18" x14ac:dyDescent="0.25">
      <c r="A305" s="355">
        <f>'A) Base RI'!A307</f>
        <v>5930</v>
      </c>
      <c r="B305" s="40" t="str">
        <f>'A) Base RI'!B307</f>
        <v>Suscévaz</v>
      </c>
      <c r="C305" s="353">
        <f>'B) D RI'!U307</f>
        <v>4886.5228787878787</v>
      </c>
      <c r="D305" s="40">
        <f>'B) D RI'!AA307</f>
        <v>202</v>
      </c>
      <c r="E305" s="231">
        <f t="shared" si="40"/>
        <v>24.190707320732074</v>
      </c>
      <c r="F305" s="71">
        <f t="shared" si="41"/>
        <v>0.51912614695465353</v>
      </c>
      <c r="G305" s="312">
        <f t="shared" si="42"/>
        <v>0</v>
      </c>
      <c r="H305" s="312">
        <f t="shared" si="43"/>
        <v>0</v>
      </c>
      <c r="I305" s="312">
        <f t="shared" si="44"/>
        <v>0</v>
      </c>
      <c r="J305" s="312">
        <f t="shared" si="45"/>
        <v>0</v>
      </c>
      <c r="K305" s="313">
        <f t="shared" si="46"/>
        <v>0</v>
      </c>
      <c r="L305" s="66">
        <f>K305*D305*'B) D RI'!S307</f>
        <v>0</v>
      </c>
      <c r="M305" s="19">
        <f>(('B) D RI'!S307*C305)-(L305*$M$4))/'B) D RI'!S307</f>
        <v>4886.5228787878787</v>
      </c>
      <c r="N305" s="302">
        <f t="shared" si="47"/>
        <v>24.190707320732074</v>
      </c>
      <c r="O305" s="71">
        <f t="shared" si="48"/>
        <v>0.53388191921138217</v>
      </c>
      <c r="R305" s="17"/>
    </row>
    <row r="306" spans="1:18" x14ac:dyDescent="0.25">
      <c r="A306" s="355">
        <f>'A) Base RI'!A308</f>
        <v>5931</v>
      </c>
      <c r="B306" s="40" t="str">
        <f>'A) Base RI'!B308</f>
        <v>Treycovagnes</v>
      </c>
      <c r="C306" s="353">
        <f>'B) D RI'!U308</f>
        <v>16368.774155844154</v>
      </c>
      <c r="D306" s="40">
        <f>'B) D RI'!AA308</f>
        <v>446</v>
      </c>
      <c r="E306" s="231">
        <f t="shared" si="40"/>
        <v>36.701287344942052</v>
      </c>
      <c r="F306" s="71">
        <f t="shared" si="41"/>
        <v>0.78759986779414159</v>
      </c>
      <c r="G306" s="312">
        <f t="shared" si="42"/>
        <v>0</v>
      </c>
      <c r="H306" s="312">
        <f t="shared" si="43"/>
        <v>0</v>
      </c>
      <c r="I306" s="312">
        <f t="shared" si="44"/>
        <v>0</v>
      </c>
      <c r="J306" s="312">
        <f t="shared" si="45"/>
        <v>0</v>
      </c>
      <c r="K306" s="313">
        <f t="shared" si="46"/>
        <v>0</v>
      </c>
      <c r="L306" s="66">
        <f>K306*D306*'B) D RI'!S308</f>
        <v>0</v>
      </c>
      <c r="M306" s="19">
        <f>(('B) D RI'!S308*C306)-(L306*$M$4))/'B) D RI'!S308</f>
        <v>16368.774155844154</v>
      </c>
      <c r="N306" s="302">
        <f t="shared" si="47"/>
        <v>36.701287344942052</v>
      </c>
      <c r="O306" s="71">
        <f t="shared" si="48"/>
        <v>0.80998680466252293</v>
      </c>
      <c r="R306" s="17"/>
    </row>
    <row r="307" spans="1:18" x14ac:dyDescent="0.25">
      <c r="A307" s="355">
        <f>'A) Base RI'!A309</f>
        <v>5932</v>
      </c>
      <c r="B307" s="40" t="str">
        <f>'A) Base RI'!B309</f>
        <v>Ursins</v>
      </c>
      <c r="C307" s="353">
        <f>'B) D RI'!U309</f>
        <v>6366.2738461538456</v>
      </c>
      <c r="D307" s="40">
        <f>'B) D RI'!AA309</f>
        <v>210</v>
      </c>
      <c r="E307" s="231">
        <f t="shared" si="40"/>
        <v>30.31558974358974</v>
      </c>
      <c r="F307" s="71">
        <f t="shared" si="41"/>
        <v>0.65056449518366111</v>
      </c>
      <c r="G307" s="312">
        <f t="shared" si="42"/>
        <v>0</v>
      </c>
      <c r="H307" s="312">
        <f t="shared" si="43"/>
        <v>0</v>
      </c>
      <c r="I307" s="312">
        <f t="shared" si="44"/>
        <v>0</v>
      </c>
      <c r="J307" s="312">
        <f t="shared" si="45"/>
        <v>0</v>
      </c>
      <c r="K307" s="313">
        <f t="shared" si="46"/>
        <v>0</v>
      </c>
      <c r="L307" s="66">
        <f>K307*D307*'B) D RI'!S309</f>
        <v>0</v>
      </c>
      <c r="M307" s="19">
        <f>(('B) D RI'!S309*C307)-(L307*$M$4))/'B) D RI'!S309</f>
        <v>6366.2738461538456</v>
      </c>
      <c r="N307" s="302">
        <f t="shared" si="47"/>
        <v>30.31558974358974</v>
      </c>
      <c r="O307" s="71">
        <f t="shared" si="48"/>
        <v>0.66905630413136608</v>
      </c>
      <c r="R307" s="17"/>
    </row>
    <row r="308" spans="1:18" x14ac:dyDescent="0.25">
      <c r="A308" s="355">
        <f>'A) Base RI'!A310</f>
        <v>5933</v>
      </c>
      <c r="B308" s="40" t="str">
        <f>'A) Base RI'!B310</f>
        <v>Valeyres-sous-Montagny</v>
      </c>
      <c r="C308" s="353">
        <f>'B) D RI'!U310</f>
        <v>19578.46263888889</v>
      </c>
      <c r="D308" s="40">
        <f>'B) D RI'!AA310</f>
        <v>689</v>
      </c>
      <c r="E308" s="231">
        <f t="shared" si="40"/>
        <v>28.415765803902598</v>
      </c>
      <c r="F308" s="71">
        <f t="shared" si="41"/>
        <v>0.60979477858853048</v>
      </c>
      <c r="G308" s="312">
        <f t="shared" si="42"/>
        <v>0</v>
      </c>
      <c r="H308" s="312">
        <f t="shared" si="43"/>
        <v>0</v>
      </c>
      <c r="I308" s="312">
        <f t="shared" si="44"/>
        <v>0</v>
      </c>
      <c r="J308" s="312">
        <f t="shared" si="45"/>
        <v>0</v>
      </c>
      <c r="K308" s="313">
        <f t="shared" si="46"/>
        <v>0</v>
      </c>
      <c r="L308" s="66">
        <f>K308*D308*'B) D RI'!S310</f>
        <v>0</v>
      </c>
      <c r="M308" s="19">
        <f>(('B) D RI'!S310*C308)-(L308*$M$4))/'B) D RI'!S310</f>
        <v>19578.46263888889</v>
      </c>
      <c r="N308" s="302">
        <f t="shared" si="47"/>
        <v>28.415765803902598</v>
      </c>
      <c r="O308" s="71">
        <f t="shared" si="48"/>
        <v>0.62712773885065454</v>
      </c>
      <c r="R308" s="17"/>
    </row>
    <row r="309" spans="1:18" x14ac:dyDescent="0.25">
      <c r="A309" s="355">
        <f>'A) Base RI'!A311</f>
        <v>5934</v>
      </c>
      <c r="B309" s="40" t="str">
        <f>'A) Base RI'!B311</f>
        <v>Valeyres-sous-Ursins</v>
      </c>
      <c r="C309" s="353">
        <f>'B) D RI'!U311</f>
        <v>6856.0722784810141</v>
      </c>
      <c r="D309" s="40">
        <f>'B) D RI'!AA311</f>
        <v>247</v>
      </c>
      <c r="E309" s="231">
        <f t="shared" si="40"/>
        <v>27.757377645672122</v>
      </c>
      <c r="F309" s="71">
        <f t="shared" si="41"/>
        <v>0.59566594377393878</v>
      </c>
      <c r="G309" s="312">
        <f t="shared" si="42"/>
        <v>0</v>
      </c>
      <c r="H309" s="312">
        <f t="shared" si="43"/>
        <v>0</v>
      </c>
      <c r="I309" s="312">
        <f t="shared" si="44"/>
        <v>0</v>
      </c>
      <c r="J309" s="312">
        <f t="shared" si="45"/>
        <v>0</v>
      </c>
      <c r="K309" s="313">
        <f t="shared" si="46"/>
        <v>0</v>
      </c>
      <c r="L309" s="66">
        <f>K309*D309*'B) D RI'!S311</f>
        <v>0</v>
      </c>
      <c r="M309" s="19">
        <f>(('B) D RI'!S311*C309)-(L309*$M$4))/'B) D RI'!S311</f>
        <v>6856.0722784810141</v>
      </c>
      <c r="N309" s="302">
        <f t="shared" si="47"/>
        <v>27.757377645672122</v>
      </c>
      <c r="O309" s="71">
        <f t="shared" si="48"/>
        <v>0.61259730247929278</v>
      </c>
      <c r="R309" s="17"/>
    </row>
    <row r="310" spans="1:18" x14ac:dyDescent="0.25">
      <c r="A310" s="355">
        <f>'A) Base RI'!A312</f>
        <v>5935</v>
      </c>
      <c r="B310" s="40" t="str">
        <f>'A) Base RI'!B312</f>
        <v>Villars-Epeney</v>
      </c>
      <c r="C310" s="353">
        <f>'B) D RI'!U312</f>
        <v>4252.6353333333336</v>
      </c>
      <c r="D310" s="40">
        <f>'B) D RI'!AA312</f>
        <v>105</v>
      </c>
      <c r="E310" s="231">
        <f t="shared" si="40"/>
        <v>40.501288888888894</v>
      </c>
      <c r="F310" s="71">
        <f t="shared" si="41"/>
        <v>0.86914689053209271</v>
      </c>
      <c r="G310" s="312">
        <f t="shared" si="42"/>
        <v>0</v>
      </c>
      <c r="H310" s="312">
        <f t="shared" si="43"/>
        <v>0</v>
      </c>
      <c r="I310" s="312">
        <f t="shared" si="44"/>
        <v>0</v>
      </c>
      <c r="J310" s="312">
        <f t="shared" si="45"/>
        <v>0</v>
      </c>
      <c r="K310" s="313">
        <f t="shared" si="46"/>
        <v>0</v>
      </c>
      <c r="L310" s="66">
        <f>K310*D310*'B) D RI'!S312</f>
        <v>0</v>
      </c>
      <c r="M310" s="19">
        <f>(('B) D RI'!S312*C310)-(L310*$M$4))/'B) D RI'!S312</f>
        <v>4252.6353333333336</v>
      </c>
      <c r="N310" s="302">
        <f t="shared" si="47"/>
        <v>40.501288888888894</v>
      </c>
      <c r="O310" s="71">
        <f t="shared" si="48"/>
        <v>0.89385174049884963</v>
      </c>
      <c r="R310" s="17"/>
    </row>
    <row r="311" spans="1:18" x14ac:dyDescent="0.25">
      <c r="A311" s="355">
        <f>'A) Base RI'!A313</f>
        <v>5937</v>
      </c>
      <c r="B311" s="40" t="str">
        <f>'A) Base RI'!B313</f>
        <v>Vugelles-La Mothe</v>
      </c>
      <c r="C311" s="353">
        <f>'B) D RI'!U313</f>
        <v>2272.9823469387752</v>
      </c>
      <c r="D311" s="40">
        <f>'B) D RI'!AA313</f>
        <v>134</v>
      </c>
      <c r="E311" s="231">
        <f t="shared" si="40"/>
        <v>16.962554827901307</v>
      </c>
      <c r="F311" s="71">
        <f t="shared" si="41"/>
        <v>0.3640119163762004</v>
      </c>
      <c r="G311" s="312">
        <f t="shared" si="42"/>
        <v>0</v>
      </c>
      <c r="H311" s="312">
        <f t="shared" si="43"/>
        <v>0</v>
      </c>
      <c r="I311" s="312">
        <f t="shared" si="44"/>
        <v>0</v>
      </c>
      <c r="J311" s="312">
        <f t="shared" si="45"/>
        <v>0</v>
      </c>
      <c r="K311" s="313">
        <f t="shared" si="46"/>
        <v>0</v>
      </c>
      <c r="L311" s="66">
        <f>K311*D311*'B) D RI'!S313</f>
        <v>0</v>
      </c>
      <c r="M311" s="19">
        <f>(('B) D RI'!S313*C311)-(L311*$M$4))/'B) D RI'!S313</f>
        <v>2272.9823469387752</v>
      </c>
      <c r="N311" s="302">
        <f t="shared" si="47"/>
        <v>16.962554827901307</v>
      </c>
      <c r="O311" s="71">
        <f t="shared" si="48"/>
        <v>0.37435868270321365</v>
      </c>
      <c r="R311" s="17"/>
    </row>
    <row r="312" spans="1:18" x14ac:dyDescent="0.25">
      <c r="A312" s="355">
        <f>'A) Base RI'!A314</f>
        <v>5938</v>
      </c>
      <c r="B312" s="40" t="str">
        <f>'A) Base RI'!B314</f>
        <v>Yverdon-les-Bains</v>
      </c>
      <c r="C312" s="353">
        <f>'B) D RI'!U314</f>
        <v>809245.0162091502</v>
      </c>
      <c r="D312" s="40">
        <f>'B) D RI'!AA314</f>
        <v>29570</v>
      </c>
      <c r="E312" s="231">
        <f t="shared" si="40"/>
        <v>27.367095576907346</v>
      </c>
      <c r="F312" s="71">
        <f t="shared" si="41"/>
        <v>0.5872905943516542</v>
      </c>
      <c r="G312" s="312">
        <f t="shared" si="42"/>
        <v>0</v>
      </c>
      <c r="H312" s="312">
        <f t="shared" si="43"/>
        <v>0</v>
      </c>
      <c r="I312" s="312">
        <f t="shared" si="44"/>
        <v>0</v>
      </c>
      <c r="J312" s="312">
        <f t="shared" si="45"/>
        <v>0</v>
      </c>
      <c r="K312" s="313">
        <f t="shared" si="46"/>
        <v>0</v>
      </c>
      <c r="L312" s="66">
        <f>K312*D312*'B) D RI'!S314</f>
        <v>0</v>
      </c>
      <c r="M312" s="19">
        <f>(('B) D RI'!S314*C312)-(L312*$M$4))/'B) D RI'!S314</f>
        <v>809245.0162091502</v>
      </c>
      <c r="N312" s="302">
        <f t="shared" si="47"/>
        <v>27.367095576907346</v>
      </c>
      <c r="O312" s="71">
        <f t="shared" si="48"/>
        <v>0.60398389001708863</v>
      </c>
      <c r="R312" s="17"/>
    </row>
    <row r="313" spans="1:18" x14ac:dyDescent="0.25">
      <c r="A313" s="355">
        <f>'A) Base RI'!A315</f>
        <v>5939</v>
      </c>
      <c r="B313" s="40" t="str">
        <f>'A) Base RI'!B315</f>
        <v>Yvonand</v>
      </c>
      <c r="C313" s="353">
        <f>'B) D RI'!U315</f>
        <v>88261.067808219188</v>
      </c>
      <c r="D313" s="40">
        <f>'B) D RI'!AA315</f>
        <v>3236</v>
      </c>
      <c r="E313" s="231">
        <f t="shared" si="40"/>
        <v>27.274742833195052</v>
      </c>
      <c r="F313" s="71">
        <f t="shared" si="41"/>
        <v>0.58530872902756903</v>
      </c>
      <c r="G313" s="312">
        <f t="shared" si="42"/>
        <v>0</v>
      </c>
      <c r="H313" s="312">
        <f t="shared" si="43"/>
        <v>0</v>
      </c>
      <c r="I313" s="312">
        <f t="shared" si="44"/>
        <v>0</v>
      </c>
      <c r="J313" s="312">
        <f t="shared" si="45"/>
        <v>0</v>
      </c>
      <c r="K313" s="313">
        <f t="shared" si="46"/>
        <v>0</v>
      </c>
      <c r="L313" s="66">
        <f>K313*D313*'B) D RI'!S315</f>
        <v>0</v>
      </c>
      <c r="M313" s="19">
        <f>(('B) D RI'!S315*C313)-(L313*$M$4))/'B) D RI'!S315</f>
        <v>88261.067808219188</v>
      </c>
      <c r="N313" s="302">
        <f t="shared" si="47"/>
        <v>27.274742833195052</v>
      </c>
      <c r="O313" s="71">
        <f t="shared" si="48"/>
        <v>0.60194569165422795</v>
      </c>
      <c r="R313" s="17"/>
    </row>
    <row r="314" spans="1:18" x14ac:dyDescent="0.25">
      <c r="A314" s="11"/>
      <c r="B314" s="135">
        <f>COUNTA(B5:B313)</f>
        <v>309</v>
      </c>
      <c r="C314" s="354">
        <f>SUM(C5:C313)</f>
        <v>36265640.391085088</v>
      </c>
      <c r="D314" s="314">
        <f>SUM(D5:D313)</f>
        <v>778251</v>
      </c>
      <c r="E314" s="72">
        <f>C314/D314</f>
        <v>46.598899829341804</v>
      </c>
      <c r="F314" s="73">
        <v>1</v>
      </c>
      <c r="G314" s="38"/>
      <c r="H314" s="38"/>
      <c r="I314" s="38"/>
      <c r="J314" s="38"/>
      <c r="K314" s="38"/>
      <c r="L314" s="45">
        <f>SUM(L5:L313)</f>
        <v>113485900.41243862</v>
      </c>
      <c r="M314" s="15">
        <f>SUM(M5:M313)</f>
        <v>35263307.270035163</v>
      </c>
      <c r="N314" s="112">
        <f t="shared" ref="N314" si="49">M314/D314</f>
        <v>45.310969430216169</v>
      </c>
      <c r="O314" s="73">
        <v>1</v>
      </c>
      <c r="R314" s="17"/>
    </row>
    <row r="315" spans="1:18" x14ac:dyDescent="0.25">
      <c r="L315" s="18"/>
      <c r="M315" s="231"/>
    </row>
    <row r="317" spans="1:18" x14ac:dyDescent="0.25">
      <c r="F317" s="20"/>
    </row>
    <row r="318" spans="1:18" x14ac:dyDescent="0.25">
      <c r="F318" s="20"/>
    </row>
    <row r="319" spans="1:18" x14ac:dyDescent="0.25">
      <c r="F319" s="20"/>
      <c r="G319" s="23"/>
    </row>
    <row r="320" spans="1:18" x14ac:dyDescent="0.25">
      <c r="E320" s="36"/>
    </row>
  </sheetData>
  <sheetProtection password="E95E" sheet="1" objects="1" scenarios="1"/>
  <mergeCells count="8">
    <mergeCell ref="A3:A4"/>
    <mergeCell ref="B3:B4"/>
    <mergeCell ref="F3:F4"/>
    <mergeCell ref="C3:E3"/>
    <mergeCell ref="O3:O4"/>
    <mergeCell ref="N3:N4"/>
    <mergeCell ref="L3:L4"/>
    <mergeCell ref="K3:K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50"/>
  </sheetPr>
  <dimension ref="A1:AG332"/>
  <sheetViews>
    <sheetView workbookViewId="0">
      <selection activeCell="F149" sqref="F149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0.375" style="18" customWidth="1"/>
    <col min="4" max="4" width="12.75" style="18" customWidth="1"/>
    <col min="5" max="5" width="10.75" style="18" bestFit="1" customWidth="1"/>
    <col min="6" max="6" width="15.125" style="18" customWidth="1"/>
    <col min="7" max="7" width="12.125" style="18" customWidth="1"/>
    <col min="8" max="8" width="9.25" style="18" customWidth="1"/>
    <col min="9" max="10" width="12.125" style="18" customWidth="1"/>
    <col min="11" max="12" width="9.25" style="18" customWidth="1"/>
    <col min="13" max="13" width="12.125" style="18" customWidth="1"/>
    <col min="14" max="14" width="14" style="18" customWidth="1"/>
    <col min="15" max="20" width="12.125" style="18" customWidth="1"/>
    <col min="21" max="23" width="8.125" style="18" customWidth="1"/>
    <col min="24" max="31" width="11" style="18" customWidth="1"/>
    <col min="32" max="32" width="9.25" style="18" customWidth="1"/>
    <col min="33" max="33" width="11" style="18" customWidth="1"/>
    <col min="34" max="16384" width="10.75" style="18"/>
  </cols>
  <sheetData>
    <row r="1" spans="1:33" s="51" customFormat="1" ht="20.25" customHeight="1" x14ac:dyDescent="0.25">
      <c r="A1" s="59" t="s">
        <v>98</v>
      </c>
      <c r="B1" s="50"/>
      <c r="C1" s="82"/>
      <c r="D1" s="82"/>
      <c r="E1" s="82"/>
      <c r="F1" s="82"/>
      <c r="G1" s="82"/>
      <c r="H1" s="82"/>
      <c r="I1" s="82"/>
      <c r="J1" s="82"/>
      <c r="K1" s="18"/>
      <c r="L1" s="18"/>
      <c r="M1" s="82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s="61" customFormat="1" x14ac:dyDescent="0.25">
      <c r="A2" s="35"/>
      <c r="D2" s="18"/>
      <c r="E2" s="18"/>
      <c r="F2" s="18"/>
      <c r="G2" s="18"/>
      <c r="K2" s="18"/>
      <c r="L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 s="61" customFormat="1" ht="30" x14ac:dyDescent="0.25">
      <c r="A3" s="446" t="s">
        <v>97</v>
      </c>
      <c r="B3" s="447"/>
      <c r="C3" s="448"/>
      <c r="D3" s="74" t="s">
        <v>2</v>
      </c>
      <c r="E3" s="78" t="s">
        <v>1</v>
      </c>
      <c r="F3" s="18"/>
      <c r="G3" s="18"/>
      <c r="K3" s="18"/>
      <c r="L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3" s="61" customFormat="1" x14ac:dyDescent="0.25">
      <c r="A4" s="93" t="s">
        <v>413</v>
      </c>
      <c r="B4" s="94"/>
      <c r="C4" s="103">
        <f>+Paramètres!B58</f>
        <v>770526000</v>
      </c>
      <c r="D4" s="101">
        <f>C4/$E$4</f>
        <v>21.850644753753741</v>
      </c>
      <c r="E4" s="106">
        <f>'D) Ecrêtage'!M314</f>
        <v>35263307.270035163</v>
      </c>
      <c r="F4" s="18"/>
      <c r="G4" s="18"/>
      <c r="K4" s="18"/>
      <c r="L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3" s="61" customFormat="1" x14ac:dyDescent="0.25">
      <c r="A5" s="95" t="s">
        <v>382</v>
      </c>
      <c r="B5" s="96"/>
      <c r="C5" s="13">
        <f>-'C) Prél. conj.'!H314</f>
        <v>-123953138.06500003</v>
      </c>
      <c r="D5" s="41">
        <f>C5/$E$4</f>
        <v>-3.5150740999931296</v>
      </c>
      <c r="E5" s="86"/>
      <c r="F5" s="18"/>
      <c r="G5" s="18"/>
      <c r="K5" s="18"/>
      <c r="L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</row>
    <row r="6" spans="1:33" s="61" customFormat="1" x14ac:dyDescent="0.25">
      <c r="A6" s="97" t="s">
        <v>383</v>
      </c>
      <c r="B6" s="98"/>
      <c r="C6" s="104">
        <f>-'D) Ecrêtage'!L314</f>
        <v>-113485900.41243862</v>
      </c>
      <c r="D6" s="41">
        <f>C6/$E$4</f>
        <v>-3.2182432448380345</v>
      </c>
      <c r="E6" s="86"/>
      <c r="F6" s="18"/>
      <c r="G6" s="18"/>
      <c r="K6" s="18"/>
      <c r="L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s="61" customFormat="1" x14ac:dyDescent="0.25">
      <c r="A7" s="89" t="s">
        <v>295</v>
      </c>
      <c r="B7" s="91"/>
      <c r="C7" s="105">
        <f>C4+C6+C5</f>
        <v>533086961.52256131</v>
      </c>
      <c r="D7" s="25">
        <f>C7/$E$4</f>
        <v>15.117327408922577</v>
      </c>
      <c r="E7" s="86"/>
      <c r="F7" s="18"/>
      <c r="G7" s="18"/>
      <c r="K7" s="18"/>
      <c r="L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</row>
    <row r="8" spans="1:33" s="61" customFormat="1" x14ac:dyDescent="0.25">
      <c r="A8" s="35"/>
      <c r="D8" s="18"/>
      <c r="E8" s="18"/>
      <c r="F8" s="18"/>
      <c r="G8" s="18"/>
      <c r="K8" s="18"/>
      <c r="L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</row>
    <row r="9" spans="1:33" ht="38.25" customHeight="1" x14ac:dyDescent="0.25">
      <c r="A9" s="436" t="s">
        <v>50</v>
      </c>
      <c r="B9" s="436" t="s">
        <v>101</v>
      </c>
      <c r="C9" s="436" t="s">
        <v>310</v>
      </c>
      <c r="D9" s="436" t="s">
        <v>446</v>
      </c>
      <c r="E9" s="451" t="s">
        <v>487</v>
      </c>
      <c r="F9" s="337" t="s">
        <v>447</v>
      </c>
      <c r="G9" s="449" t="s">
        <v>412</v>
      </c>
    </row>
    <row r="10" spans="1:33" x14ac:dyDescent="0.25">
      <c r="A10" s="438"/>
      <c r="B10" s="438"/>
      <c r="C10" s="438"/>
      <c r="D10" s="438"/>
      <c r="E10" s="452"/>
      <c r="F10" s="359">
        <f>D7</f>
        <v>15.117327408922577</v>
      </c>
      <c r="G10" s="450"/>
    </row>
    <row r="11" spans="1:33" x14ac:dyDescent="0.25">
      <c r="A11" s="57">
        <f>'A) Base RI'!A7</f>
        <v>5401</v>
      </c>
      <c r="B11" s="350" t="str">
        <f>'A) Base RI'!B7</f>
        <v>Aigle</v>
      </c>
      <c r="C11" s="14">
        <f>'A) Base RI'!U7</f>
        <v>9740</v>
      </c>
      <c r="D11" s="19">
        <f>'C) Prél. conj.'!H5</f>
        <v>1439996.0249999999</v>
      </c>
      <c r="E11" s="14">
        <f>'D) Ecrêtage'!L5</f>
        <v>0</v>
      </c>
      <c r="F11" s="19">
        <f>$F$10*'D) Ecrêtage'!M5</f>
        <v>4145234.1729759239</v>
      </c>
      <c r="G11" s="66">
        <f>D11+F11+E11</f>
        <v>5585230.1979759242</v>
      </c>
    </row>
    <row r="12" spans="1:33" x14ac:dyDescent="0.25">
      <c r="A12" s="57">
        <f>'A) Base RI'!A8</f>
        <v>5402</v>
      </c>
      <c r="B12" s="350" t="str">
        <f>'A) Base RI'!B8</f>
        <v>Bex</v>
      </c>
      <c r="C12" s="14">
        <f>'A) Base RI'!U8</f>
        <v>7424</v>
      </c>
      <c r="D12" s="19">
        <f>'C) Prél. conj.'!H6</f>
        <v>603754.78</v>
      </c>
      <c r="E12" s="14">
        <f>'D) Ecrêtage'!L6</f>
        <v>0</v>
      </c>
      <c r="F12" s="19">
        <f>$F$10*'D) Ecrêtage'!M6</f>
        <v>2549063.3627217347</v>
      </c>
      <c r="G12" s="66">
        <f t="shared" ref="G12:G75" si="0">D12+F12+E12</f>
        <v>3152818.1427217349</v>
      </c>
    </row>
    <row r="13" spans="1:33" x14ac:dyDescent="0.25">
      <c r="A13" s="57">
        <f>'A) Base RI'!A9</f>
        <v>5403</v>
      </c>
      <c r="B13" s="350" t="str">
        <f>'A) Base RI'!B9</f>
        <v>Chessel</v>
      </c>
      <c r="C13" s="14">
        <f>'A) Base RI'!U9</f>
        <v>395</v>
      </c>
      <c r="D13" s="19">
        <f>'C) Prél. conj.'!H7</f>
        <v>26661.52</v>
      </c>
      <c r="E13" s="14">
        <f>'D) Ecrêtage'!L7</f>
        <v>0</v>
      </c>
      <c r="F13" s="19">
        <f>$F$10*'D) Ecrêtage'!M7</f>
        <v>126031.00041078772</v>
      </c>
      <c r="G13" s="66">
        <f t="shared" si="0"/>
        <v>152692.52041078772</v>
      </c>
    </row>
    <row r="14" spans="1:33" x14ac:dyDescent="0.25">
      <c r="A14" s="57">
        <f>'A) Base RI'!A10</f>
        <v>5404</v>
      </c>
      <c r="B14" s="350" t="str">
        <f>'A) Base RI'!B10</f>
        <v>Corbeyrier</v>
      </c>
      <c r="C14" s="14">
        <f>'A) Base RI'!U10</f>
        <v>440</v>
      </c>
      <c r="D14" s="19">
        <f>'C) Prél. conj.'!H8</f>
        <v>44821.285000000003</v>
      </c>
      <c r="E14" s="14">
        <f>'D) Ecrêtage'!L8</f>
        <v>0</v>
      </c>
      <c r="F14" s="19">
        <f>$F$10*'D) Ecrêtage'!M8</f>
        <v>171579.00976088369</v>
      </c>
      <c r="G14" s="66">
        <f t="shared" si="0"/>
        <v>216400.2947608837</v>
      </c>
    </row>
    <row r="15" spans="1:33" x14ac:dyDescent="0.25">
      <c r="A15" s="57">
        <f>'A) Base RI'!A11</f>
        <v>5405</v>
      </c>
      <c r="B15" s="350" t="str">
        <f>'A) Base RI'!B11</f>
        <v>Gryon</v>
      </c>
      <c r="C15" s="14">
        <f>'A) Base RI'!U11</f>
        <v>1342</v>
      </c>
      <c r="D15" s="19">
        <f>'C) Prél. conj.'!H9</f>
        <v>303645.7</v>
      </c>
      <c r="E15" s="14">
        <f>'D) Ecrêtage'!L9</f>
        <v>0</v>
      </c>
      <c r="F15" s="19">
        <f>$F$10*'D) Ecrêtage'!M9</f>
        <v>980584.715404285</v>
      </c>
      <c r="G15" s="66">
        <f t="shared" si="0"/>
        <v>1284230.4154042851</v>
      </c>
    </row>
    <row r="16" spans="1:33" x14ac:dyDescent="0.25">
      <c r="A16" s="57">
        <f>'A) Base RI'!A12</f>
        <v>5406</v>
      </c>
      <c r="B16" s="350" t="str">
        <f>'A) Base RI'!B12</f>
        <v>Lavey-Morcles</v>
      </c>
      <c r="C16" s="14">
        <f>'A) Base RI'!U12</f>
        <v>922</v>
      </c>
      <c r="D16" s="19">
        <f>'C) Prél. conj.'!H10</f>
        <v>13359.924999999999</v>
      </c>
      <c r="E16" s="14">
        <f>'D) Ecrêtage'!L10</f>
        <v>0</v>
      </c>
      <c r="F16" s="19">
        <f>$F$10*'D) Ecrêtage'!M10</f>
        <v>306109.05295483535</v>
      </c>
      <c r="G16" s="66">
        <f t="shared" si="0"/>
        <v>319468.97795483534</v>
      </c>
    </row>
    <row r="17" spans="1:7" x14ac:dyDescent="0.25">
      <c r="A17" s="57">
        <f>'A) Base RI'!A13</f>
        <v>5407</v>
      </c>
      <c r="B17" s="350" t="str">
        <f>'A) Base RI'!B13</f>
        <v>Leysin</v>
      </c>
      <c r="C17" s="14">
        <f>'A) Base RI'!U13</f>
        <v>4088</v>
      </c>
      <c r="D17" s="19">
        <f>'C) Prél. conj.'!H11</f>
        <v>266163.33500000002</v>
      </c>
      <c r="E17" s="14">
        <f>'D) Ecrêtage'!L11</f>
        <v>0</v>
      </c>
      <c r="F17" s="19">
        <f>$F$10*'D) Ecrêtage'!M11</f>
        <v>1248857.1527690799</v>
      </c>
      <c r="G17" s="66">
        <f t="shared" si="0"/>
        <v>1515020.4877690799</v>
      </c>
    </row>
    <row r="18" spans="1:7" x14ac:dyDescent="0.25">
      <c r="A18" s="57">
        <f>'A) Base RI'!A14</f>
        <v>5408</v>
      </c>
      <c r="B18" s="350" t="str">
        <f>'A) Base RI'!B14</f>
        <v>Noville</v>
      </c>
      <c r="C18" s="14">
        <f>'A) Base RI'!U14</f>
        <v>1056</v>
      </c>
      <c r="D18" s="19">
        <f>'C) Prél. conj.'!H12</f>
        <v>142819.77499999999</v>
      </c>
      <c r="E18" s="14">
        <f>'D) Ecrêtage'!L12</f>
        <v>0</v>
      </c>
      <c r="F18" s="19">
        <f>$F$10*'D) Ecrêtage'!M12</f>
        <v>505214.43551753042</v>
      </c>
      <c r="G18" s="66">
        <f t="shared" si="0"/>
        <v>648034.21051753045</v>
      </c>
    </row>
    <row r="19" spans="1:7" x14ac:dyDescent="0.25">
      <c r="A19" s="57">
        <f>'A) Base RI'!A15</f>
        <v>5409</v>
      </c>
      <c r="B19" s="350" t="str">
        <f>'A) Base RI'!B15</f>
        <v>Ollon</v>
      </c>
      <c r="C19" s="14">
        <f>'A) Base RI'!U15</f>
        <v>7473</v>
      </c>
      <c r="D19" s="19">
        <f>'C) Prél. conj.'!H13</f>
        <v>1951427.4650000001</v>
      </c>
      <c r="E19" s="14">
        <f>'D) Ecrêtage'!L13</f>
        <v>0</v>
      </c>
      <c r="F19" s="19">
        <f>$F$10*'D) Ecrêtage'!M13</f>
        <v>5533466.9982142719</v>
      </c>
      <c r="G19" s="66">
        <f t="shared" si="0"/>
        <v>7484894.4632142717</v>
      </c>
    </row>
    <row r="20" spans="1:7" x14ac:dyDescent="0.25">
      <c r="A20" s="57">
        <f>'A) Base RI'!A16</f>
        <v>5410</v>
      </c>
      <c r="B20" s="350" t="str">
        <f>'A) Base RI'!B16</f>
        <v>Ormont-Dessous</v>
      </c>
      <c r="C20" s="14">
        <f>'A) Base RI'!U16</f>
        <v>1105</v>
      </c>
      <c r="D20" s="19">
        <f>'C) Prél. conj.'!H14</f>
        <v>118118.04999999999</v>
      </c>
      <c r="E20" s="14">
        <f>'D) Ecrêtage'!L14</f>
        <v>0</v>
      </c>
      <c r="F20" s="19">
        <f>$F$10*'D) Ecrêtage'!M14</f>
        <v>551059.99752131244</v>
      </c>
      <c r="G20" s="66">
        <f t="shared" si="0"/>
        <v>669178.04752131249</v>
      </c>
    </row>
    <row r="21" spans="1:7" x14ac:dyDescent="0.25">
      <c r="A21" s="57">
        <f>'A) Base RI'!A17</f>
        <v>5411</v>
      </c>
      <c r="B21" s="350" t="str">
        <f>'A) Base RI'!B17</f>
        <v>Ormont-Dessus</v>
      </c>
      <c r="C21" s="14">
        <f>'A) Base RI'!U17</f>
        <v>1479</v>
      </c>
      <c r="D21" s="19">
        <f>'C) Prél. conj.'!H15</f>
        <v>235350.47500000001</v>
      </c>
      <c r="E21" s="14">
        <f>'D) Ecrêtage'!L15</f>
        <v>0</v>
      </c>
      <c r="F21" s="19">
        <f>$F$10*'D) Ecrêtage'!M15</f>
        <v>1119406.7241872211</v>
      </c>
      <c r="G21" s="66">
        <f t="shared" si="0"/>
        <v>1354757.1991872212</v>
      </c>
    </row>
    <row r="22" spans="1:7" x14ac:dyDescent="0.25">
      <c r="A22" s="57">
        <f>'A) Base RI'!A18</f>
        <v>5412</v>
      </c>
      <c r="B22" s="350" t="str">
        <f>'A) Base RI'!B18</f>
        <v>Rennaz</v>
      </c>
      <c r="C22" s="14">
        <f>'A) Base RI'!U18</f>
        <v>843</v>
      </c>
      <c r="D22" s="19">
        <f>'C) Prél. conj.'!H16</f>
        <v>104019.7</v>
      </c>
      <c r="E22" s="14">
        <f>'D) Ecrêtage'!L16</f>
        <v>0</v>
      </c>
      <c r="F22" s="19">
        <f>$F$10*'D) Ecrêtage'!M16</f>
        <v>396440.24296183902</v>
      </c>
      <c r="G22" s="66">
        <f t="shared" si="0"/>
        <v>500459.94296183903</v>
      </c>
    </row>
    <row r="23" spans="1:7" x14ac:dyDescent="0.25">
      <c r="A23" s="57">
        <f>'A) Base RI'!A19</f>
        <v>5413</v>
      </c>
      <c r="B23" s="350" t="str">
        <f>'A) Base RI'!B19</f>
        <v>Roche</v>
      </c>
      <c r="C23" s="14">
        <f>'A) Base RI'!U19</f>
        <v>1597</v>
      </c>
      <c r="D23" s="19">
        <f>'C) Prél. conj.'!H17</f>
        <v>177616.57</v>
      </c>
      <c r="E23" s="14">
        <f>'D) Ecrêtage'!L17</f>
        <v>0</v>
      </c>
      <c r="F23" s="19">
        <f>$F$10*'D) Ecrêtage'!M17</f>
        <v>588430.30459570629</v>
      </c>
      <c r="G23" s="66">
        <f t="shared" si="0"/>
        <v>766046.87459570635</v>
      </c>
    </row>
    <row r="24" spans="1:7" x14ac:dyDescent="0.25">
      <c r="A24" s="57">
        <f>'A) Base RI'!A20</f>
        <v>5414</v>
      </c>
      <c r="B24" s="350" t="str">
        <f>'A) Base RI'!B20</f>
        <v>Villeneuve</v>
      </c>
      <c r="C24" s="14">
        <f>'A) Base RI'!U20</f>
        <v>5457</v>
      </c>
      <c r="D24" s="19">
        <f>'C) Prél. conj.'!H18</f>
        <v>721923.84000000008</v>
      </c>
      <c r="E24" s="14">
        <f>'D) Ecrêtage'!L18</f>
        <v>0</v>
      </c>
      <c r="F24" s="19">
        <f>$F$10*'D) Ecrêtage'!M18</f>
        <v>2416708.4364347258</v>
      </c>
      <c r="G24" s="66">
        <f t="shared" si="0"/>
        <v>3138632.2764347261</v>
      </c>
    </row>
    <row r="25" spans="1:7" x14ac:dyDescent="0.25">
      <c r="A25" s="57">
        <f>'A) Base RI'!A21</f>
        <v>5415</v>
      </c>
      <c r="B25" s="350" t="str">
        <f>'A) Base RI'!B21</f>
        <v>Yvorne</v>
      </c>
      <c r="C25" s="14">
        <f>'A) Base RI'!U21</f>
        <v>1061</v>
      </c>
      <c r="D25" s="19">
        <f>'C) Prél. conj.'!H19</f>
        <v>122060.175</v>
      </c>
      <c r="E25" s="14">
        <f>'D) Ecrêtage'!L19</f>
        <v>0</v>
      </c>
      <c r="F25" s="19">
        <f>$F$10*'D) Ecrêtage'!M19</f>
        <v>540092.8935119966</v>
      </c>
      <c r="G25" s="66">
        <f t="shared" si="0"/>
        <v>662153.06851199665</v>
      </c>
    </row>
    <row r="26" spans="1:7" x14ac:dyDescent="0.25">
      <c r="A26" s="57">
        <f>'A) Base RI'!A22</f>
        <v>5421</v>
      </c>
      <c r="B26" s="350" t="str">
        <f>'A) Base RI'!B22</f>
        <v>Apples</v>
      </c>
      <c r="C26" s="14">
        <f>'A) Base RI'!U22</f>
        <v>1412</v>
      </c>
      <c r="D26" s="19">
        <f>'C) Prél. conj.'!H20</f>
        <v>30806.32</v>
      </c>
      <c r="E26" s="14">
        <f>'D) Ecrêtage'!L20</f>
        <v>0</v>
      </c>
      <c r="F26" s="19">
        <f>$F$10*'D) Ecrêtage'!M20</f>
        <v>892006.42118399835</v>
      </c>
      <c r="G26" s="66">
        <f t="shared" si="0"/>
        <v>922812.7411839983</v>
      </c>
    </row>
    <row r="27" spans="1:7" x14ac:dyDescent="0.25">
      <c r="A27" s="57">
        <f>'A) Base RI'!A23</f>
        <v>5422</v>
      </c>
      <c r="B27" s="350" t="str">
        <f>'A) Base RI'!B23</f>
        <v>Aubonne</v>
      </c>
      <c r="C27" s="14">
        <f>'A) Base RI'!U23</f>
        <v>3272</v>
      </c>
      <c r="D27" s="19">
        <f>'C) Prél. conj.'!H21</f>
        <v>491063.87</v>
      </c>
      <c r="E27" s="14">
        <f>'D) Ecrêtage'!L21</f>
        <v>881824.83490257233</v>
      </c>
      <c r="F27" s="19">
        <f>$F$10*'D) Ecrêtage'!M21</f>
        <v>3212495.1208873661</v>
      </c>
      <c r="G27" s="66">
        <f t="shared" si="0"/>
        <v>4585383.8257899387</v>
      </c>
    </row>
    <row r="28" spans="1:7" x14ac:dyDescent="0.25">
      <c r="A28" s="57">
        <f>'A) Base RI'!A24</f>
        <v>5423</v>
      </c>
      <c r="B28" s="350" t="str">
        <f>'A) Base RI'!B24</f>
        <v>Ballens</v>
      </c>
      <c r="C28" s="14">
        <f>'A) Base RI'!U24</f>
        <v>508</v>
      </c>
      <c r="D28" s="19">
        <f>'C) Prél. conj.'!H22</f>
        <v>10258.81</v>
      </c>
      <c r="E28" s="14">
        <f>'D) Ecrêtage'!L22</f>
        <v>0</v>
      </c>
      <c r="F28" s="19">
        <f>$F$10*'D) Ecrêtage'!M22</f>
        <v>232172.75127653297</v>
      </c>
      <c r="G28" s="66">
        <f t="shared" si="0"/>
        <v>242431.56127653297</v>
      </c>
    </row>
    <row r="29" spans="1:7" x14ac:dyDescent="0.25">
      <c r="A29" s="57">
        <f>'A) Base RI'!A25</f>
        <v>5424</v>
      </c>
      <c r="B29" s="350" t="str">
        <f>'A) Base RI'!B25</f>
        <v>Berolle</v>
      </c>
      <c r="C29" s="14">
        <f>'A) Base RI'!U25</f>
        <v>301</v>
      </c>
      <c r="D29" s="19">
        <f>'C) Prél. conj.'!H23</f>
        <v>23640.800000000003</v>
      </c>
      <c r="E29" s="14">
        <f>'D) Ecrêtage'!L23</f>
        <v>0</v>
      </c>
      <c r="F29" s="19">
        <f>$F$10*'D) Ecrêtage'!M23</f>
        <v>136936.42302096286</v>
      </c>
      <c r="G29" s="66">
        <f t="shared" si="0"/>
        <v>160577.22302096285</v>
      </c>
    </row>
    <row r="30" spans="1:7" x14ac:dyDescent="0.25">
      <c r="A30" s="57">
        <f>'A) Base RI'!A26</f>
        <v>5425</v>
      </c>
      <c r="B30" s="350" t="str">
        <f>'A) Base RI'!B26</f>
        <v>Bière</v>
      </c>
      <c r="C30" s="14">
        <f>'A) Base RI'!U26</f>
        <v>1546</v>
      </c>
      <c r="D30" s="19">
        <f>'C) Prél. conj.'!H24</f>
        <v>187404.33499999999</v>
      </c>
      <c r="E30" s="14">
        <f>'D) Ecrêtage'!L24</f>
        <v>0</v>
      </c>
      <c r="F30" s="19">
        <f>$F$10*'D) Ecrêtage'!M24</f>
        <v>595819.85209232569</v>
      </c>
      <c r="G30" s="66">
        <f t="shared" si="0"/>
        <v>783224.18709232565</v>
      </c>
    </row>
    <row r="31" spans="1:7" x14ac:dyDescent="0.25">
      <c r="A31" s="57">
        <f>'A) Base RI'!A27</f>
        <v>5426</v>
      </c>
      <c r="B31" s="350" t="str">
        <f>'A) Base RI'!B27</f>
        <v>Bougy-Villars</v>
      </c>
      <c r="C31" s="14">
        <f>'A) Base RI'!U27</f>
        <v>467</v>
      </c>
      <c r="D31" s="19">
        <f>'C) Prél. conj.'!H25</f>
        <v>2837504.0799999996</v>
      </c>
      <c r="E31" s="14">
        <f>'D) Ecrêtage'!L25</f>
        <v>428782.64742660028</v>
      </c>
      <c r="F31" s="19">
        <f>$F$10*'D) Ecrêtage'!M25</f>
        <v>591235.56037576543</v>
      </c>
      <c r="G31" s="66">
        <f t="shared" si="0"/>
        <v>3857522.2878023651</v>
      </c>
    </row>
    <row r="32" spans="1:7" x14ac:dyDescent="0.25">
      <c r="A32" s="57">
        <f>'A) Base RI'!A28</f>
        <v>5427</v>
      </c>
      <c r="B32" s="350" t="str">
        <f>'A) Base RI'!B28</f>
        <v>Féchy</v>
      </c>
      <c r="C32" s="14">
        <f>'A) Base RI'!U28</f>
        <v>887</v>
      </c>
      <c r="D32" s="19">
        <f>'C) Prél. conj.'!H26</f>
        <v>175447.96499999997</v>
      </c>
      <c r="E32" s="14">
        <f>'D) Ecrêtage'!L26</f>
        <v>485499.89072735648</v>
      </c>
      <c r="F32" s="19">
        <f>$F$10*'D) Ecrêtage'!M26</f>
        <v>982531.20722290932</v>
      </c>
      <c r="G32" s="66">
        <f t="shared" si="0"/>
        <v>1643479.0629502658</v>
      </c>
    </row>
    <row r="33" spans="1:7" x14ac:dyDescent="0.25">
      <c r="A33" s="57">
        <f>'A) Base RI'!A29</f>
        <v>5428</v>
      </c>
      <c r="B33" s="350" t="str">
        <f>'A) Base RI'!B29</f>
        <v>Gimel</v>
      </c>
      <c r="C33" s="14">
        <f>'A) Base RI'!U29</f>
        <v>1948</v>
      </c>
      <c r="D33" s="19">
        <f>'C) Prél. conj.'!H27</f>
        <v>314826.08499999996</v>
      </c>
      <c r="E33" s="14">
        <f>'D) Ecrêtage'!L27</f>
        <v>0</v>
      </c>
      <c r="F33" s="19">
        <f>$F$10*'D) Ecrêtage'!M27</f>
        <v>876874.87299921329</v>
      </c>
      <c r="G33" s="66">
        <f t="shared" si="0"/>
        <v>1191700.9579992131</v>
      </c>
    </row>
    <row r="34" spans="1:7" x14ac:dyDescent="0.25">
      <c r="A34" s="57">
        <f>'A) Base RI'!A30</f>
        <v>5429</v>
      </c>
      <c r="B34" s="350" t="str">
        <f>'A) Base RI'!B30</f>
        <v>Longirod</v>
      </c>
      <c r="C34" s="14">
        <f>'A) Base RI'!U30</f>
        <v>460</v>
      </c>
      <c r="D34" s="19">
        <f>'C) Prél. conj.'!H28</f>
        <v>83514.475000000006</v>
      </c>
      <c r="E34" s="14">
        <f>'D) Ecrêtage'!L28</f>
        <v>0</v>
      </c>
      <c r="F34" s="19">
        <f>$F$10*'D) Ecrêtage'!M28</f>
        <v>183998.27549324292</v>
      </c>
      <c r="G34" s="66">
        <f t="shared" si="0"/>
        <v>267512.75049324293</v>
      </c>
    </row>
    <row r="35" spans="1:7" x14ac:dyDescent="0.25">
      <c r="A35" s="57">
        <f>'A) Base RI'!A31</f>
        <v>5430</v>
      </c>
      <c r="B35" s="350" t="str">
        <f>'A) Base RI'!B31</f>
        <v>Marchissy</v>
      </c>
      <c r="C35" s="14">
        <f>'A) Base RI'!U31</f>
        <v>430</v>
      </c>
      <c r="D35" s="19">
        <f>'C) Prél. conj.'!H29</f>
        <v>47597.66</v>
      </c>
      <c r="E35" s="14">
        <f>'D) Ecrêtage'!L29</f>
        <v>0</v>
      </c>
      <c r="F35" s="19">
        <f>$F$10*'D) Ecrêtage'!M29</f>
        <v>159837.99992393947</v>
      </c>
      <c r="G35" s="66">
        <f t="shared" si="0"/>
        <v>207435.65992393947</v>
      </c>
    </row>
    <row r="36" spans="1:7" x14ac:dyDescent="0.25">
      <c r="A36" s="57">
        <f>'A) Base RI'!A32</f>
        <v>5431</v>
      </c>
      <c r="B36" s="350" t="str">
        <f>'A) Base RI'!B32</f>
        <v>Mollens</v>
      </c>
      <c r="C36" s="14">
        <f>'A) Base RI'!U32</f>
        <v>295</v>
      </c>
      <c r="D36" s="19">
        <f>'C) Prél. conj.'!H30</f>
        <v>24889.599999999999</v>
      </c>
      <c r="E36" s="14">
        <f>'D) Ecrêtage'!L30</f>
        <v>0</v>
      </c>
      <c r="F36" s="19">
        <f>$F$10*'D) Ecrêtage'!M30</f>
        <v>169405.24080726533</v>
      </c>
      <c r="G36" s="66">
        <f t="shared" si="0"/>
        <v>194294.84080726534</v>
      </c>
    </row>
    <row r="37" spans="1:7" x14ac:dyDescent="0.25">
      <c r="A37" s="57">
        <f>'A) Base RI'!A33</f>
        <v>5432</v>
      </c>
      <c r="B37" s="350" t="str">
        <f>'A) Base RI'!B33</f>
        <v>Montherod</v>
      </c>
      <c r="C37" s="14">
        <f>'A) Base RI'!U33</f>
        <v>522</v>
      </c>
      <c r="D37" s="19">
        <f>'C) Prél. conj.'!H31</f>
        <v>58861.135000000002</v>
      </c>
      <c r="E37" s="14">
        <f>'D) Ecrêtage'!L31</f>
        <v>0</v>
      </c>
      <c r="F37" s="19">
        <f>$F$10*'D) Ecrêtage'!M31</f>
        <v>267960.96597195102</v>
      </c>
      <c r="G37" s="66">
        <f t="shared" si="0"/>
        <v>326822.10097195103</v>
      </c>
    </row>
    <row r="38" spans="1:7" x14ac:dyDescent="0.25">
      <c r="A38" s="57">
        <f>'A) Base RI'!A34</f>
        <v>5434</v>
      </c>
      <c r="B38" s="350" t="str">
        <f>'A) Base RI'!B34</f>
        <v>Saint-George</v>
      </c>
      <c r="C38" s="14">
        <f>'A) Base RI'!U34</f>
        <v>991</v>
      </c>
      <c r="D38" s="19">
        <f>'C) Prél. conj.'!H32</f>
        <v>103977.465</v>
      </c>
      <c r="E38" s="14">
        <f>'D) Ecrêtage'!L32</f>
        <v>0</v>
      </c>
      <c r="F38" s="19">
        <f>$F$10*'D) Ecrêtage'!M32</f>
        <v>542647.51954410272</v>
      </c>
      <c r="G38" s="66">
        <f t="shared" si="0"/>
        <v>646624.98454410268</v>
      </c>
    </row>
    <row r="39" spans="1:7" x14ac:dyDescent="0.25">
      <c r="A39" s="57">
        <f>'A) Base RI'!A35</f>
        <v>5435</v>
      </c>
      <c r="B39" s="350" t="str">
        <f>'A) Base RI'!B35</f>
        <v>Saint-Livres</v>
      </c>
      <c r="C39" s="14">
        <f>'A) Base RI'!U35</f>
        <v>689</v>
      </c>
      <c r="D39" s="19">
        <f>'C) Prél. conj.'!H33</f>
        <v>10078.48</v>
      </c>
      <c r="E39" s="14">
        <f>'D) Ecrêtage'!L33</f>
        <v>0</v>
      </c>
      <c r="F39" s="19">
        <f>$F$10*'D) Ecrêtage'!M33</f>
        <v>338599.85798485996</v>
      </c>
      <c r="G39" s="66">
        <f t="shared" si="0"/>
        <v>348678.33798485994</v>
      </c>
    </row>
    <row r="40" spans="1:7" x14ac:dyDescent="0.25">
      <c r="A40" s="57">
        <f>'A) Base RI'!A36</f>
        <v>5436</v>
      </c>
      <c r="B40" s="350" t="str">
        <f>'A) Base RI'!B36</f>
        <v>Saint-Oyens</v>
      </c>
      <c r="C40" s="14">
        <f>'A) Base RI'!U36</f>
        <v>350</v>
      </c>
      <c r="D40" s="19">
        <f>'C) Prél. conj.'!H34</f>
        <v>32262.424999999999</v>
      </c>
      <c r="E40" s="14">
        <f>'D) Ecrêtage'!L34</f>
        <v>0</v>
      </c>
      <c r="F40" s="19">
        <f>$F$10*'D) Ecrêtage'!M34</f>
        <v>158348.03046463241</v>
      </c>
      <c r="G40" s="66">
        <f t="shared" si="0"/>
        <v>190610.4554646324</v>
      </c>
    </row>
    <row r="41" spans="1:7" x14ac:dyDescent="0.25">
      <c r="A41" s="57">
        <f>'A) Base RI'!A37</f>
        <v>5437</v>
      </c>
      <c r="B41" s="350" t="str">
        <f>'A) Base RI'!B37</f>
        <v>Saubraz</v>
      </c>
      <c r="C41" s="14">
        <f>'A) Base RI'!U37</f>
        <v>420</v>
      </c>
      <c r="D41" s="19">
        <f>'C) Prél. conj.'!H35</f>
        <v>51665.810000000005</v>
      </c>
      <c r="E41" s="14">
        <f>'D) Ecrêtage'!L35</f>
        <v>0</v>
      </c>
      <c r="F41" s="19">
        <f>$F$10*'D) Ecrêtage'!M35</f>
        <v>153271.45520195828</v>
      </c>
      <c r="G41" s="66">
        <f t="shared" si="0"/>
        <v>204937.26520195827</v>
      </c>
    </row>
    <row r="42" spans="1:7" x14ac:dyDescent="0.25">
      <c r="A42" s="57">
        <f>'A) Base RI'!A38</f>
        <v>5451</v>
      </c>
      <c r="B42" s="350" t="str">
        <f>'A) Base RI'!B38</f>
        <v>Avenches</v>
      </c>
      <c r="C42" s="14">
        <f>'A) Base RI'!U38</f>
        <v>4129</v>
      </c>
      <c r="D42" s="19">
        <f>'C) Prél. conj.'!H36</f>
        <v>585547.70499999996</v>
      </c>
      <c r="E42" s="14">
        <f>'D) Ecrêtage'!L36</f>
        <v>0</v>
      </c>
      <c r="F42" s="19">
        <f>$F$10*'D) Ecrêtage'!M36</f>
        <v>1650930.4283562291</v>
      </c>
      <c r="G42" s="66">
        <f t="shared" si="0"/>
        <v>2236478.1333562289</v>
      </c>
    </row>
    <row r="43" spans="1:7" x14ac:dyDescent="0.25">
      <c r="A43" s="57">
        <f>'A) Base RI'!A39</f>
        <v>5456</v>
      </c>
      <c r="B43" s="350" t="str">
        <f>'A) Base RI'!B39</f>
        <v>Cudrefin</v>
      </c>
      <c r="C43" s="14">
        <f>'A) Base RI'!U39</f>
        <v>1555</v>
      </c>
      <c r="D43" s="19">
        <f>'C) Prél. conj.'!H37</f>
        <v>86839.43</v>
      </c>
      <c r="E43" s="14">
        <f>'D) Ecrêtage'!L37</f>
        <v>0</v>
      </c>
      <c r="F43" s="19">
        <f>$F$10*'D) Ecrêtage'!M37</f>
        <v>776634.83668898395</v>
      </c>
      <c r="G43" s="66">
        <f t="shared" si="0"/>
        <v>863474.26668898389</v>
      </c>
    </row>
    <row r="44" spans="1:7" x14ac:dyDescent="0.25">
      <c r="A44" s="57">
        <f>'A) Base RI'!A40</f>
        <v>5458</v>
      </c>
      <c r="B44" s="350" t="str">
        <f>'A) Base RI'!B40</f>
        <v>Faoug</v>
      </c>
      <c r="C44" s="14">
        <f>'A) Base RI'!U40</f>
        <v>870</v>
      </c>
      <c r="D44" s="19">
        <f>'C) Prél. conj.'!H38</f>
        <v>73879.725000000006</v>
      </c>
      <c r="E44" s="14">
        <f>'D) Ecrêtage'!L38</f>
        <v>0</v>
      </c>
      <c r="F44" s="19">
        <f>$F$10*'D) Ecrêtage'!M38</f>
        <v>479099.74568260688</v>
      </c>
      <c r="G44" s="66">
        <f t="shared" si="0"/>
        <v>552979.47068260692</v>
      </c>
    </row>
    <row r="45" spans="1:7" x14ac:dyDescent="0.25">
      <c r="A45" s="57">
        <f>'A) Base RI'!A41</f>
        <v>5464</v>
      </c>
      <c r="B45" s="350" t="str">
        <f>'A) Base RI'!B41</f>
        <v>Vully-les-Lacs</v>
      </c>
      <c r="C45" s="14">
        <f>'A) Base RI'!U41</f>
        <v>2935</v>
      </c>
      <c r="D45" s="19">
        <f>'C) Prél. conj.'!H39</f>
        <v>531731.44999999995</v>
      </c>
      <c r="E45" s="14">
        <f>'D) Ecrêtage'!L39</f>
        <v>0</v>
      </c>
      <c r="F45" s="19">
        <f>$F$10*'D) Ecrêtage'!M39</f>
        <v>1455955.6248046502</v>
      </c>
      <c r="G45" s="66">
        <f t="shared" si="0"/>
        <v>1987687.0748046502</v>
      </c>
    </row>
    <row r="46" spans="1:7" x14ac:dyDescent="0.25">
      <c r="A46" s="57">
        <f>'A) Base RI'!A42</f>
        <v>5471</v>
      </c>
      <c r="B46" s="350" t="str">
        <f>'A) Base RI'!B42</f>
        <v>Bettens</v>
      </c>
      <c r="C46" s="14">
        <f>'A) Base RI'!U42</f>
        <v>584</v>
      </c>
      <c r="D46" s="19">
        <f>'C) Prél. conj.'!H40</f>
        <v>27844.224999999999</v>
      </c>
      <c r="E46" s="14">
        <f>'D) Ecrêtage'!L40</f>
        <v>0</v>
      </c>
      <c r="F46" s="19">
        <f>$F$10*'D) Ecrêtage'!M40</f>
        <v>248666.22751795501</v>
      </c>
      <c r="G46" s="66">
        <f t="shared" si="0"/>
        <v>276510.45251795498</v>
      </c>
    </row>
    <row r="47" spans="1:7" x14ac:dyDescent="0.25">
      <c r="A47" s="57">
        <f>'A) Base RI'!A43</f>
        <v>5472</v>
      </c>
      <c r="B47" s="350" t="str">
        <f>'A) Base RI'!B43</f>
        <v>Bournens</v>
      </c>
      <c r="C47" s="14">
        <f>'A) Base RI'!U43</f>
        <v>370</v>
      </c>
      <c r="D47" s="19">
        <f>'C) Prél. conj.'!H41</f>
        <v>55236.724999999999</v>
      </c>
      <c r="E47" s="14">
        <f>'D) Ecrêtage'!L41</f>
        <v>0</v>
      </c>
      <c r="F47" s="19">
        <f>$F$10*'D) Ecrêtage'!M41</f>
        <v>214542.10412894073</v>
      </c>
      <c r="G47" s="66">
        <f t="shared" si="0"/>
        <v>269778.82912894071</v>
      </c>
    </row>
    <row r="48" spans="1:7" x14ac:dyDescent="0.25">
      <c r="A48" s="57">
        <f>'A) Base RI'!A44</f>
        <v>5473</v>
      </c>
      <c r="B48" s="350" t="str">
        <f>'A) Base RI'!B44</f>
        <v>Boussens</v>
      </c>
      <c r="C48" s="14">
        <f>'A) Base RI'!U44</f>
        <v>980</v>
      </c>
      <c r="D48" s="19">
        <f>'C) Prél. conj.'!H42</f>
        <v>56932.075000000004</v>
      </c>
      <c r="E48" s="14">
        <f>'D) Ecrêtage'!L42</f>
        <v>0</v>
      </c>
      <c r="F48" s="19">
        <f>$F$10*'D) Ecrêtage'!M42</f>
        <v>495199.09361878759</v>
      </c>
      <c r="G48" s="66">
        <f t="shared" si="0"/>
        <v>552131.16861878755</v>
      </c>
    </row>
    <row r="49" spans="1:7" x14ac:dyDescent="0.25">
      <c r="A49" s="57">
        <f>'A) Base RI'!A45</f>
        <v>5474</v>
      </c>
      <c r="B49" s="350" t="str">
        <f>'A) Base RI'!B45</f>
        <v>La Chaux (Cossonay)</v>
      </c>
      <c r="C49" s="14">
        <f>'A) Base RI'!U45</f>
        <v>421</v>
      </c>
      <c r="D49" s="19">
        <f>'C) Prél. conj.'!H43</f>
        <v>51133.35</v>
      </c>
      <c r="E49" s="14">
        <f>'D) Ecrêtage'!L43</f>
        <v>0</v>
      </c>
      <c r="F49" s="19">
        <f>$F$10*'D) Ecrêtage'!M43</f>
        <v>195389.32299209846</v>
      </c>
      <c r="G49" s="66">
        <f t="shared" si="0"/>
        <v>246522.67299209847</v>
      </c>
    </row>
    <row r="50" spans="1:7" x14ac:dyDescent="0.25">
      <c r="A50" s="57">
        <f>'A) Base RI'!A46</f>
        <v>5475</v>
      </c>
      <c r="B50" s="350" t="str">
        <f>'A) Base RI'!B46</f>
        <v>Chavannes-le-Veyron</v>
      </c>
      <c r="C50" s="14">
        <f>'A) Base RI'!U46</f>
        <v>143</v>
      </c>
      <c r="D50" s="19">
        <f>'C) Prél. conj.'!H44</f>
        <v>34046.6</v>
      </c>
      <c r="E50" s="14">
        <f>'D) Ecrêtage'!L44</f>
        <v>0</v>
      </c>
      <c r="F50" s="19">
        <f>$F$10*'D) Ecrêtage'!M44</f>
        <v>40405.510240418756</v>
      </c>
      <c r="G50" s="66">
        <f t="shared" si="0"/>
        <v>74452.110240418755</v>
      </c>
    </row>
    <row r="51" spans="1:7" x14ac:dyDescent="0.25">
      <c r="A51" s="57">
        <f>'A) Base RI'!A47</f>
        <v>5476</v>
      </c>
      <c r="B51" s="350" t="str">
        <f>'A) Base RI'!B47</f>
        <v>Chevilly</v>
      </c>
      <c r="C51" s="14">
        <f>'A) Base RI'!U47</f>
        <v>299</v>
      </c>
      <c r="D51" s="19">
        <f>'C) Prél. conj.'!H45</f>
        <v>26705.449999999997</v>
      </c>
      <c r="E51" s="14">
        <f>'D) Ecrêtage'!L45</f>
        <v>0</v>
      </c>
      <c r="F51" s="19">
        <f>$F$10*'D) Ecrêtage'!M45</f>
        <v>154921.64810638144</v>
      </c>
      <c r="G51" s="66">
        <f t="shared" si="0"/>
        <v>181627.09810638143</v>
      </c>
    </row>
    <row r="52" spans="1:7" x14ac:dyDescent="0.25">
      <c r="A52" s="57">
        <f>'A) Base RI'!A48</f>
        <v>5477</v>
      </c>
      <c r="B52" s="350" t="str">
        <f>'A) Base RI'!B48</f>
        <v>Cossonay</v>
      </c>
      <c r="C52" s="14">
        <f>'A) Base RI'!U48</f>
        <v>3632</v>
      </c>
      <c r="D52" s="19">
        <f>'C) Prél. conj.'!H46</f>
        <v>330207.76</v>
      </c>
      <c r="E52" s="14">
        <f>'D) Ecrêtage'!L46</f>
        <v>0</v>
      </c>
      <c r="F52" s="19">
        <f>$F$10*'D) Ecrêtage'!M46</f>
        <v>1903832.1511241058</v>
      </c>
      <c r="G52" s="66">
        <f t="shared" si="0"/>
        <v>2234039.9111241056</v>
      </c>
    </row>
    <row r="53" spans="1:7" x14ac:dyDescent="0.25">
      <c r="A53" s="57">
        <f>'A) Base RI'!A49</f>
        <v>5478</v>
      </c>
      <c r="B53" s="350" t="str">
        <f>'A) Base RI'!B49</f>
        <v>Cottens</v>
      </c>
      <c r="C53" s="14">
        <f>'A) Base RI'!U49</f>
        <v>483</v>
      </c>
      <c r="D53" s="19">
        <f>'C) Prél. conj.'!H47</f>
        <v>10089.700000000001</v>
      </c>
      <c r="E53" s="14">
        <f>'D) Ecrêtage'!L47</f>
        <v>0</v>
      </c>
      <c r="F53" s="19">
        <f>$F$10*'D) Ecrêtage'!M47</f>
        <v>218676.94378584053</v>
      </c>
      <c r="G53" s="66">
        <f t="shared" si="0"/>
        <v>228766.64378584054</v>
      </c>
    </row>
    <row r="54" spans="1:7" x14ac:dyDescent="0.25">
      <c r="A54" s="57">
        <f>'A) Base RI'!A50</f>
        <v>5479</v>
      </c>
      <c r="B54" s="350" t="str">
        <f>'A) Base RI'!B50</f>
        <v>Cuarnens</v>
      </c>
      <c r="C54" s="14">
        <f>'A) Base RI'!U50</f>
        <v>481</v>
      </c>
      <c r="D54" s="19">
        <f>'C) Prél. conj.'!H48</f>
        <v>50891.275000000009</v>
      </c>
      <c r="E54" s="14">
        <f>'D) Ecrêtage'!L48</f>
        <v>0</v>
      </c>
      <c r="F54" s="19">
        <f>$F$10*'D) Ecrêtage'!M48</f>
        <v>174798.92589399181</v>
      </c>
      <c r="G54" s="66">
        <f t="shared" si="0"/>
        <v>225690.2008939918</v>
      </c>
    </row>
    <row r="55" spans="1:7" x14ac:dyDescent="0.25">
      <c r="A55" s="57">
        <f>'A) Base RI'!A51</f>
        <v>5480</v>
      </c>
      <c r="B55" s="350" t="str">
        <f>'A) Base RI'!B51</f>
        <v>Daillens</v>
      </c>
      <c r="C55" s="14">
        <f>'A) Base RI'!U51</f>
        <v>958</v>
      </c>
      <c r="D55" s="19">
        <f>'C) Prél. conj.'!H49</f>
        <v>96552</v>
      </c>
      <c r="E55" s="14">
        <f>'D) Ecrêtage'!L49</f>
        <v>0</v>
      </c>
      <c r="F55" s="19">
        <f>$F$10*'D) Ecrêtage'!M49</f>
        <v>526870.50651606149</v>
      </c>
      <c r="G55" s="66">
        <f t="shared" si="0"/>
        <v>623422.50651606149</v>
      </c>
    </row>
    <row r="56" spans="1:7" x14ac:dyDescent="0.25">
      <c r="A56" s="57">
        <f>'A) Base RI'!A52</f>
        <v>5481</v>
      </c>
      <c r="B56" s="350" t="str">
        <f>'A) Base RI'!B52</f>
        <v>Dizy</v>
      </c>
      <c r="C56" s="14">
        <f>'A) Base RI'!U52</f>
        <v>222</v>
      </c>
      <c r="D56" s="19">
        <f>'C) Prél. conj.'!H50</f>
        <v>11853.325000000001</v>
      </c>
      <c r="E56" s="14">
        <f>'D) Ecrêtage'!L50</f>
        <v>0</v>
      </c>
      <c r="F56" s="19">
        <f>$F$10*'D) Ecrêtage'!M50</f>
        <v>134548.03345656386</v>
      </c>
      <c r="G56" s="66">
        <f t="shared" si="0"/>
        <v>146401.35845656387</v>
      </c>
    </row>
    <row r="57" spans="1:7" x14ac:dyDescent="0.25">
      <c r="A57" s="57">
        <f>'A) Base RI'!A53</f>
        <v>5482</v>
      </c>
      <c r="B57" s="350" t="str">
        <f>'A) Base RI'!B53</f>
        <v>Eclépens</v>
      </c>
      <c r="C57" s="14">
        <f>'A) Base RI'!U53</f>
        <v>1043</v>
      </c>
      <c r="D57" s="19">
        <f>'C) Prél. conj.'!H51</f>
        <v>193114.84</v>
      </c>
      <c r="E57" s="14">
        <f>'D) Ecrêtage'!L51</f>
        <v>0</v>
      </c>
      <c r="F57" s="19">
        <f>$F$10*'D) Ecrêtage'!M51</f>
        <v>405023.54767662153</v>
      </c>
      <c r="G57" s="66">
        <f t="shared" si="0"/>
        <v>598138.38767662155</v>
      </c>
    </row>
    <row r="58" spans="1:7" x14ac:dyDescent="0.25">
      <c r="A58" s="57">
        <f>'A) Base RI'!A54</f>
        <v>5483</v>
      </c>
      <c r="B58" s="350" t="str">
        <f>'A) Base RI'!B54</f>
        <v>Ferreyres</v>
      </c>
      <c r="C58" s="14">
        <f>'A) Base RI'!U54</f>
        <v>316</v>
      </c>
      <c r="D58" s="19">
        <f>'C) Prél. conj.'!H52</f>
        <v>4867.5</v>
      </c>
      <c r="E58" s="14">
        <f>'D) Ecrêtage'!L52</f>
        <v>0</v>
      </c>
      <c r="F58" s="19">
        <f>$F$10*'D) Ecrêtage'!M52</f>
        <v>147754.57403882308</v>
      </c>
      <c r="G58" s="66">
        <f t="shared" si="0"/>
        <v>152622.07403882308</v>
      </c>
    </row>
    <row r="59" spans="1:7" x14ac:dyDescent="0.25">
      <c r="A59" s="57">
        <f>'A) Base RI'!A55</f>
        <v>5484</v>
      </c>
      <c r="B59" s="350" t="str">
        <f>'A) Base RI'!B55</f>
        <v>Gollion</v>
      </c>
      <c r="C59" s="14">
        <f>'A) Base RI'!U55</f>
        <v>902</v>
      </c>
      <c r="D59" s="19">
        <f>'C) Prél. conj.'!H53</f>
        <v>110390.285</v>
      </c>
      <c r="E59" s="14">
        <f>'D) Ecrêtage'!L53</f>
        <v>0</v>
      </c>
      <c r="F59" s="19">
        <f>$F$10*'D) Ecrêtage'!M53</f>
        <v>439365.79139007221</v>
      </c>
      <c r="G59" s="66">
        <f t="shared" si="0"/>
        <v>549756.07639007224</v>
      </c>
    </row>
    <row r="60" spans="1:7" x14ac:dyDescent="0.25">
      <c r="A60" s="57">
        <f>'A) Base RI'!A56</f>
        <v>5485</v>
      </c>
      <c r="B60" s="350" t="str">
        <f>'A) Base RI'!B56</f>
        <v>Grancy</v>
      </c>
      <c r="C60" s="14">
        <f>'A) Base RI'!U56</f>
        <v>408</v>
      </c>
      <c r="D60" s="19">
        <f>'C) Prél. conj.'!H54</f>
        <v>32116.424999999999</v>
      </c>
      <c r="E60" s="14">
        <f>'D) Ecrêtage'!L54</f>
        <v>0</v>
      </c>
      <c r="F60" s="19">
        <f>$F$10*'D) Ecrêtage'!M54</f>
        <v>227877.80726107364</v>
      </c>
      <c r="G60" s="66">
        <f t="shared" si="0"/>
        <v>259994.23226107363</v>
      </c>
    </row>
    <row r="61" spans="1:7" x14ac:dyDescent="0.25">
      <c r="A61" s="57">
        <f>'A) Base RI'!A57</f>
        <v>5486</v>
      </c>
      <c r="B61" s="350" t="str">
        <f>'A) Base RI'!B57</f>
        <v>L'Isle</v>
      </c>
      <c r="C61" s="14">
        <f>'A) Base RI'!U57</f>
        <v>1033</v>
      </c>
      <c r="D61" s="19">
        <f>'C) Prél. conj.'!H55</f>
        <v>118025.565</v>
      </c>
      <c r="E61" s="14">
        <f>'D) Ecrêtage'!L55</f>
        <v>0</v>
      </c>
      <c r="F61" s="19">
        <f>$F$10*'D) Ecrêtage'!M55</f>
        <v>451019.20546730666</v>
      </c>
      <c r="G61" s="66">
        <f t="shared" si="0"/>
        <v>569044.77046730672</v>
      </c>
    </row>
    <row r="62" spans="1:7" x14ac:dyDescent="0.25">
      <c r="A62" s="57">
        <f>'A) Base RI'!A58</f>
        <v>5487</v>
      </c>
      <c r="B62" s="350" t="str">
        <f>'A) Base RI'!B58</f>
        <v>Lussery-Villars</v>
      </c>
      <c r="C62" s="14">
        <f>'A) Base RI'!U58</f>
        <v>462</v>
      </c>
      <c r="D62" s="19">
        <f>'C) Prél. conj.'!H56</f>
        <v>20212.48</v>
      </c>
      <c r="E62" s="14">
        <f>'D) Ecrêtage'!L56</f>
        <v>0</v>
      </c>
      <c r="F62" s="19">
        <f>$F$10*'D) Ecrêtage'!M56</f>
        <v>198699.11243544187</v>
      </c>
      <c r="G62" s="66">
        <f t="shared" si="0"/>
        <v>218911.59243544188</v>
      </c>
    </row>
    <row r="63" spans="1:7" x14ac:dyDescent="0.25">
      <c r="A63" s="57">
        <f>'A) Base RI'!A59</f>
        <v>5488</v>
      </c>
      <c r="B63" s="350" t="str">
        <f>'A) Base RI'!B59</f>
        <v>Mauraz</v>
      </c>
      <c r="C63" s="14">
        <f>'A) Base RI'!U59</f>
        <v>53</v>
      </c>
      <c r="D63" s="19">
        <f>'C) Prél. conj.'!H57</f>
        <v>0</v>
      </c>
      <c r="E63" s="14">
        <f>'D) Ecrêtage'!L57</f>
        <v>0</v>
      </c>
      <c r="F63" s="19">
        <f>$F$10*'D) Ecrêtage'!M57</f>
        <v>24261.751772291955</v>
      </c>
      <c r="G63" s="66">
        <f t="shared" si="0"/>
        <v>24261.751772291955</v>
      </c>
    </row>
    <row r="64" spans="1:7" x14ac:dyDescent="0.25">
      <c r="A64" s="57">
        <f>'A) Base RI'!A60</f>
        <v>5489</v>
      </c>
      <c r="B64" s="350" t="str">
        <f>'A) Base RI'!B60</f>
        <v>Mex</v>
      </c>
      <c r="C64" s="14">
        <f>'A) Base RI'!U60</f>
        <v>710</v>
      </c>
      <c r="D64" s="19">
        <f>'C) Prél. conj.'!H58</f>
        <v>124379.29999999999</v>
      </c>
      <c r="E64" s="14">
        <f>'D) Ecrêtage'!L58</f>
        <v>158105.58410500133</v>
      </c>
      <c r="F64" s="19">
        <f>$F$10*'D) Ecrêtage'!M58</f>
        <v>689441.18273596768</v>
      </c>
      <c r="G64" s="66">
        <f t="shared" si="0"/>
        <v>971926.06684096903</v>
      </c>
    </row>
    <row r="65" spans="1:7" x14ac:dyDescent="0.25">
      <c r="A65" s="57">
        <f>'A) Base RI'!A61</f>
        <v>5490</v>
      </c>
      <c r="B65" s="350" t="str">
        <f>'A) Base RI'!B61</f>
        <v>Moiry</v>
      </c>
      <c r="C65" s="14">
        <f>'A) Base RI'!U61</f>
        <v>304</v>
      </c>
      <c r="D65" s="19">
        <f>'C) Prél. conj.'!H59</f>
        <v>16630.8</v>
      </c>
      <c r="E65" s="14">
        <f>'D) Ecrêtage'!L59</f>
        <v>0</v>
      </c>
      <c r="F65" s="19">
        <f>$F$10*'D) Ecrêtage'!M59</f>
        <v>112562.52061451112</v>
      </c>
      <c r="G65" s="66">
        <f t="shared" si="0"/>
        <v>129193.32061451112</v>
      </c>
    </row>
    <row r="66" spans="1:7" x14ac:dyDescent="0.25">
      <c r="A66" s="57">
        <f>'A) Base RI'!A62</f>
        <v>5491</v>
      </c>
      <c r="B66" s="350" t="str">
        <f>'A) Base RI'!B62</f>
        <v>Mont-la-Ville</v>
      </c>
      <c r="C66" s="14">
        <f>'A) Base RI'!U62</f>
        <v>402</v>
      </c>
      <c r="D66" s="19">
        <f>'C) Prél. conj.'!H60</f>
        <v>58132.154999999999</v>
      </c>
      <c r="E66" s="14">
        <f>'D) Ecrêtage'!L60</f>
        <v>0</v>
      </c>
      <c r="F66" s="19">
        <f>$F$10*'D) Ecrêtage'!M60</f>
        <v>132373.8550475084</v>
      </c>
      <c r="G66" s="66">
        <f t="shared" si="0"/>
        <v>190506.0100475084</v>
      </c>
    </row>
    <row r="67" spans="1:7" x14ac:dyDescent="0.25">
      <c r="A67" s="57">
        <f>'A) Base RI'!A63</f>
        <v>5492</v>
      </c>
      <c r="B67" s="350" t="str">
        <f>'A) Base RI'!B63</f>
        <v>Montricher</v>
      </c>
      <c r="C67" s="14">
        <f>'A) Base RI'!U63</f>
        <v>951</v>
      </c>
      <c r="D67" s="19">
        <f>'C) Prél. conj.'!H61</f>
        <v>62867.974999999999</v>
      </c>
      <c r="E67" s="14">
        <f>'D) Ecrêtage'!L61</f>
        <v>5457151.8579714708</v>
      </c>
      <c r="F67" s="19">
        <f>$F$10*'D) Ecrêtage'!M61</f>
        <v>2406838.576081912</v>
      </c>
      <c r="G67" s="66">
        <f t="shared" si="0"/>
        <v>7926858.4090533834</v>
      </c>
    </row>
    <row r="68" spans="1:7" x14ac:dyDescent="0.25">
      <c r="A68" s="57">
        <f>'A) Base RI'!A64</f>
        <v>5493</v>
      </c>
      <c r="B68" s="350" t="str">
        <f>'A) Base RI'!B64</f>
        <v>Orny</v>
      </c>
      <c r="C68" s="14">
        <f>'A) Base RI'!U64</f>
        <v>371</v>
      </c>
      <c r="D68" s="19">
        <f>'C) Prél. conj.'!H62</f>
        <v>127744.24500000001</v>
      </c>
      <c r="E68" s="14">
        <f>'D) Ecrêtage'!L62</f>
        <v>0</v>
      </c>
      <c r="F68" s="19">
        <f>$F$10*'D) Ecrêtage'!M62</f>
        <v>137251.91747949677</v>
      </c>
      <c r="G68" s="66">
        <f t="shared" si="0"/>
        <v>264996.16247949679</v>
      </c>
    </row>
    <row r="69" spans="1:7" x14ac:dyDescent="0.25">
      <c r="A69" s="57">
        <f>'A) Base RI'!A65</f>
        <v>5494</v>
      </c>
      <c r="B69" s="350" t="str">
        <f>'A) Base RI'!B65</f>
        <v>Pampigny</v>
      </c>
      <c r="C69" s="14">
        <f>'A) Base RI'!U65</f>
        <v>1116</v>
      </c>
      <c r="D69" s="19">
        <f>'C) Prél. conj.'!H63</f>
        <v>114624.285</v>
      </c>
      <c r="E69" s="14">
        <f>'D) Ecrêtage'!L63</f>
        <v>0</v>
      </c>
      <c r="F69" s="19">
        <f>$F$10*'D) Ecrêtage'!M63</f>
        <v>556287.29948577681</v>
      </c>
      <c r="G69" s="66">
        <f t="shared" si="0"/>
        <v>670911.58448577684</v>
      </c>
    </row>
    <row r="70" spans="1:7" x14ac:dyDescent="0.25">
      <c r="A70" s="57">
        <f>'A) Base RI'!A66</f>
        <v>5495</v>
      </c>
      <c r="B70" s="350" t="str">
        <f>'A) Base RI'!B66</f>
        <v>Penthalaz</v>
      </c>
      <c r="C70" s="14">
        <f>'A) Base RI'!U66</f>
        <v>3252</v>
      </c>
      <c r="D70" s="19">
        <f>'C) Prél. conj.'!H64</f>
        <v>165889.23500000002</v>
      </c>
      <c r="E70" s="14">
        <f>'D) Ecrêtage'!L64</f>
        <v>0</v>
      </c>
      <c r="F70" s="19">
        <f>$F$10*'D) Ecrêtage'!M64</f>
        <v>1503206.9931530983</v>
      </c>
      <c r="G70" s="66">
        <f t="shared" si="0"/>
        <v>1669096.2281530984</v>
      </c>
    </row>
    <row r="71" spans="1:7" x14ac:dyDescent="0.25">
      <c r="A71" s="57">
        <f>'A) Base RI'!A67</f>
        <v>5496</v>
      </c>
      <c r="B71" s="350" t="str">
        <f>'A) Base RI'!B67</f>
        <v>Penthaz</v>
      </c>
      <c r="C71" s="14">
        <f>'A) Base RI'!U67</f>
        <v>1703</v>
      </c>
      <c r="D71" s="19">
        <f>'C) Prél. conj.'!H65</f>
        <v>80283.09</v>
      </c>
      <c r="E71" s="14">
        <f>'D) Ecrêtage'!L65</f>
        <v>0</v>
      </c>
      <c r="F71" s="19">
        <f>$F$10*'D) Ecrêtage'!M65</f>
        <v>799791.99237704487</v>
      </c>
      <c r="G71" s="66">
        <f t="shared" si="0"/>
        <v>880075.08237704483</v>
      </c>
    </row>
    <row r="72" spans="1:7" x14ac:dyDescent="0.25">
      <c r="A72" s="57">
        <f>'A) Base RI'!A68</f>
        <v>5497</v>
      </c>
      <c r="B72" s="350" t="str">
        <f>'A) Base RI'!B68</f>
        <v>Pompaples</v>
      </c>
      <c r="C72" s="14">
        <f>'A) Base RI'!U68</f>
        <v>859</v>
      </c>
      <c r="D72" s="19">
        <f>'C) Prél. conj.'!H66</f>
        <v>170193.16500000001</v>
      </c>
      <c r="E72" s="14">
        <f>'D) Ecrêtage'!L66</f>
        <v>0</v>
      </c>
      <c r="F72" s="19">
        <f>$F$10*'D) Ecrêtage'!M66</f>
        <v>336702.31013519334</v>
      </c>
      <c r="G72" s="66">
        <f t="shared" si="0"/>
        <v>506895.47513519332</v>
      </c>
    </row>
    <row r="73" spans="1:7" x14ac:dyDescent="0.25">
      <c r="A73" s="57">
        <f>'A) Base RI'!A69</f>
        <v>5498</v>
      </c>
      <c r="B73" s="350" t="str">
        <f>'A) Base RI'!B69</f>
        <v>La Sarraz</v>
      </c>
      <c r="C73" s="14">
        <f>'A) Base RI'!U69</f>
        <v>2567</v>
      </c>
      <c r="D73" s="19">
        <f>'C) Prél. conj.'!H67</f>
        <v>173785.83000000002</v>
      </c>
      <c r="E73" s="14">
        <f>'D) Ecrêtage'!L67</f>
        <v>0</v>
      </c>
      <c r="F73" s="19">
        <f>$F$10*'D) Ecrêtage'!M67</f>
        <v>1115728.5910880903</v>
      </c>
      <c r="G73" s="66">
        <f t="shared" si="0"/>
        <v>1289514.4210880904</v>
      </c>
    </row>
    <row r="74" spans="1:7" x14ac:dyDescent="0.25">
      <c r="A74" s="57">
        <f>'A) Base RI'!A70</f>
        <v>5499</v>
      </c>
      <c r="B74" s="350" t="str">
        <f>'A) Base RI'!B70</f>
        <v>Senarclens</v>
      </c>
      <c r="C74" s="14">
        <f>'A) Base RI'!U70</f>
        <v>459</v>
      </c>
      <c r="D74" s="19">
        <f>'C) Prél. conj.'!H68</f>
        <v>58332.87</v>
      </c>
      <c r="E74" s="14">
        <f>'D) Ecrêtage'!L68</f>
        <v>0</v>
      </c>
      <c r="F74" s="19">
        <f>$F$10*'D) Ecrêtage'!M68</f>
        <v>280969.69163059001</v>
      </c>
      <c r="G74" s="66">
        <f t="shared" si="0"/>
        <v>339302.56163059</v>
      </c>
    </row>
    <row r="75" spans="1:7" x14ac:dyDescent="0.25">
      <c r="A75" s="57">
        <f>'A) Base RI'!A71</f>
        <v>5500</v>
      </c>
      <c r="B75" s="350" t="str">
        <f>'A) Base RI'!B71</f>
        <v>Sévery</v>
      </c>
      <c r="C75" s="14">
        <f>'A) Base RI'!U71</f>
        <v>243</v>
      </c>
      <c r="D75" s="19">
        <f>'C) Prél. conj.'!H69</f>
        <v>7204.0450000000001</v>
      </c>
      <c r="E75" s="14">
        <f>'D) Ecrêtage'!L69</f>
        <v>0</v>
      </c>
      <c r="F75" s="19">
        <f>$F$10*'D) Ecrêtage'!M69</f>
        <v>121373.2832113887</v>
      </c>
      <c r="G75" s="66">
        <f t="shared" si="0"/>
        <v>128577.3282113887</v>
      </c>
    </row>
    <row r="76" spans="1:7" x14ac:dyDescent="0.25">
      <c r="A76" s="57">
        <f>'A) Base RI'!A72</f>
        <v>5501</v>
      </c>
      <c r="B76" s="350" t="str">
        <f>'A) Base RI'!B72</f>
        <v>Sullens</v>
      </c>
      <c r="C76" s="14">
        <f>'A) Base RI'!U72</f>
        <v>978</v>
      </c>
      <c r="D76" s="19">
        <f>'C) Prél. conj.'!H70</f>
        <v>172330.125</v>
      </c>
      <c r="E76" s="14">
        <f>'D) Ecrêtage'!L70</f>
        <v>0</v>
      </c>
      <c r="F76" s="19">
        <f>$F$10*'D) Ecrêtage'!M70</f>
        <v>540257.75803510018</v>
      </c>
      <c r="G76" s="66">
        <f t="shared" ref="G76:G139" si="1">D76+F76+E76</f>
        <v>712587.88303510018</v>
      </c>
    </row>
    <row r="77" spans="1:7" x14ac:dyDescent="0.25">
      <c r="A77" s="57">
        <f>'A) Base RI'!A73</f>
        <v>5503</v>
      </c>
      <c r="B77" s="350" t="str">
        <f>'A) Base RI'!B73</f>
        <v>Vufflens-la-Ville</v>
      </c>
      <c r="C77" s="14">
        <f>'A) Base RI'!U73</f>
        <v>1252</v>
      </c>
      <c r="D77" s="19">
        <f>'C) Prél. conj.'!H71</f>
        <v>314846.40000000002</v>
      </c>
      <c r="E77" s="14">
        <f>'D) Ecrêtage'!L71</f>
        <v>0</v>
      </c>
      <c r="F77" s="19">
        <f>$F$10*'D) Ecrêtage'!M71</f>
        <v>981532.7760947427</v>
      </c>
      <c r="G77" s="66">
        <f t="shared" si="1"/>
        <v>1296379.1760947427</v>
      </c>
    </row>
    <row r="78" spans="1:7" x14ac:dyDescent="0.25">
      <c r="A78" s="57">
        <f>'A) Base RI'!A74</f>
        <v>5511</v>
      </c>
      <c r="B78" s="350" t="str">
        <f>'A) Base RI'!B74</f>
        <v>Assens</v>
      </c>
      <c r="C78" s="14">
        <f>'A) Base RI'!U74</f>
        <v>1060</v>
      </c>
      <c r="D78" s="19">
        <f>'C) Prél. conj.'!H72</f>
        <v>96016.375</v>
      </c>
      <c r="E78" s="14">
        <f>'D) Ecrêtage'!L72</f>
        <v>0</v>
      </c>
      <c r="F78" s="19">
        <f>$F$10*'D) Ecrêtage'!M72</f>
        <v>604592.5121391787</v>
      </c>
      <c r="G78" s="66">
        <f t="shared" si="1"/>
        <v>700608.8871391787</v>
      </c>
    </row>
    <row r="79" spans="1:7" x14ac:dyDescent="0.25">
      <c r="A79" s="57">
        <f>'A) Base RI'!A75</f>
        <v>5512</v>
      </c>
      <c r="B79" s="350" t="str">
        <f>'A) Base RI'!B75</f>
        <v>Bercher</v>
      </c>
      <c r="C79" s="14">
        <f>'A) Base RI'!U75</f>
        <v>1157</v>
      </c>
      <c r="D79" s="19">
        <f>'C) Prél. conj.'!H73</f>
        <v>155335.82</v>
      </c>
      <c r="E79" s="14">
        <f>'D) Ecrêtage'!L73</f>
        <v>0</v>
      </c>
      <c r="F79" s="19">
        <f>$F$10*'D) Ecrêtage'!M73</f>
        <v>530561.68769321661</v>
      </c>
      <c r="G79" s="66">
        <f t="shared" si="1"/>
        <v>685897.50769321667</v>
      </c>
    </row>
    <row r="80" spans="1:7" x14ac:dyDescent="0.25">
      <c r="A80" s="57">
        <f>'A) Base RI'!A76</f>
        <v>5513</v>
      </c>
      <c r="B80" s="350" t="str">
        <f>'A) Base RI'!B76</f>
        <v>Bioley-Orjulaz</v>
      </c>
      <c r="C80" s="14">
        <f>'A) Base RI'!U76</f>
        <v>483</v>
      </c>
      <c r="D80" s="19">
        <f>'C) Prél. conj.'!H74</f>
        <v>48446.304999999993</v>
      </c>
      <c r="E80" s="14">
        <f>'D) Ecrêtage'!L74</f>
        <v>0</v>
      </c>
      <c r="F80" s="19">
        <f>$F$10*'D) Ecrêtage'!M74</f>
        <v>339251.39159238164</v>
      </c>
      <c r="G80" s="66">
        <f t="shared" si="1"/>
        <v>387697.69659238163</v>
      </c>
    </row>
    <row r="81" spans="1:7" x14ac:dyDescent="0.25">
      <c r="A81" s="57">
        <f>'A) Base RI'!A77</f>
        <v>5514</v>
      </c>
      <c r="B81" s="350" t="str">
        <f>'A) Base RI'!B77</f>
        <v>Bottens</v>
      </c>
      <c r="C81" s="14">
        <f>'A) Base RI'!U77</f>
        <v>1240</v>
      </c>
      <c r="D81" s="19">
        <f>'C) Prél. conj.'!H75</f>
        <v>129886.285</v>
      </c>
      <c r="E81" s="14">
        <f>'D) Ecrêtage'!L75</f>
        <v>0</v>
      </c>
      <c r="F81" s="19">
        <f>$F$10*'D) Ecrêtage'!M75</f>
        <v>613460.31370561221</v>
      </c>
      <c r="G81" s="66">
        <f t="shared" si="1"/>
        <v>743346.59870561224</v>
      </c>
    </row>
    <row r="82" spans="1:7" x14ac:dyDescent="0.25">
      <c r="A82" s="57">
        <f>'A) Base RI'!A78</f>
        <v>5515</v>
      </c>
      <c r="B82" s="350" t="str">
        <f>'A) Base RI'!B78</f>
        <v>Bretigny-sur-Morrens</v>
      </c>
      <c r="C82" s="14">
        <f>'A) Base RI'!U78</f>
        <v>817</v>
      </c>
      <c r="D82" s="19">
        <f>'C) Prél. conj.'!H76</f>
        <v>41417.124999999993</v>
      </c>
      <c r="E82" s="14">
        <f>'D) Ecrêtage'!L76</f>
        <v>0</v>
      </c>
      <c r="F82" s="19">
        <f>$F$10*'D) Ecrêtage'!M76</f>
        <v>387834.73854196089</v>
      </c>
      <c r="G82" s="66">
        <f t="shared" si="1"/>
        <v>429251.86354196089</v>
      </c>
    </row>
    <row r="83" spans="1:7" x14ac:dyDescent="0.25">
      <c r="A83" s="57">
        <f>'A) Base RI'!A79</f>
        <v>5516</v>
      </c>
      <c r="B83" s="350" t="str">
        <f>'A) Base RI'!B79</f>
        <v>Cugy</v>
      </c>
      <c r="C83" s="14">
        <f>'A) Base RI'!U79</f>
        <v>2739</v>
      </c>
      <c r="D83" s="19">
        <f>'C) Prél. conj.'!H77</f>
        <v>238769.27000000002</v>
      </c>
      <c r="E83" s="14">
        <f>'D) Ecrêtage'!L77</f>
        <v>0</v>
      </c>
      <c r="F83" s="19">
        <f>$F$10*'D) Ecrêtage'!M77</f>
        <v>1628325.9578269618</v>
      </c>
      <c r="G83" s="66">
        <f t="shared" si="1"/>
        <v>1867095.2278269618</v>
      </c>
    </row>
    <row r="84" spans="1:7" x14ac:dyDescent="0.25">
      <c r="A84" s="57">
        <f>'A) Base RI'!A80</f>
        <v>5518</v>
      </c>
      <c r="B84" s="350" t="str">
        <f>'A) Base RI'!B80</f>
        <v>Echallens</v>
      </c>
      <c r="C84" s="14">
        <f>'A) Base RI'!U80</f>
        <v>5677</v>
      </c>
      <c r="D84" s="19">
        <f>'C) Prél. conj.'!H78</f>
        <v>695077.7300000001</v>
      </c>
      <c r="E84" s="14">
        <f>'D) Ecrêtage'!L78</f>
        <v>0</v>
      </c>
      <c r="F84" s="19">
        <f>$F$10*'D) Ecrêtage'!M78</f>
        <v>2830983.4037132086</v>
      </c>
      <c r="G84" s="66">
        <f t="shared" si="1"/>
        <v>3526061.1337132086</v>
      </c>
    </row>
    <row r="85" spans="1:7" x14ac:dyDescent="0.25">
      <c r="A85" s="57">
        <f>'A) Base RI'!A81</f>
        <v>5520</v>
      </c>
      <c r="B85" s="350" t="str">
        <f>'A) Base RI'!B81</f>
        <v>Essertines-sur-Yverdon</v>
      </c>
      <c r="C85" s="14">
        <f>'A) Base RI'!U81</f>
        <v>943</v>
      </c>
      <c r="D85" s="19">
        <f>'C) Prél. conj.'!H79</f>
        <v>60544.505000000005</v>
      </c>
      <c r="E85" s="14">
        <f>'D) Ecrêtage'!L79</f>
        <v>0</v>
      </c>
      <c r="F85" s="19">
        <f>$F$10*'D) Ecrêtage'!M79</f>
        <v>424743.93777312397</v>
      </c>
      <c r="G85" s="66">
        <f t="shared" si="1"/>
        <v>485288.44277312397</v>
      </c>
    </row>
    <row r="86" spans="1:7" x14ac:dyDescent="0.25">
      <c r="A86" s="57">
        <f>'A) Base RI'!A82</f>
        <v>5521</v>
      </c>
      <c r="B86" s="350" t="str">
        <f>'A) Base RI'!B82</f>
        <v>Etagnières</v>
      </c>
      <c r="C86" s="14">
        <f>'A) Base RI'!U82</f>
        <v>1118</v>
      </c>
      <c r="D86" s="19">
        <f>'C) Prél. conj.'!H80</f>
        <v>54710.270000000004</v>
      </c>
      <c r="E86" s="14">
        <f>'D) Ecrêtage'!L80</f>
        <v>0</v>
      </c>
      <c r="F86" s="19">
        <f>$F$10*'D) Ecrêtage'!M80</f>
        <v>614641.01224100916</v>
      </c>
      <c r="G86" s="66">
        <f t="shared" si="1"/>
        <v>669351.28224100918</v>
      </c>
    </row>
    <row r="87" spans="1:7" x14ac:dyDescent="0.25">
      <c r="A87" s="57">
        <f>'A) Base RI'!A83</f>
        <v>5522</v>
      </c>
      <c r="B87" s="350" t="str">
        <f>'A) Base RI'!B83</f>
        <v>Fey</v>
      </c>
      <c r="C87" s="14">
        <f>'A) Base RI'!U83</f>
        <v>696</v>
      </c>
      <c r="D87" s="19">
        <f>'C) Prél. conj.'!H81</f>
        <v>78564.930000000008</v>
      </c>
      <c r="E87" s="14">
        <f>'D) Ecrêtage'!L81</f>
        <v>0</v>
      </c>
      <c r="F87" s="19">
        <f>$F$10*'D) Ecrêtage'!M81</f>
        <v>288879.41815126868</v>
      </c>
      <c r="G87" s="66">
        <f t="shared" si="1"/>
        <v>367444.34815126867</v>
      </c>
    </row>
    <row r="88" spans="1:7" x14ac:dyDescent="0.25">
      <c r="A88" s="57">
        <f>'A) Base RI'!A84</f>
        <v>5523</v>
      </c>
      <c r="B88" s="350" t="str">
        <f>'A) Base RI'!B84</f>
        <v>Froideville</v>
      </c>
      <c r="C88" s="14">
        <f>'A) Base RI'!U84</f>
        <v>2459</v>
      </c>
      <c r="D88" s="19">
        <f>'C) Prél. conj.'!H82</f>
        <v>303466.14499999996</v>
      </c>
      <c r="E88" s="14">
        <f>'D) Ecrêtage'!L82</f>
        <v>0</v>
      </c>
      <c r="F88" s="19">
        <f>$F$10*'D) Ecrêtage'!M82</f>
        <v>1167028.3065820872</v>
      </c>
      <c r="G88" s="66">
        <f t="shared" si="1"/>
        <v>1470494.4515820872</v>
      </c>
    </row>
    <row r="89" spans="1:7" x14ac:dyDescent="0.25">
      <c r="A89" s="57">
        <f>'A) Base RI'!A85</f>
        <v>5527</v>
      </c>
      <c r="B89" s="350" t="str">
        <f>'A) Base RI'!B85</f>
        <v>Morrens</v>
      </c>
      <c r="C89" s="14">
        <f>'A) Base RI'!U85</f>
        <v>1074</v>
      </c>
      <c r="D89" s="19">
        <f>'C) Prél. conj.'!H83</f>
        <v>36561.4</v>
      </c>
      <c r="E89" s="14">
        <f>'D) Ecrêtage'!L83</f>
        <v>0</v>
      </c>
      <c r="F89" s="19">
        <f>$F$10*'D) Ecrêtage'!M83</f>
        <v>567817.66150004661</v>
      </c>
      <c r="G89" s="66">
        <f t="shared" si="1"/>
        <v>604379.06150004664</v>
      </c>
    </row>
    <row r="90" spans="1:7" x14ac:dyDescent="0.25">
      <c r="A90" s="57">
        <f>'A) Base RI'!A86</f>
        <v>5529</v>
      </c>
      <c r="B90" s="350" t="str">
        <f>'A) Base RI'!B86</f>
        <v>Oulens-sous-Echallens</v>
      </c>
      <c r="C90" s="14">
        <f>'A) Base RI'!U86</f>
        <v>560</v>
      </c>
      <c r="D90" s="19">
        <f>'C) Prél. conj.'!H84</f>
        <v>37081.550000000003</v>
      </c>
      <c r="E90" s="14">
        <f>'D) Ecrêtage'!L84</f>
        <v>0</v>
      </c>
      <c r="F90" s="19">
        <f>$F$10*'D) Ecrêtage'!M84</f>
        <v>300454.80202291673</v>
      </c>
      <c r="G90" s="66">
        <f t="shared" si="1"/>
        <v>337536.35202291672</v>
      </c>
    </row>
    <row r="91" spans="1:7" x14ac:dyDescent="0.25">
      <c r="A91" s="57">
        <f>'A) Base RI'!A87</f>
        <v>5530</v>
      </c>
      <c r="B91" s="350" t="str">
        <f>'A) Base RI'!B87</f>
        <v>Pailly</v>
      </c>
      <c r="C91" s="14">
        <f>'A) Base RI'!U87</f>
        <v>534</v>
      </c>
      <c r="D91" s="19">
        <f>'C) Prél. conj.'!H85</f>
        <v>5925.75</v>
      </c>
      <c r="E91" s="14">
        <f>'D) Ecrêtage'!L85</f>
        <v>0</v>
      </c>
      <c r="F91" s="19">
        <f>$F$10*'D) Ecrêtage'!M85</f>
        <v>230872.24227257207</v>
      </c>
      <c r="G91" s="66">
        <f t="shared" si="1"/>
        <v>236797.99227257207</v>
      </c>
    </row>
    <row r="92" spans="1:7" x14ac:dyDescent="0.25">
      <c r="A92" s="57">
        <f>'A) Base RI'!A88</f>
        <v>5531</v>
      </c>
      <c r="B92" s="350" t="str">
        <f>'A) Base RI'!B88</f>
        <v>Penthéréaz</v>
      </c>
      <c r="C92" s="14">
        <f>'A) Base RI'!U88</f>
        <v>411</v>
      </c>
      <c r="D92" s="19">
        <f>'C) Prél. conj.'!H86</f>
        <v>28175.095000000001</v>
      </c>
      <c r="E92" s="14">
        <f>'D) Ecrêtage'!L86</f>
        <v>0</v>
      </c>
      <c r="F92" s="19">
        <f>$F$10*'D) Ecrêtage'!M86</f>
        <v>182945.36304267723</v>
      </c>
      <c r="G92" s="66">
        <f t="shared" si="1"/>
        <v>211120.45804267723</v>
      </c>
    </row>
    <row r="93" spans="1:7" x14ac:dyDescent="0.25">
      <c r="A93" s="57">
        <f>'A) Base RI'!A89</f>
        <v>5533</v>
      </c>
      <c r="B93" s="350" t="str">
        <f>'A) Base RI'!B89</f>
        <v>Poliez-Pittet</v>
      </c>
      <c r="C93" s="14">
        <f>'A) Base RI'!U89</f>
        <v>844</v>
      </c>
      <c r="D93" s="19">
        <f>'C) Prél. conj.'!H87</f>
        <v>24527.825000000001</v>
      </c>
      <c r="E93" s="14">
        <f>'D) Ecrêtage'!L87</f>
        <v>0</v>
      </c>
      <c r="F93" s="19">
        <f>$F$10*'D) Ecrêtage'!M87</f>
        <v>408850.70462437789</v>
      </c>
      <c r="G93" s="66">
        <f t="shared" si="1"/>
        <v>433378.5296243779</v>
      </c>
    </row>
    <row r="94" spans="1:7" x14ac:dyDescent="0.25">
      <c r="A94" s="57">
        <f>'A) Base RI'!A90</f>
        <v>5534</v>
      </c>
      <c r="B94" s="350" t="str">
        <f>'A) Base RI'!B90</f>
        <v>Rueyres</v>
      </c>
      <c r="C94" s="14">
        <f>'A) Base RI'!U90</f>
        <v>271</v>
      </c>
      <c r="D94" s="19">
        <f>'C) Prél. conj.'!H88</f>
        <v>142200.29500000001</v>
      </c>
      <c r="E94" s="14">
        <f>'D) Ecrêtage'!L88</f>
        <v>0</v>
      </c>
      <c r="F94" s="19">
        <f>$F$10*'D) Ecrêtage'!M88</f>
        <v>165295.24559854335</v>
      </c>
      <c r="G94" s="66">
        <f t="shared" si="1"/>
        <v>307495.54059854336</v>
      </c>
    </row>
    <row r="95" spans="1:7" x14ac:dyDescent="0.25">
      <c r="A95" s="57">
        <f>'A) Base RI'!A91</f>
        <v>5535</v>
      </c>
      <c r="B95" s="350" t="str">
        <f>'A) Base RI'!B91</f>
        <v>Saint-Barthélemy</v>
      </c>
      <c r="C95" s="14">
        <f>'A) Base RI'!U91</f>
        <v>777</v>
      </c>
      <c r="D95" s="19">
        <f>'C) Prél. conj.'!H89</f>
        <v>21105.72</v>
      </c>
      <c r="E95" s="14">
        <f>'D) Ecrêtage'!L89</f>
        <v>0</v>
      </c>
      <c r="F95" s="19">
        <f>$F$10*'D) Ecrêtage'!M89</f>
        <v>312891.59758402873</v>
      </c>
      <c r="G95" s="66">
        <f t="shared" si="1"/>
        <v>333997.3175840287</v>
      </c>
    </row>
    <row r="96" spans="1:7" x14ac:dyDescent="0.25">
      <c r="A96" s="57">
        <f>'A) Base RI'!A92</f>
        <v>5537</v>
      </c>
      <c r="B96" s="350" t="str">
        <f>'A) Base RI'!B92</f>
        <v>Villars-le-Terroir</v>
      </c>
      <c r="C96" s="14">
        <f>'A) Base RI'!U92</f>
        <v>1066</v>
      </c>
      <c r="D96" s="19">
        <f>'C) Prél. conj.'!H90</f>
        <v>58413.570000000007</v>
      </c>
      <c r="E96" s="14">
        <f>'D) Ecrêtage'!L90</f>
        <v>0</v>
      </c>
      <c r="F96" s="19">
        <f>$F$10*'D) Ecrêtage'!M90</f>
        <v>454141.72323144577</v>
      </c>
      <c r="G96" s="66">
        <f t="shared" si="1"/>
        <v>512555.29323144577</v>
      </c>
    </row>
    <row r="97" spans="1:7" x14ac:dyDescent="0.25">
      <c r="A97" s="57">
        <f>'A) Base RI'!A93</f>
        <v>5539</v>
      </c>
      <c r="B97" s="350" t="str">
        <f>'A) Base RI'!B93</f>
        <v>Vuarrens</v>
      </c>
      <c r="C97" s="14">
        <f>'A) Base RI'!U93</f>
        <v>993</v>
      </c>
      <c r="D97" s="19">
        <f>'C) Prél. conj.'!H91</f>
        <v>49261.505000000005</v>
      </c>
      <c r="E97" s="14">
        <f>'D) Ecrêtage'!L91</f>
        <v>0</v>
      </c>
      <c r="F97" s="19">
        <f>$F$10*'D) Ecrêtage'!M91</f>
        <v>343571.97722621856</v>
      </c>
      <c r="G97" s="66">
        <f t="shared" si="1"/>
        <v>392833.48222621856</v>
      </c>
    </row>
    <row r="98" spans="1:7" x14ac:dyDescent="0.25">
      <c r="A98" s="57">
        <f>'A) Base RI'!A94</f>
        <v>5540</v>
      </c>
      <c r="B98" s="350" t="str">
        <f>'A) Base RI'!B94</f>
        <v>Montilliez</v>
      </c>
      <c r="C98" s="14">
        <f>'A) Base RI'!U94</f>
        <v>1698</v>
      </c>
      <c r="D98" s="19">
        <f>'C) Prél. conj.'!H92</f>
        <v>139588.5</v>
      </c>
      <c r="E98" s="14">
        <f>'D) Ecrêtage'!L92</f>
        <v>0</v>
      </c>
      <c r="F98" s="19">
        <f>$F$10*'D) Ecrêtage'!M92</f>
        <v>829573.53656765807</v>
      </c>
      <c r="G98" s="66">
        <f t="shared" si="1"/>
        <v>969162.03656765807</v>
      </c>
    </row>
    <row r="99" spans="1:7" x14ac:dyDescent="0.25">
      <c r="A99" s="57">
        <f>'A) Base RI'!A95</f>
        <v>5541</v>
      </c>
      <c r="B99" s="350" t="str">
        <f>'A) Base RI'!B95</f>
        <v>Goumoëns</v>
      </c>
      <c r="C99" s="14">
        <f>'A) Base RI'!U95</f>
        <v>1051</v>
      </c>
      <c r="D99" s="19">
        <f>'C) Prél. conj.'!H93</f>
        <v>177739.49</v>
      </c>
      <c r="E99" s="14">
        <f>'D) Ecrêtage'!L93</f>
        <v>0</v>
      </c>
      <c r="F99" s="19">
        <f>$F$10*'D) Ecrêtage'!M93</f>
        <v>491283.97220124147</v>
      </c>
      <c r="G99" s="66">
        <f t="shared" si="1"/>
        <v>669023.4622012414</v>
      </c>
    </row>
    <row r="100" spans="1:7" x14ac:dyDescent="0.25">
      <c r="A100" s="57">
        <f>'A) Base RI'!A96</f>
        <v>5551</v>
      </c>
      <c r="B100" s="350" t="str">
        <f>'A) Base RI'!B96</f>
        <v>Bonvillars</v>
      </c>
      <c r="C100" s="14">
        <f>'A) Base RI'!U96</f>
        <v>495</v>
      </c>
      <c r="D100" s="19">
        <f>'C) Prél. conj.'!H94</f>
        <v>20199.205000000002</v>
      </c>
      <c r="E100" s="14">
        <f>'D) Ecrêtage'!L94</f>
        <v>0</v>
      </c>
      <c r="F100" s="19">
        <f>$F$10*'D) Ecrêtage'!M94</f>
        <v>291642.96481317101</v>
      </c>
      <c r="G100" s="66">
        <f t="shared" si="1"/>
        <v>311842.16981317103</v>
      </c>
    </row>
    <row r="101" spans="1:7" x14ac:dyDescent="0.25">
      <c r="A101" s="57">
        <f>'A) Base RI'!A97</f>
        <v>5552</v>
      </c>
      <c r="B101" s="350" t="str">
        <f>'A) Base RI'!B97</f>
        <v>Bullet</v>
      </c>
      <c r="C101" s="14">
        <f>'A) Base RI'!U97</f>
        <v>629</v>
      </c>
      <c r="D101" s="19">
        <f>'C) Prél. conj.'!H95</f>
        <v>92619.364999999991</v>
      </c>
      <c r="E101" s="14">
        <f>'D) Ecrêtage'!L95</f>
        <v>0</v>
      </c>
      <c r="F101" s="19">
        <f>$F$10*'D) Ecrêtage'!M95</f>
        <v>237879.2734226881</v>
      </c>
      <c r="G101" s="66">
        <f t="shared" si="1"/>
        <v>330498.63842268812</v>
      </c>
    </row>
    <row r="102" spans="1:7" x14ac:dyDescent="0.25">
      <c r="A102" s="57">
        <f>'A) Base RI'!A98</f>
        <v>5553</v>
      </c>
      <c r="B102" s="350" t="str">
        <f>'A) Base RI'!B98</f>
        <v>Champagne</v>
      </c>
      <c r="C102" s="14">
        <f>'A) Base RI'!U98</f>
        <v>1027</v>
      </c>
      <c r="D102" s="19">
        <f>'C) Prél. conj.'!H96</f>
        <v>164159.745</v>
      </c>
      <c r="E102" s="14">
        <f>'D) Ecrêtage'!L96</f>
        <v>0</v>
      </c>
      <c r="F102" s="19">
        <f>$F$10*'D) Ecrêtage'!M96</f>
        <v>504461.94501395937</v>
      </c>
      <c r="G102" s="66">
        <f t="shared" si="1"/>
        <v>668621.69001395931</v>
      </c>
    </row>
    <row r="103" spans="1:7" x14ac:dyDescent="0.25">
      <c r="A103" s="57">
        <f>'A) Base RI'!A99</f>
        <v>5554</v>
      </c>
      <c r="B103" s="350" t="str">
        <f>'A) Base RI'!B99</f>
        <v>Concise</v>
      </c>
      <c r="C103" s="14">
        <f>'A) Base RI'!U99</f>
        <v>960</v>
      </c>
      <c r="D103" s="19">
        <f>'C) Prél. conj.'!H97</f>
        <v>76979.39</v>
      </c>
      <c r="E103" s="14">
        <f>'D) Ecrêtage'!L97</f>
        <v>0</v>
      </c>
      <c r="F103" s="19">
        <f>$F$10*'D) Ecrêtage'!M97</f>
        <v>438201.56743669725</v>
      </c>
      <c r="G103" s="66">
        <f t="shared" si="1"/>
        <v>515180.95743669727</v>
      </c>
    </row>
    <row r="104" spans="1:7" x14ac:dyDescent="0.25">
      <c r="A104" s="57">
        <f>'A) Base RI'!A100</f>
        <v>5555</v>
      </c>
      <c r="B104" s="350" t="str">
        <f>'A) Base RI'!B100</f>
        <v>Corcelles-près-Concise</v>
      </c>
      <c r="C104" s="14">
        <f>'A) Base RI'!U100</f>
        <v>379</v>
      </c>
      <c r="D104" s="19">
        <f>'C) Prél. conj.'!H98</f>
        <v>41358.884999999995</v>
      </c>
      <c r="E104" s="14">
        <f>'D) Ecrêtage'!L98</f>
        <v>0</v>
      </c>
      <c r="F104" s="19">
        <f>$F$10*'D) Ecrêtage'!M98</f>
        <v>166900.92420206431</v>
      </c>
      <c r="G104" s="66">
        <f t="shared" si="1"/>
        <v>208259.80920206429</v>
      </c>
    </row>
    <row r="105" spans="1:7" x14ac:dyDescent="0.25">
      <c r="A105" s="57">
        <f>'A) Base RI'!A101</f>
        <v>5556</v>
      </c>
      <c r="B105" s="350" t="str">
        <f>'A) Base RI'!B101</f>
        <v>Fiez</v>
      </c>
      <c r="C105" s="14">
        <f>'A) Base RI'!U101</f>
        <v>427</v>
      </c>
      <c r="D105" s="19">
        <f>'C) Prél. conj.'!H99</f>
        <v>24925.9</v>
      </c>
      <c r="E105" s="14">
        <f>'D) Ecrêtage'!L99</f>
        <v>0</v>
      </c>
      <c r="F105" s="19">
        <f>$F$10*'D) Ecrêtage'!M99</f>
        <v>188554.70897623253</v>
      </c>
      <c r="G105" s="66">
        <f t="shared" si="1"/>
        <v>213480.60897623253</v>
      </c>
    </row>
    <row r="106" spans="1:7" x14ac:dyDescent="0.25">
      <c r="A106" s="57">
        <f>'A) Base RI'!A102</f>
        <v>5557</v>
      </c>
      <c r="B106" s="350" t="str">
        <f>'A) Base RI'!B102</f>
        <v>Fontaines-sur-Grandson</v>
      </c>
      <c r="C106" s="14">
        <f>'A) Base RI'!U102</f>
        <v>200</v>
      </c>
      <c r="D106" s="19">
        <f>'C) Prél. conj.'!H100</f>
        <v>17578.84</v>
      </c>
      <c r="E106" s="14">
        <f>'D) Ecrêtage'!L100</f>
        <v>0</v>
      </c>
      <c r="F106" s="19">
        <f>$F$10*'D) Ecrêtage'!M100</f>
        <v>60927.171855483277</v>
      </c>
      <c r="G106" s="66">
        <f t="shared" si="1"/>
        <v>78506.011855483273</v>
      </c>
    </row>
    <row r="107" spans="1:7" x14ac:dyDescent="0.25">
      <c r="A107" s="57">
        <f>'A) Base RI'!A103</f>
        <v>5559</v>
      </c>
      <c r="B107" s="350" t="str">
        <f>'A) Base RI'!B103</f>
        <v>Giez</v>
      </c>
      <c r="C107" s="14">
        <f>'A) Base RI'!U103</f>
        <v>408</v>
      </c>
      <c r="D107" s="19">
        <f>'C) Prél. conj.'!H101</f>
        <v>167599.52499999999</v>
      </c>
      <c r="E107" s="14">
        <f>'D) Ecrêtage'!L101</f>
        <v>0</v>
      </c>
      <c r="F107" s="19">
        <f>$F$10*'D) Ecrêtage'!M101</f>
        <v>274366.4686653316</v>
      </c>
      <c r="G107" s="66">
        <f t="shared" si="1"/>
        <v>441965.99366533163</v>
      </c>
    </row>
    <row r="108" spans="1:7" x14ac:dyDescent="0.25">
      <c r="A108" s="57">
        <f>'A) Base RI'!A104</f>
        <v>5560</v>
      </c>
      <c r="B108" s="350" t="str">
        <f>'A) Base RI'!B104</f>
        <v>Grandevent</v>
      </c>
      <c r="C108" s="14">
        <f>'A) Base RI'!U104</f>
        <v>232</v>
      </c>
      <c r="D108" s="19">
        <f>'C) Prél. conj.'!H102</f>
        <v>5936.4500000000007</v>
      </c>
      <c r="E108" s="14">
        <f>'D) Ecrêtage'!L102</f>
        <v>0</v>
      </c>
      <c r="F108" s="19">
        <f>$F$10*'D) Ecrêtage'!M102</f>
        <v>97455.776377727641</v>
      </c>
      <c r="G108" s="66">
        <f t="shared" si="1"/>
        <v>103392.22637772764</v>
      </c>
    </row>
    <row r="109" spans="1:7" x14ac:dyDescent="0.25">
      <c r="A109" s="57">
        <f>'A) Base RI'!A105</f>
        <v>5561</v>
      </c>
      <c r="B109" s="350" t="str">
        <f>'A) Base RI'!B105</f>
        <v>Grandson</v>
      </c>
      <c r="C109" s="14">
        <f>'A) Base RI'!U105</f>
        <v>3313</v>
      </c>
      <c r="D109" s="19">
        <f>'C) Prél. conj.'!H103</f>
        <v>441136.17000000004</v>
      </c>
      <c r="E109" s="14">
        <f>'D) Ecrêtage'!L103</f>
        <v>0</v>
      </c>
      <c r="F109" s="19">
        <f>$F$10*'D) Ecrêtage'!M103</f>
        <v>1741068.6643348299</v>
      </c>
      <c r="G109" s="66">
        <f t="shared" si="1"/>
        <v>2182204.8343348298</v>
      </c>
    </row>
    <row r="110" spans="1:7" x14ac:dyDescent="0.25">
      <c r="A110" s="57">
        <f>'A) Base RI'!A106</f>
        <v>5562</v>
      </c>
      <c r="B110" s="350" t="str">
        <f>'A) Base RI'!B106</f>
        <v>Mauborget</v>
      </c>
      <c r="C110" s="14">
        <f>'A) Base RI'!U106</f>
        <v>123</v>
      </c>
      <c r="D110" s="19">
        <f>'C) Prél. conj.'!H104</f>
        <v>8024.45</v>
      </c>
      <c r="E110" s="14">
        <f>'D) Ecrêtage'!L104</f>
        <v>0</v>
      </c>
      <c r="F110" s="19">
        <f>$F$10*'D) Ecrêtage'!M104</f>
        <v>55368.036609331823</v>
      </c>
      <c r="G110" s="66">
        <f t="shared" si="1"/>
        <v>63392.48660933182</v>
      </c>
    </row>
    <row r="111" spans="1:7" x14ac:dyDescent="0.25">
      <c r="A111" s="57">
        <f>'A) Base RI'!A107</f>
        <v>5563</v>
      </c>
      <c r="B111" s="350" t="str">
        <f>'A) Base RI'!B107</f>
        <v>Mutrux</v>
      </c>
      <c r="C111" s="14">
        <f>'A) Base RI'!U107</f>
        <v>162</v>
      </c>
      <c r="D111" s="19">
        <f>'C) Prél. conj.'!H105</f>
        <v>13415.875</v>
      </c>
      <c r="E111" s="14">
        <f>'D) Ecrêtage'!L105</f>
        <v>0</v>
      </c>
      <c r="F111" s="19">
        <f>$F$10*'D) Ecrêtage'!M105</f>
        <v>64629.124398174499</v>
      </c>
      <c r="G111" s="66">
        <f t="shared" si="1"/>
        <v>78044.999398174492</v>
      </c>
    </row>
    <row r="112" spans="1:7" x14ac:dyDescent="0.25">
      <c r="A112" s="57">
        <f>'A) Base RI'!A108</f>
        <v>5564</v>
      </c>
      <c r="B112" s="350" t="str">
        <f>'A) Base RI'!B108</f>
        <v>Novalles</v>
      </c>
      <c r="C112" s="14">
        <f>'A) Base RI'!U108</f>
        <v>101</v>
      </c>
      <c r="D112" s="19">
        <f>'C) Prél. conj.'!H106</f>
        <v>14970.125</v>
      </c>
      <c r="E112" s="14">
        <f>'D) Ecrêtage'!L106</f>
        <v>0</v>
      </c>
      <c r="F112" s="19">
        <f>$F$10*'D) Ecrêtage'!M106</f>
        <v>31187.165294648421</v>
      </c>
      <c r="G112" s="66">
        <f t="shared" si="1"/>
        <v>46157.290294648425</v>
      </c>
    </row>
    <row r="113" spans="1:7" x14ac:dyDescent="0.25">
      <c r="A113" s="57">
        <f>'A) Base RI'!A109</f>
        <v>5565</v>
      </c>
      <c r="B113" s="350" t="str">
        <f>'A) Base RI'!B109</f>
        <v>Onnens</v>
      </c>
      <c r="C113" s="14">
        <f>'A) Base RI'!U109</f>
        <v>500</v>
      </c>
      <c r="D113" s="19">
        <f>'C) Prél. conj.'!H107</f>
        <v>17662.419999999998</v>
      </c>
      <c r="E113" s="14">
        <f>'D) Ecrêtage'!L107</f>
        <v>0</v>
      </c>
      <c r="F113" s="19">
        <f>$F$10*'D) Ecrêtage'!M107</f>
        <v>270642.58604240406</v>
      </c>
      <c r="G113" s="66">
        <f t="shared" si="1"/>
        <v>288305.00604240404</v>
      </c>
    </row>
    <row r="114" spans="1:7" x14ac:dyDescent="0.25">
      <c r="A114" s="57">
        <f>'A) Base RI'!A110</f>
        <v>5566</v>
      </c>
      <c r="B114" s="350" t="str">
        <f>'A) Base RI'!B110</f>
        <v>Provence</v>
      </c>
      <c r="C114" s="14">
        <f>'A) Base RI'!U110</f>
        <v>390</v>
      </c>
      <c r="D114" s="19">
        <f>'C) Prél. conj.'!H108</f>
        <v>47756.82</v>
      </c>
      <c r="E114" s="14">
        <f>'D) Ecrêtage'!L108</f>
        <v>0</v>
      </c>
      <c r="F114" s="19">
        <f>$F$10*'D) Ecrêtage'!M108</f>
        <v>130086.07924823425</v>
      </c>
      <c r="G114" s="66">
        <f t="shared" si="1"/>
        <v>177842.89924823426</v>
      </c>
    </row>
    <row r="115" spans="1:7" x14ac:dyDescent="0.25">
      <c r="A115" s="57">
        <f>'A) Base RI'!A111</f>
        <v>5568</v>
      </c>
      <c r="B115" s="350" t="str">
        <f>'A) Base RI'!B111</f>
        <v>Sainte-Croix</v>
      </c>
      <c r="C115" s="14">
        <f>'A) Base RI'!U111</f>
        <v>4851</v>
      </c>
      <c r="D115" s="19">
        <f>'C) Prél. conj.'!H109</f>
        <v>878215.86499999999</v>
      </c>
      <c r="E115" s="14">
        <f>'D) Ecrêtage'!L109</f>
        <v>0</v>
      </c>
      <c r="F115" s="19">
        <f>$F$10*'D) Ecrêtage'!M109</f>
        <v>1454730.4348052933</v>
      </c>
      <c r="G115" s="66">
        <f t="shared" si="1"/>
        <v>2332946.2998052933</v>
      </c>
    </row>
    <row r="116" spans="1:7" x14ac:dyDescent="0.25">
      <c r="A116" s="57">
        <f>'A) Base RI'!A112</f>
        <v>5571</v>
      </c>
      <c r="B116" s="350" t="str">
        <f>'A) Base RI'!B112</f>
        <v>Tévenon</v>
      </c>
      <c r="C116" s="14">
        <f>'A) Base RI'!U112</f>
        <v>791</v>
      </c>
      <c r="D116" s="19">
        <f>'C) Prél. conj.'!H110</f>
        <v>198162.19</v>
      </c>
      <c r="E116" s="14">
        <f>'D) Ecrêtage'!L110</f>
        <v>0</v>
      </c>
      <c r="F116" s="19">
        <f>$F$10*'D) Ecrêtage'!M110</f>
        <v>316911.57611054525</v>
      </c>
      <c r="G116" s="66">
        <f t="shared" si="1"/>
        <v>515073.76611054526</v>
      </c>
    </row>
    <row r="117" spans="1:7" x14ac:dyDescent="0.25">
      <c r="A117" s="57">
        <f>'A) Base RI'!A113</f>
        <v>5581</v>
      </c>
      <c r="B117" s="350" t="str">
        <f>'A) Base RI'!B113</f>
        <v>Belmont-sur-Lausanne</v>
      </c>
      <c r="C117" s="14">
        <f>'A) Base RI'!U113</f>
        <v>3564</v>
      </c>
      <c r="D117" s="19">
        <f>'C) Prél. conj.'!H111</f>
        <v>323273.8</v>
      </c>
      <c r="E117" s="14">
        <f>'D) Ecrêtage'!L111</f>
        <v>0</v>
      </c>
      <c r="F117" s="19">
        <f>$F$10*'D) Ecrêtage'!M111</f>
        <v>2827589.0495600863</v>
      </c>
      <c r="G117" s="66">
        <f t="shared" si="1"/>
        <v>3150862.8495600861</v>
      </c>
    </row>
    <row r="118" spans="1:7" x14ac:dyDescent="0.25">
      <c r="A118" s="57">
        <f>'A) Base RI'!A114</f>
        <v>5582</v>
      </c>
      <c r="B118" s="350" t="str">
        <f>'A) Base RI'!B114</f>
        <v>Cheseaux-sur-Lausanne</v>
      </c>
      <c r="C118" s="14">
        <f>'A) Base RI'!U114</f>
        <v>4347</v>
      </c>
      <c r="D118" s="19">
        <f>'C) Prél. conj.'!H112</f>
        <v>450515.80999999994</v>
      </c>
      <c r="E118" s="14">
        <f>'D) Ecrêtage'!L112</f>
        <v>0</v>
      </c>
      <c r="F118" s="19">
        <f>$F$10*'D) Ecrêtage'!M112</f>
        <v>3078147.6410750085</v>
      </c>
      <c r="G118" s="66">
        <f t="shared" si="1"/>
        <v>3528663.4510750086</v>
      </c>
    </row>
    <row r="119" spans="1:7" x14ac:dyDescent="0.25">
      <c r="A119" s="57">
        <f>'A) Base RI'!A115</f>
        <v>5583</v>
      </c>
      <c r="B119" s="350" t="str">
        <f>'A) Base RI'!B115</f>
        <v>Crissier</v>
      </c>
      <c r="C119" s="14">
        <f>'A) Base RI'!U115</f>
        <v>7636</v>
      </c>
      <c r="D119" s="19">
        <f>'C) Prél. conj.'!H113</f>
        <v>840892.90999999992</v>
      </c>
      <c r="E119" s="14">
        <f>'D) Ecrêtage'!L113</f>
        <v>0</v>
      </c>
      <c r="F119" s="19">
        <f>$F$10*'D) Ecrêtage'!M113</f>
        <v>4712694.1035514195</v>
      </c>
      <c r="G119" s="66">
        <f t="shared" si="1"/>
        <v>5553587.0135514196</v>
      </c>
    </row>
    <row r="120" spans="1:7" x14ac:dyDescent="0.25">
      <c r="A120" s="57">
        <f>'A) Base RI'!A116</f>
        <v>5584</v>
      </c>
      <c r="B120" s="350" t="str">
        <f>'A) Base RI'!B116</f>
        <v>Epalinges</v>
      </c>
      <c r="C120" s="14">
        <f>'A) Base RI'!U116</f>
        <v>9297</v>
      </c>
      <c r="D120" s="19">
        <f>'C) Prél. conj.'!H114</f>
        <v>2263232.5649999999</v>
      </c>
      <c r="E120" s="14">
        <f>'D) Ecrêtage'!L114</f>
        <v>0</v>
      </c>
      <c r="F120" s="19">
        <f>$F$10*'D) Ecrêtage'!M114</f>
        <v>6888852.8714637253</v>
      </c>
      <c r="G120" s="66">
        <f t="shared" si="1"/>
        <v>9152085.4364637248</v>
      </c>
    </row>
    <row r="121" spans="1:7" x14ac:dyDescent="0.25">
      <c r="A121" s="57">
        <f>'A) Base RI'!A117</f>
        <v>5585</v>
      </c>
      <c r="B121" s="350" t="str">
        <f>'A) Base RI'!B117</f>
        <v>Jouxtens-Mézery</v>
      </c>
      <c r="C121" s="14">
        <f>'A) Base RI'!U117</f>
        <v>1448</v>
      </c>
      <c r="D121" s="19">
        <f>'C) Prél. conj.'!H115</f>
        <v>613447.68000000005</v>
      </c>
      <c r="E121" s="14">
        <f>'D) Ecrêtage'!L115</f>
        <v>3185312.7022306477</v>
      </c>
      <c r="F121" s="19">
        <f>$F$10*'D) Ecrêtage'!M115</f>
        <v>2592561.839889748</v>
      </c>
      <c r="G121" s="66">
        <f t="shared" si="1"/>
        <v>6391322.2221203959</v>
      </c>
    </row>
    <row r="122" spans="1:7" x14ac:dyDescent="0.25">
      <c r="A122" s="57">
        <f>'A) Base RI'!A118</f>
        <v>5586</v>
      </c>
      <c r="B122" s="350" t="str">
        <f>'A) Base RI'!B118</f>
        <v>Lausanne</v>
      </c>
      <c r="C122" s="14">
        <f>'A) Base RI'!U118</f>
        <v>137053</v>
      </c>
      <c r="D122" s="19">
        <f>'C) Prél. conj.'!H116</f>
        <v>15692330.209999999</v>
      </c>
      <c r="E122" s="14">
        <f>'D) Ecrêtage'!L116</f>
        <v>0</v>
      </c>
      <c r="F122" s="19">
        <f>$F$10*'D) Ecrêtage'!M116</f>
        <v>91844254.854427919</v>
      </c>
      <c r="G122" s="66">
        <f t="shared" si="1"/>
        <v>107536585.06442791</v>
      </c>
    </row>
    <row r="123" spans="1:7" x14ac:dyDescent="0.25">
      <c r="A123" s="57">
        <f>'A) Base RI'!A119</f>
        <v>5587</v>
      </c>
      <c r="B123" s="350" t="str">
        <f>'A) Base RI'!B119</f>
        <v>Le Mont-sur-Lausanne</v>
      </c>
      <c r="C123" s="14">
        <f>'A) Base RI'!U119</f>
        <v>7881</v>
      </c>
      <c r="D123" s="19">
        <f>'C) Prél. conj.'!H117</f>
        <v>1100060.03</v>
      </c>
      <c r="E123" s="14">
        <f>'D) Ecrêtage'!L117</f>
        <v>0</v>
      </c>
      <c r="F123" s="19">
        <f>$F$10*'D) Ecrêtage'!M117</f>
        <v>6248653.5983689073</v>
      </c>
      <c r="G123" s="66">
        <f t="shared" si="1"/>
        <v>7348713.6283689076</v>
      </c>
    </row>
    <row r="124" spans="1:7" x14ac:dyDescent="0.25">
      <c r="A124" s="57">
        <f>'A) Base RI'!A120</f>
        <v>5588</v>
      </c>
      <c r="B124" s="350" t="str">
        <f>'A) Base RI'!B120</f>
        <v>Paudex</v>
      </c>
      <c r="C124" s="14">
        <f>'A) Base RI'!U120</f>
        <v>1473</v>
      </c>
      <c r="D124" s="19">
        <f>'C) Prél. conj.'!H118</f>
        <v>280305.32499999995</v>
      </c>
      <c r="E124" s="14">
        <f>'D) Ecrêtage'!L118</f>
        <v>2209307.7273774943</v>
      </c>
      <c r="F124" s="19">
        <f>$F$10*'D) Ecrêtage'!M118</f>
        <v>2147245.9215157479</v>
      </c>
      <c r="G124" s="66">
        <f t="shared" si="1"/>
        <v>4636858.973893242</v>
      </c>
    </row>
    <row r="125" spans="1:7" x14ac:dyDescent="0.25">
      <c r="A125" s="57">
        <f>'A) Base RI'!A121</f>
        <v>5589</v>
      </c>
      <c r="B125" s="350" t="str">
        <f>'A) Base RI'!B121</f>
        <v>Prilly</v>
      </c>
      <c r="C125" s="14">
        <f>'A) Base RI'!U121</f>
        <v>11871</v>
      </c>
      <c r="D125" s="19">
        <f>'C) Prél. conj.'!H119</f>
        <v>1587768.76</v>
      </c>
      <c r="E125" s="14">
        <f>'D) Ecrêtage'!L119</f>
        <v>0</v>
      </c>
      <c r="F125" s="19">
        <f>$F$10*'D) Ecrêtage'!M119</f>
        <v>6614952.9366108291</v>
      </c>
      <c r="G125" s="66">
        <f t="shared" si="1"/>
        <v>8202721.6966108289</v>
      </c>
    </row>
    <row r="126" spans="1:7" x14ac:dyDescent="0.25">
      <c r="A126" s="57">
        <f>'A) Base RI'!A122</f>
        <v>5590</v>
      </c>
      <c r="B126" s="350" t="str">
        <f>'A) Base RI'!B122</f>
        <v>Pully</v>
      </c>
      <c r="C126" s="14">
        <f>'A) Base RI'!U122</f>
        <v>17979</v>
      </c>
      <c r="D126" s="19">
        <f>'C) Prél. conj.'!H120</f>
        <v>3949352.1399999997</v>
      </c>
      <c r="E126" s="14">
        <f>'D) Ecrêtage'!L120</f>
        <v>10166054.941461872</v>
      </c>
      <c r="F126" s="19">
        <f>$F$10*'D) Ecrêtage'!M120</f>
        <v>20241646.382618576</v>
      </c>
      <c r="G126" s="66">
        <f t="shared" si="1"/>
        <v>34357053.464080453</v>
      </c>
    </row>
    <row r="127" spans="1:7" x14ac:dyDescent="0.25">
      <c r="A127" s="57">
        <f>'A) Base RI'!A123</f>
        <v>5591</v>
      </c>
      <c r="B127" s="350" t="str">
        <f>'A) Base RI'!B123</f>
        <v>Renens</v>
      </c>
      <c r="C127" s="14">
        <f>'A) Base RI'!U123</f>
        <v>20323</v>
      </c>
      <c r="D127" s="19">
        <f>'C) Prél. conj.'!H121</f>
        <v>1690416.75</v>
      </c>
      <c r="E127" s="14">
        <f>'D) Ecrêtage'!L121</f>
        <v>0</v>
      </c>
      <c r="F127" s="19">
        <f>$F$10*'D) Ecrêtage'!M121</f>
        <v>8006848.7753980709</v>
      </c>
      <c r="G127" s="66">
        <f t="shared" si="1"/>
        <v>9697265.5253980719</v>
      </c>
    </row>
    <row r="128" spans="1:7" x14ac:dyDescent="0.25">
      <c r="A128" s="57">
        <f>'A) Base RI'!A124</f>
        <v>5592</v>
      </c>
      <c r="B128" s="350" t="str">
        <f>'A) Base RI'!B124</f>
        <v>Romanel-sur-Lausanne</v>
      </c>
      <c r="C128" s="14">
        <f>'A) Base RI'!U124</f>
        <v>3352</v>
      </c>
      <c r="D128" s="19">
        <f>'C) Prél. conj.'!H122</f>
        <v>196389.21</v>
      </c>
      <c r="E128" s="14">
        <f>'D) Ecrêtage'!L122</f>
        <v>0</v>
      </c>
      <c r="F128" s="19">
        <f>$F$10*'D) Ecrêtage'!M122</f>
        <v>1762014.3539463358</v>
      </c>
      <c r="G128" s="66">
        <f t="shared" si="1"/>
        <v>1958403.5639463358</v>
      </c>
    </row>
    <row r="129" spans="1:7" x14ac:dyDescent="0.25">
      <c r="A129" s="57">
        <f>'A) Base RI'!A125</f>
        <v>5601</v>
      </c>
      <c r="B129" s="350" t="str">
        <f>'A) Base RI'!B125</f>
        <v>Chexbres</v>
      </c>
      <c r="C129" s="14">
        <f>'A) Base RI'!U125</f>
        <v>2235</v>
      </c>
      <c r="D129" s="19">
        <f>'C) Prél. conj.'!H123</f>
        <v>277583.80499999999</v>
      </c>
      <c r="E129" s="14">
        <f>'D) Ecrêtage'!L123</f>
        <v>0</v>
      </c>
      <c r="F129" s="19">
        <f>$F$10*'D) Ecrêtage'!M123</f>
        <v>1507895.3585027771</v>
      </c>
      <c r="G129" s="66">
        <f t="shared" si="1"/>
        <v>1785479.163502777</v>
      </c>
    </row>
    <row r="130" spans="1:7" x14ac:dyDescent="0.25">
      <c r="A130" s="57">
        <f>'A) Base RI'!A126</f>
        <v>5604</v>
      </c>
      <c r="B130" s="350" t="str">
        <f>'A) Base RI'!B126</f>
        <v>Forel (Lavaux)</v>
      </c>
      <c r="C130" s="14">
        <f>'A) Base RI'!U126</f>
        <v>2066</v>
      </c>
      <c r="D130" s="19">
        <f>'C) Prél. conj.'!H124</f>
        <v>150324.5</v>
      </c>
      <c r="E130" s="14">
        <f>'D) Ecrêtage'!L124</f>
        <v>0</v>
      </c>
      <c r="F130" s="19">
        <f>$F$10*'D) Ecrêtage'!M124</f>
        <v>1076963.6556597825</v>
      </c>
      <c r="G130" s="66">
        <f t="shared" si="1"/>
        <v>1227288.1556597825</v>
      </c>
    </row>
    <row r="131" spans="1:7" x14ac:dyDescent="0.25">
      <c r="A131" s="57">
        <f>'A) Base RI'!A127</f>
        <v>5606</v>
      </c>
      <c r="B131" s="350" t="str">
        <f>'A) Base RI'!B127</f>
        <v>Lutry</v>
      </c>
      <c r="C131" s="14">
        <f>'A) Base RI'!U127</f>
        <v>9888</v>
      </c>
      <c r="D131" s="19">
        <f>'C) Prél. conj.'!H125</f>
        <v>3309570.2700000005</v>
      </c>
      <c r="E131" s="14">
        <f>'D) Ecrêtage'!L125</f>
        <v>4791323.8441951443</v>
      </c>
      <c r="F131" s="19">
        <f>$F$10*'D) Ecrêtage'!M125</f>
        <v>10997603.198533349</v>
      </c>
      <c r="G131" s="66">
        <f t="shared" si="1"/>
        <v>19098497.312728494</v>
      </c>
    </row>
    <row r="132" spans="1:7" x14ac:dyDescent="0.25">
      <c r="A132" s="57">
        <f>'A) Base RI'!A128</f>
        <v>5607</v>
      </c>
      <c r="B132" s="350" t="str">
        <f>'A) Base RI'!B128</f>
        <v>Puidoux</v>
      </c>
      <c r="C132" s="14">
        <f>'A) Base RI'!U128</f>
        <v>2874</v>
      </c>
      <c r="D132" s="19">
        <f>'C) Prél. conj.'!H126</f>
        <v>429651.76999999996</v>
      </c>
      <c r="E132" s="14">
        <f>'D) Ecrêtage'!L126</f>
        <v>0</v>
      </c>
      <c r="F132" s="19">
        <f>$F$10*'D) Ecrêtage'!M126</f>
        <v>1468611.092625801</v>
      </c>
      <c r="G132" s="66">
        <f t="shared" si="1"/>
        <v>1898262.862625801</v>
      </c>
    </row>
    <row r="133" spans="1:7" x14ac:dyDescent="0.25">
      <c r="A133" s="57">
        <f>'A) Base RI'!A129</f>
        <v>5609</v>
      </c>
      <c r="B133" s="350" t="str">
        <f>'A) Base RI'!B129</f>
        <v>Rivaz</v>
      </c>
      <c r="C133" s="14">
        <f>'A) Base RI'!U129</f>
        <v>357</v>
      </c>
      <c r="D133" s="19">
        <f>'C) Prél. conj.'!H127</f>
        <v>37705.274999999994</v>
      </c>
      <c r="E133" s="14">
        <f>'D) Ecrêtage'!L127</f>
        <v>0</v>
      </c>
      <c r="F133" s="19">
        <f>$F$10*'D) Ecrêtage'!M127</f>
        <v>255315.20704698219</v>
      </c>
      <c r="G133" s="66">
        <f t="shared" si="1"/>
        <v>293020.48204698216</v>
      </c>
    </row>
    <row r="134" spans="1:7" x14ac:dyDescent="0.25">
      <c r="A134" s="57">
        <f>'A) Base RI'!A130</f>
        <v>5610</v>
      </c>
      <c r="B134" s="350" t="str">
        <f>'A) Base RI'!B130</f>
        <v>St-Saphorin (Lavaux)</v>
      </c>
      <c r="C134" s="14">
        <f>'A) Base RI'!U130</f>
        <v>398</v>
      </c>
      <c r="D134" s="19">
        <f>'C) Prél. conj.'!H128</f>
        <v>72697.25</v>
      </c>
      <c r="E134" s="14">
        <f>'D) Ecrêtage'!L128</f>
        <v>0</v>
      </c>
      <c r="F134" s="19">
        <f>$F$10*'D) Ecrêtage'!M128</f>
        <v>302463.16594966501</v>
      </c>
      <c r="G134" s="66">
        <f t="shared" si="1"/>
        <v>375160.41594966501</v>
      </c>
    </row>
    <row r="135" spans="1:7" x14ac:dyDescent="0.25">
      <c r="A135" s="57">
        <f>'A) Base RI'!A131</f>
        <v>5611</v>
      </c>
      <c r="B135" s="350" t="str">
        <f>'A) Base RI'!B131</f>
        <v>Savigny</v>
      </c>
      <c r="C135" s="14">
        <f>'A) Base RI'!U131</f>
        <v>3276</v>
      </c>
      <c r="D135" s="19">
        <f>'C) Prél. conj.'!H129</f>
        <v>295776.87</v>
      </c>
      <c r="E135" s="14">
        <f>'D) Ecrêtage'!L129</f>
        <v>0</v>
      </c>
      <c r="F135" s="19">
        <f>$F$10*'D) Ecrêtage'!M129</f>
        <v>1746617.0842649061</v>
      </c>
      <c r="G135" s="66">
        <f t="shared" si="1"/>
        <v>2042393.9542649062</v>
      </c>
    </row>
    <row r="136" spans="1:7" x14ac:dyDescent="0.25">
      <c r="A136" s="57">
        <f>'A) Base RI'!A132</f>
        <v>5613</v>
      </c>
      <c r="B136" s="350" t="str">
        <f>'A) Base RI'!B132</f>
        <v>Bourg-en-Lavaux</v>
      </c>
      <c r="C136" s="14">
        <f>'A) Base RI'!U132</f>
        <v>5296</v>
      </c>
      <c r="D136" s="19">
        <f>'C) Prél. conj.'!H130</f>
        <v>930344.875</v>
      </c>
      <c r="E136" s="14">
        <f>'D) Ecrêtage'!L130</f>
        <v>125760.63602829106</v>
      </c>
      <c r="F136" s="19">
        <f>$F$10*'D) Ecrêtage'!M130</f>
        <v>4547916.5546305645</v>
      </c>
      <c r="G136" s="66">
        <f t="shared" si="1"/>
        <v>5604022.0656588553</v>
      </c>
    </row>
    <row r="137" spans="1:7" x14ac:dyDescent="0.25">
      <c r="A137" s="57">
        <f>'A) Base RI'!A133</f>
        <v>5621</v>
      </c>
      <c r="B137" s="350" t="str">
        <f>'A) Base RI'!B133</f>
        <v>Aclens</v>
      </c>
      <c r="C137" s="14">
        <f>'A) Base RI'!U133</f>
        <v>521</v>
      </c>
      <c r="D137" s="19">
        <f>'C) Prél. conj.'!H131</f>
        <v>85348.845000000001</v>
      </c>
      <c r="E137" s="14">
        <f>'D) Ecrêtage'!L131</f>
        <v>0</v>
      </c>
      <c r="F137" s="19">
        <f>$F$10*'D) Ecrêtage'!M131</f>
        <v>405448.3212830596</v>
      </c>
      <c r="G137" s="66">
        <f t="shared" si="1"/>
        <v>490797.16628305963</v>
      </c>
    </row>
    <row r="138" spans="1:7" x14ac:dyDescent="0.25">
      <c r="A138" s="57">
        <f>'A) Base RI'!A134</f>
        <v>5622</v>
      </c>
      <c r="B138" s="350" t="str">
        <f>'A) Base RI'!B134</f>
        <v>Bremblens</v>
      </c>
      <c r="C138" s="14">
        <f>'A) Base RI'!U134</f>
        <v>516</v>
      </c>
      <c r="D138" s="19">
        <f>'C) Prél. conj.'!H132</f>
        <v>152422.77500000002</v>
      </c>
      <c r="E138" s="14">
        <f>'D) Ecrêtage'!L132</f>
        <v>90946.573521956103</v>
      </c>
      <c r="F138" s="19">
        <f>$F$10*'D) Ecrêtage'!M132</f>
        <v>483645.13832118048</v>
      </c>
      <c r="G138" s="66">
        <f t="shared" si="1"/>
        <v>727014.4868431366</v>
      </c>
    </row>
    <row r="139" spans="1:7" x14ac:dyDescent="0.25">
      <c r="A139" s="57">
        <f>'A) Base RI'!A135</f>
        <v>5623</v>
      </c>
      <c r="B139" s="350" t="str">
        <f>'A) Base RI'!B135</f>
        <v>Buchillon</v>
      </c>
      <c r="C139" s="14">
        <f>'A) Base RI'!U135</f>
        <v>609</v>
      </c>
      <c r="D139" s="19">
        <f>'C) Prél. conj.'!H133</f>
        <v>967946.36499999999</v>
      </c>
      <c r="E139" s="14">
        <f>'D) Ecrêtage'!L133</f>
        <v>1269518.6909829178</v>
      </c>
      <c r="F139" s="19">
        <f>$F$10*'D) Ecrêtage'!M133</f>
        <v>1064650.1603015494</v>
      </c>
      <c r="G139" s="66">
        <f t="shared" si="1"/>
        <v>3302115.2162844669</v>
      </c>
    </row>
    <row r="140" spans="1:7" x14ac:dyDescent="0.25">
      <c r="A140" s="57">
        <f>'A) Base RI'!A136</f>
        <v>5624</v>
      </c>
      <c r="B140" s="350" t="str">
        <f>'A) Base RI'!B136</f>
        <v>Bussigny</v>
      </c>
      <c r="C140" s="14">
        <f>'A) Base RI'!U136</f>
        <v>8227</v>
      </c>
      <c r="D140" s="19">
        <f>'C) Prél. conj.'!H134</f>
        <v>1027783.69</v>
      </c>
      <c r="E140" s="14">
        <f>'D) Ecrêtage'!L134</f>
        <v>0</v>
      </c>
      <c r="F140" s="19">
        <f>$F$10*'D) Ecrêtage'!M134</f>
        <v>5051154.6211614357</v>
      </c>
      <c r="G140" s="66">
        <f t="shared" ref="G140:G203" si="2">D140+F140+E140</f>
        <v>6078938.3111614361</v>
      </c>
    </row>
    <row r="141" spans="1:7" x14ac:dyDescent="0.25">
      <c r="A141" s="57">
        <f>'A) Base RI'!A137</f>
        <v>5625</v>
      </c>
      <c r="B141" s="350" t="str">
        <f>'A) Base RI'!B137</f>
        <v>Bussy-Chardonney</v>
      </c>
      <c r="C141" s="14">
        <f>'A) Base RI'!U137</f>
        <v>369</v>
      </c>
      <c r="D141" s="19">
        <f>'C) Prél. conj.'!H135</f>
        <v>56931.700000000004</v>
      </c>
      <c r="E141" s="14">
        <f>'D) Ecrêtage'!L135</f>
        <v>0</v>
      </c>
      <c r="F141" s="19">
        <f>$F$10*'D) Ecrêtage'!M135</f>
        <v>207801.6687907227</v>
      </c>
      <c r="G141" s="66">
        <f t="shared" si="2"/>
        <v>264733.36879072268</v>
      </c>
    </row>
    <row r="142" spans="1:7" x14ac:dyDescent="0.25">
      <c r="A142" s="57">
        <f>'A) Base RI'!A138</f>
        <v>5627</v>
      </c>
      <c r="B142" s="350" t="str">
        <f>'A) Base RI'!B138</f>
        <v>Chavannes-près-Renens</v>
      </c>
      <c r="C142" s="14">
        <f>'A) Base RI'!U138</f>
        <v>7543</v>
      </c>
      <c r="D142" s="19">
        <f>'C) Prél. conj.'!H136</f>
        <v>399168.495</v>
      </c>
      <c r="E142" s="14">
        <f>'D) Ecrêtage'!L136</f>
        <v>0</v>
      </c>
      <c r="F142" s="19">
        <f>$F$10*'D) Ecrêtage'!M136</f>
        <v>2596716.3369486835</v>
      </c>
      <c r="G142" s="66">
        <f t="shared" si="2"/>
        <v>2995884.8319486836</v>
      </c>
    </row>
    <row r="143" spans="1:7" x14ac:dyDescent="0.25">
      <c r="A143" s="57">
        <f>'A) Base RI'!A139</f>
        <v>5628</v>
      </c>
      <c r="B143" s="350" t="str">
        <f>'A) Base RI'!B139</f>
        <v>Chigny</v>
      </c>
      <c r="C143" s="14">
        <f>'A) Base RI'!U139</f>
        <v>343</v>
      </c>
      <c r="D143" s="19">
        <f>'C) Prél. conj.'!H137</f>
        <v>42650.950000000004</v>
      </c>
      <c r="E143" s="14">
        <f>'D) Ecrêtage'!L137</f>
        <v>4052.409471021846</v>
      </c>
      <c r="F143" s="19">
        <f>$F$10*'D) Ecrêtage'!M137</f>
        <v>292202.61003088451</v>
      </c>
      <c r="G143" s="66">
        <f t="shared" si="2"/>
        <v>338905.96950190637</v>
      </c>
    </row>
    <row r="144" spans="1:7" x14ac:dyDescent="0.25">
      <c r="A144" s="57">
        <f>'A) Base RI'!A140</f>
        <v>5629</v>
      </c>
      <c r="B144" s="350" t="str">
        <f>'A) Base RI'!B140</f>
        <v>Clarmont</v>
      </c>
      <c r="C144" s="14">
        <f>'A) Base RI'!U140</f>
        <v>175</v>
      </c>
      <c r="D144" s="19">
        <f>'C) Prél. conj.'!H138</f>
        <v>41072.875</v>
      </c>
      <c r="E144" s="14">
        <f>'D) Ecrêtage'!L138</f>
        <v>0</v>
      </c>
      <c r="F144" s="19">
        <f>$F$10*'D) Ecrêtage'!M138</f>
        <v>113926.88837871222</v>
      </c>
      <c r="G144" s="66">
        <f t="shared" si="2"/>
        <v>154999.76337871223</v>
      </c>
    </row>
    <row r="145" spans="1:7" x14ac:dyDescent="0.25">
      <c r="A145" s="57">
        <f>'A) Base RI'!A141</f>
        <v>5631</v>
      </c>
      <c r="B145" s="350" t="str">
        <f>'A) Base RI'!B141</f>
        <v>Denens</v>
      </c>
      <c r="C145" s="14">
        <f>'A) Base RI'!U141</f>
        <v>769</v>
      </c>
      <c r="D145" s="19">
        <f>'C) Prél. conj.'!H139</f>
        <v>303071.07500000001</v>
      </c>
      <c r="E145" s="14">
        <f>'D) Ecrêtage'!L139</f>
        <v>0</v>
      </c>
      <c r="F145" s="19">
        <f>$F$10*'D) Ecrêtage'!M139</f>
        <v>638282.83301833842</v>
      </c>
      <c r="G145" s="66">
        <f t="shared" si="2"/>
        <v>941353.90801833849</v>
      </c>
    </row>
    <row r="146" spans="1:7" x14ac:dyDescent="0.25">
      <c r="A146" s="57">
        <f>'A) Base RI'!A142</f>
        <v>5632</v>
      </c>
      <c r="B146" s="350" t="str">
        <f>'A) Base RI'!B142</f>
        <v>Denges</v>
      </c>
      <c r="C146" s="14">
        <f>'A) Base RI'!U142</f>
        <v>1624</v>
      </c>
      <c r="D146" s="19">
        <f>'C) Prél. conj.'!H140</f>
        <v>187954.89500000002</v>
      </c>
      <c r="E146" s="14">
        <f>'D) Ecrêtage'!L140</f>
        <v>0</v>
      </c>
      <c r="F146" s="19">
        <f>$F$10*'D) Ecrêtage'!M140</f>
        <v>1017548.3149036465</v>
      </c>
      <c r="G146" s="66">
        <f t="shared" si="2"/>
        <v>1205503.2099036465</v>
      </c>
    </row>
    <row r="147" spans="1:7" x14ac:dyDescent="0.25">
      <c r="A147" s="57">
        <f>'A) Base RI'!A143</f>
        <v>5633</v>
      </c>
      <c r="B147" s="350" t="str">
        <f>'A) Base RI'!B143</f>
        <v>Echandens</v>
      </c>
      <c r="C147" s="14">
        <f>'A) Base RI'!U143</f>
        <v>2731</v>
      </c>
      <c r="D147" s="19">
        <f>'C) Prél. conj.'!H141</f>
        <v>300183.95</v>
      </c>
      <c r="E147" s="14">
        <f>'D) Ecrêtage'!L141</f>
        <v>0</v>
      </c>
      <c r="F147" s="19">
        <f>$F$10*'D) Ecrêtage'!M141</f>
        <v>2109690.2535034288</v>
      </c>
      <c r="G147" s="66">
        <f t="shared" si="2"/>
        <v>2409874.203503429</v>
      </c>
    </row>
    <row r="148" spans="1:7" x14ac:dyDescent="0.25">
      <c r="A148" s="57">
        <f>'A) Base RI'!A144</f>
        <v>5634</v>
      </c>
      <c r="B148" s="350" t="str">
        <f>'A) Base RI'!B144</f>
        <v>Echichens</v>
      </c>
      <c r="C148" s="14">
        <f>'A) Base RI'!U144</f>
        <v>2639</v>
      </c>
      <c r="D148" s="19">
        <f>'C) Prél. conj.'!H142</f>
        <v>510878.26500000001</v>
      </c>
      <c r="E148" s="14">
        <f>'D) Ecrêtage'!L142</f>
        <v>0</v>
      </c>
      <c r="F148" s="19">
        <f>$F$10*'D) Ecrêtage'!M142</f>
        <v>1900236.192645825</v>
      </c>
      <c r="G148" s="66">
        <f t="shared" si="2"/>
        <v>2411114.4576458251</v>
      </c>
    </row>
    <row r="149" spans="1:7" x14ac:dyDescent="0.25">
      <c r="A149" s="57">
        <f>'A) Base RI'!A145</f>
        <v>5635</v>
      </c>
      <c r="B149" s="350" t="str">
        <f>'A) Base RI'!B145</f>
        <v>Ecublens</v>
      </c>
      <c r="C149" s="14">
        <f>'A) Base RI'!U145</f>
        <v>12340</v>
      </c>
      <c r="D149" s="19">
        <f>'C) Prél. conj.'!H143</f>
        <v>1479511.115</v>
      </c>
      <c r="E149" s="14">
        <f>'D) Ecrêtage'!L143</f>
        <v>0</v>
      </c>
      <c r="F149" s="19">
        <f>$F$10*'D) Ecrêtage'!M143</f>
        <v>6417960.2406638404</v>
      </c>
      <c r="G149" s="66">
        <f t="shared" si="2"/>
        <v>7897471.3556638407</v>
      </c>
    </row>
    <row r="150" spans="1:7" x14ac:dyDescent="0.25">
      <c r="A150" s="57">
        <f>'A) Base RI'!A146</f>
        <v>5636</v>
      </c>
      <c r="B150" s="350" t="str">
        <f>'A) Base RI'!B146</f>
        <v>Etoy</v>
      </c>
      <c r="C150" s="14">
        <f>'A) Base RI'!U146</f>
        <v>2906</v>
      </c>
      <c r="D150" s="19">
        <f>'C) Prél. conj.'!H144</f>
        <v>2657631.3699999996</v>
      </c>
      <c r="E150" s="14">
        <f>'D) Ecrêtage'!L144</f>
        <v>0</v>
      </c>
      <c r="F150" s="19">
        <f>$F$10*'D) Ecrêtage'!M144</f>
        <v>2280521.9281966174</v>
      </c>
      <c r="G150" s="66">
        <f t="shared" si="2"/>
        <v>4938153.2981966175</v>
      </c>
    </row>
    <row r="151" spans="1:7" x14ac:dyDescent="0.25">
      <c r="A151" s="57">
        <f>'A) Base RI'!A147</f>
        <v>5637</v>
      </c>
      <c r="B151" s="350" t="str">
        <f>'A) Base RI'!B147</f>
        <v>Lavigny</v>
      </c>
      <c r="C151" s="14">
        <f>'A) Base RI'!U147</f>
        <v>1006</v>
      </c>
      <c r="D151" s="19">
        <f>'C) Prél. conj.'!H145</f>
        <v>138680.62</v>
      </c>
      <c r="E151" s="14">
        <f>'D) Ecrêtage'!L145</f>
        <v>0</v>
      </c>
      <c r="F151" s="19">
        <f>$F$10*'D) Ecrêtage'!M145</f>
        <v>541031.1525964035</v>
      </c>
      <c r="G151" s="66">
        <f t="shared" si="2"/>
        <v>679711.77259640349</v>
      </c>
    </row>
    <row r="152" spans="1:7" x14ac:dyDescent="0.25">
      <c r="A152" s="57">
        <f>'A) Base RI'!A148</f>
        <v>5638</v>
      </c>
      <c r="B152" s="350" t="str">
        <f>'A) Base RI'!B148</f>
        <v>Lonay</v>
      </c>
      <c r="C152" s="14">
        <f>'A) Base RI'!U148</f>
        <v>2530</v>
      </c>
      <c r="D152" s="19">
        <f>'C) Prél. conj.'!H146</f>
        <v>1399125.7349999999</v>
      </c>
      <c r="E152" s="14">
        <f>'D) Ecrêtage'!L146</f>
        <v>186120.83753874226</v>
      </c>
      <c r="F152" s="19">
        <f>$F$10*'D) Ecrêtage'!M146</f>
        <v>2255237.5905962121</v>
      </c>
      <c r="G152" s="66">
        <f t="shared" si="2"/>
        <v>3840484.1631349544</v>
      </c>
    </row>
    <row r="153" spans="1:7" x14ac:dyDescent="0.25">
      <c r="A153" s="57">
        <f>'A) Base RI'!A149</f>
        <v>5639</v>
      </c>
      <c r="B153" s="350" t="str">
        <f>'A) Base RI'!B149</f>
        <v>Lully</v>
      </c>
      <c r="C153" s="14">
        <f>'A) Base RI'!U149</f>
        <v>785</v>
      </c>
      <c r="D153" s="19">
        <f>'C) Prél. conj.'!H147</f>
        <v>73912.299999999988</v>
      </c>
      <c r="E153" s="14">
        <f>'D) Ecrêtage'!L147</f>
        <v>0</v>
      </c>
      <c r="F153" s="19">
        <f>$F$10*'D) Ecrêtage'!M147</f>
        <v>630750.91787217639</v>
      </c>
      <c r="G153" s="66">
        <f t="shared" si="2"/>
        <v>704663.21787217632</v>
      </c>
    </row>
    <row r="154" spans="1:7" x14ac:dyDescent="0.25">
      <c r="A154" s="57">
        <f>'A) Base RI'!A150</f>
        <v>5640</v>
      </c>
      <c r="B154" s="350" t="str">
        <f>'A) Base RI'!B150</f>
        <v>Lussy-sur-Morges</v>
      </c>
      <c r="C154" s="14">
        <f>'A) Base RI'!U150</f>
        <v>644</v>
      </c>
      <c r="D154" s="19">
        <f>'C) Prél. conj.'!H148</f>
        <v>193488.76</v>
      </c>
      <c r="E154" s="14">
        <f>'D) Ecrêtage'!L148</f>
        <v>492037.96208242752</v>
      </c>
      <c r="F154" s="19">
        <f>$F$10*'D) Ecrêtage'!M148</f>
        <v>762639.04283103498</v>
      </c>
      <c r="G154" s="66">
        <f t="shared" si="2"/>
        <v>1448165.7649134626</v>
      </c>
    </row>
    <row r="155" spans="1:7" x14ac:dyDescent="0.25">
      <c r="A155" s="57">
        <f>'A) Base RI'!A151</f>
        <v>5642</v>
      </c>
      <c r="B155" s="350" t="str">
        <f>'A) Base RI'!B151</f>
        <v>Morges</v>
      </c>
      <c r="C155" s="14">
        <f>'A) Base RI'!U151</f>
        <v>15819</v>
      </c>
      <c r="D155" s="19">
        <f>'C) Prél. conj.'!H149</f>
        <v>2495092.1550000003</v>
      </c>
      <c r="E155" s="14">
        <f>'D) Ecrêtage'!L149</f>
        <v>0</v>
      </c>
      <c r="F155" s="19">
        <f>$F$10*'D) Ecrêtage'!M149</f>
        <v>11818403.304662939</v>
      </c>
      <c r="G155" s="66">
        <f t="shared" si="2"/>
        <v>14313495.45966294</v>
      </c>
    </row>
    <row r="156" spans="1:7" x14ac:dyDescent="0.25">
      <c r="A156" s="57">
        <f>'A) Base RI'!A152</f>
        <v>5643</v>
      </c>
      <c r="B156" s="350" t="str">
        <f>'A) Base RI'!B152</f>
        <v>Préverenges</v>
      </c>
      <c r="C156" s="14">
        <f>'A) Base RI'!U152</f>
        <v>5276</v>
      </c>
      <c r="D156" s="19">
        <f>'C) Prél. conj.'!H150</f>
        <v>548248.44999999995</v>
      </c>
      <c r="E156" s="14">
        <f>'D) Ecrêtage'!L150</f>
        <v>0</v>
      </c>
      <c r="F156" s="19">
        <f>$F$10*'D) Ecrêtage'!M150</f>
        <v>3972530.0753200697</v>
      </c>
      <c r="G156" s="66">
        <f t="shared" si="2"/>
        <v>4520778.5253200699</v>
      </c>
    </row>
    <row r="157" spans="1:7" x14ac:dyDescent="0.25">
      <c r="A157" s="57">
        <f>'A) Base RI'!A153</f>
        <v>5644</v>
      </c>
      <c r="B157" s="350" t="str">
        <f>'A) Base RI'!B153</f>
        <v>Reverolle</v>
      </c>
      <c r="C157" s="14">
        <f>'A) Base RI'!U153</f>
        <v>368</v>
      </c>
      <c r="D157" s="19">
        <f>'C) Prél. conj.'!H151</f>
        <v>31583.19</v>
      </c>
      <c r="E157" s="14">
        <f>'D) Ecrêtage'!L151</f>
        <v>0</v>
      </c>
      <c r="F157" s="19">
        <f>$F$10*'D) Ecrêtage'!M151</f>
        <v>213590.60651307387</v>
      </c>
      <c r="G157" s="66">
        <f t="shared" si="2"/>
        <v>245173.79651307387</v>
      </c>
    </row>
    <row r="158" spans="1:7" x14ac:dyDescent="0.25">
      <c r="A158" s="57">
        <f>'A) Base RI'!A154</f>
        <v>5645</v>
      </c>
      <c r="B158" s="350" t="str">
        <f>'A) Base RI'!B154</f>
        <v>Romanel-sur-Morges</v>
      </c>
      <c r="C158" s="14">
        <f>'A) Base RI'!U154</f>
        <v>477</v>
      </c>
      <c r="D158" s="19">
        <f>'C) Prél. conj.'!H152</f>
        <v>70771.315000000002</v>
      </c>
      <c r="E158" s="14">
        <f>'D) Ecrêtage'!L152</f>
        <v>0</v>
      </c>
      <c r="F158" s="19">
        <f>$F$10*'D) Ecrêtage'!M152</f>
        <v>398430.53662298527</v>
      </c>
      <c r="G158" s="66">
        <f t="shared" si="2"/>
        <v>469201.85162298527</v>
      </c>
    </row>
    <row r="159" spans="1:7" x14ac:dyDescent="0.25">
      <c r="A159" s="57">
        <f>'A) Base RI'!A155</f>
        <v>5646</v>
      </c>
      <c r="B159" s="350" t="str">
        <f>'A) Base RI'!B155</f>
        <v>Saint-Prex</v>
      </c>
      <c r="C159" s="14">
        <f>'A) Base RI'!U155</f>
        <v>5661</v>
      </c>
      <c r="D159" s="19">
        <f>'C) Prél. conj.'!H153</f>
        <v>880895.94000000006</v>
      </c>
      <c r="E159" s="14">
        <f>'D) Ecrêtage'!L153</f>
        <v>4971236.9143227916</v>
      </c>
      <c r="F159" s="19">
        <f>$F$10*'D) Ecrêtage'!M153</f>
        <v>7325607.7873091055</v>
      </c>
      <c r="G159" s="66">
        <f t="shared" si="2"/>
        <v>13177740.641631898</v>
      </c>
    </row>
    <row r="160" spans="1:7" x14ac:dyDescent="0.25">
      <c r="A160" s="57">
        <f>'A) Base RI'!A156</f>
        <v>5648</v>
      </c>
      <c r="B160" s="350" t="str">
        <f>'A) Base RI'!B156</f>
        <v>Saint-Sulpice</v>
      </c>
      <c r="C160" s="14">
        <f>'A) Base RI'!U156</f>
        <v>4148</v>
      </c>
      <c r="D160" s="19">
        <f>'C) Prél. conj.'!H154</f>
        <v>1405098.32</v>
      </c>
      <c r="E160" s="14">
        <f>'D) Ecrêtage'!L154</f>
        <v>1922367.8211375659</v>
      </c>
      <c r="F160" s="19">
        <f>$F$10*'D) Ecrêtage'!M154</f>
        <v>4581510.8497475814</v>
      </c>
      <c r="G160" s="66">
        <f t="shared" si="2"/>
        <v>7908976.9908851478</v>
      </c>
    </row>
    <row r="161" spans="1:7" x14ac:dyDescent="0.25">
      <c r="A161" s="57">
        <f>'A) Base RI'!A157</f>
        <v>5649</v>
      </c>
      <c r="B161" s="350" t="str">
        <f>'A) Base RI'!B157</f>
        <v>Tolochenaz</v>
      </c>
      <c r="C161" s="14">
        <f>'A) Base RI'!U157</f>
        <v>1865</v>
      </c>
      <c r="D161" s="19">
        <f>'C) Prél. conj.'!H155</f>
        <v>449692.375</v>
      </c>
      <c r="E161" s="14">
        <f>'D) Ecrêtage'!L155</f>
        <v>0</v>
      </c>
      <c r="F161" s="19">
        <f>$F$10*'D) Ecrêtage'!M155</f>
        <v>1190152.8821999696</v>
      </c>
      <c r="G161" s="66">
        <f t="shared" si="2"/>
        <v>1639845.2571999696</v>
      </c>
    </row>
    <row r="162" spans="1:7" x14ac:dyDescent="0.25">
      <c r="A162" s="57">
        <f>'A) Base RI'!A158</f>
        <v>5650</v>
      </c>
      <c r="B162" s="350" t="str">
        <f>'A) Base RI'!B158</f>
        <v>Vaux-sur-Morges</v>
      </c>
      <c r="C162" s="14">
        <f>'A) Base RI'!U158</f>
        <v>200</v>
      </c>
      <c r="D162" s="19">
        <f>'C) Prél. conj.'!H156</f>
        <v>1119.0999999999999</v>
      </c>
      <c r="E162" s="14">
        <f>'D) Ecrêtage'!L156</f>
        <v>5629586.6059081033</v>
      </c>
      <c r="F162" s="19">
        <f>$F$10*'D) Ecrêtage'!M156</f>
        <v>1773720.2515440618</v>
      </c>
      <c r="G162" s="66">
        <f t="shared" si="2"/>
        <v>7404425.957452165</v>
      </c>
    </row>
    <row r="163" spans="1:7" x14ac:dyDescent="0.25">
      <c r="A163" s="57">
        <f>'A) Base RI'!A159</f>
        <v>5651</v>
      </c>
      <c r="B163" s="350" t="str">
        <f>'A) Base RI'!B159</f>
        <v>Villars-Sainte-Croix</v>
      </c>
      <c r="C163" s="14">
        <f>'A) Base RI'!U159</f>
        <v>841</v>
      </c>
      <c r="D163" s="19">
        <f>'C) Prél. conj.'!H157</f>
        <v>225183.03999999998</v>
      </c>
      <c r="E163" s="14">
        <f>'D) Ecrêtage'!L157</f>
        <v>0</v>
      </c>
      <c r="F163" s="19">
        <f>$F$10*'D) Ecrêtage'!M157</f>
        <v>590980.62730860931</v>
      </c>
      <c r="G163" s="66">
        <f t="shared" si="2"/>
        <v>816163.66730860923</v>
      </c>
    </row>
    <row r="164" spans="1:7" x14ac:dyDescent="0.25">
      <c r="A164" s="57">
        <f>'A) Base RI'!A160</f>
        <v>5652</v>
      </c>
      <c r="B164" s="350" t="str">
        <f>'A) Base RI'!B160</f>
        <v>Villars-sous-Yens</v>
      </c>
      <c r="C164" s="14">
        <f>'A) Base RI'!U160</f>
        <v>598</v>
      </c>
      <c r="D164" s="19">
        <f>'C) Prél. conj.'!H158</f>
        <v>64418.585000000006</v>
      </c>
      <c r="E164" s="14">
        <f>'D) Ecrêtage'!L158</f>
        <v>0</v>
      </c>
      <c r="F164" s="19">
        <f>$F$10*'D) Ecrêtage'!M158</f>
        <v>331393.81450408488</v>
      </c>
      <c r="G164" s="66">
        <f t="shared" si="2"/>
        <v>395812.3995040849</v>
      </c>
    </row>
    <row r="165" spans="1:7" x14ac:dyDescent="0.25">
      <c r="A165" s="57">
        <f>'A) Base RI'!A161</f>
        <v>5653</v>
      </c>
      <c r="B165" s="350" t="str">
        <f>'A) Base RI'!B161</f>
        <v>Vufflens-le-Château</v>
      </c>
      <c r="C165" s="14">
        <f>'A) Base RI'!U161</f>
        <v>841</v>
      </c>
      <c r="D165" s="19">
        <f>'C) Prél. conj.'!H159</f>
        <v>103356.155</v>
      </c>
      <c r="E165" s="14">
        <f>'D) Ecrêtage'!L159</f>
        <v>291499.03949518839</v>
      </c>
      <c r="F165" s="19">
        <f>$F$10*'D) Ecrêtage'!M159</f>
        <v>883685.91278179898</v>
      </c>
      <c r="G165" s="66">
        <f t="shared" si="2"/>
        <v>1278541.1072769873</v>
      </c>
    </row>
    <row r="166" spans="1:7" x14ac:dyDescent="0.25">
      <c r="A166" s="57">
        <f>'A) Base RI'!A162</f>
        <v>5654</v>
      </c>
      <c r="B166" s="350" t="str">
        <f>'A) Base RI'!B162</f>
        <v>Vullierens</v>
      </c>
      <c r="C166" s="14">
        <f>'A) Base RI'!U162</f>
        <v>461</v>
      </c>
      <c r="D166" s="19">
        <f>'C) Prél. conj.'!H160</f>
        <v>48596.13</v>
      </c>
      <c r="E166" s="14">
        <f>'D) Ecrêtage'!L160</f>
        <v>0</v>
      </c>
      <c r="F166" s="19">
        <f>$F$10*'D) Ecrêtage'!M160</f>
        <v>259137.22035198746</v>
      </c>
      <c r="G166" s="66">
        <f t="shared" si="2"/>
        <v>307733.35035198746</v>
      </c>
    </row>
    <row r="167" spans="1:7" x14ac:dyDescent="0.25">
      <c r="A167" s="57">
        <f>'A) Base RI'!A163</f>
        <v>5655</v>
      </c>
      <c r="B167" s="350" t="str">
        <f>'A) Base RI'!B163</f>
        <v>Yens</v>
      </c>
      <c r="C167" s="14">
        <f>'A) Base RI'!U163</f>
        <v>1388</v>
      </c>
      <c r="D167" s="19">
        <f>'C) Prél. conj.'!H161</f>
        <v>119861.91499999999</v>
      </c>
      <c r="E167" s="14">
        <f>'D) Ecrêtage'!L161</f>
        <v>156771.67263484493</v>
      </c>
      <c r="F167" s="19">
        <f>$F$10*'D) Ecrêtage'!M161</f>
        <v>1247282.0903132285</v>
      </c>
      <c r="G167" s="66">
        <f t="shared" si="2"/>
        <v>1523915.6779480735</v>
      </c>
    </row>
    <row r="168" spans="1:7" x14ac:dyDescent="0.25">
      <c r="A168" s="57">
        <f>'A) Base RI'!A164</f>
        <v>5661</v>
      </c>
      <c r="B168" s="350" t="str">
        <f>'A) Base RI'!B164</f>
        <v>Boulens</v>
      </c>
      <c r="C168" s="14">
        <f>'A) Base RI'!U164</f>
        <v>368</v>
      </c>
      <c r="D168" s="19">
        <f>'C) Prél. conj.'!H162</f>
        <v>23761.504999999997</v>
      </c>
      <c r="E168" s="14">
        <f>'D) Ecrêtage'!L162</f>
        <v>0</v>
      </c>
      <c r="F168" s="19">
        <f>$F$10*'D) Ecrêtage'!M162</f>
        <v>145020.08553624371</v>
      </c>
      <c r="G168" s="66">
        <f t="shared" si="2"/>
        <v>168781.59053624372</v>
      </c>
    </row>
    <row r="169" spans="1:7" x14ac:dyDescent="0.25">
      <c r="A169" s="57">
        <f>'A) Base RI'!A165</f>
        <v>5663</v>
      </c>
      <c r="B169" s="350" t="str">
        <f>'A) Base RI'!B165</f>
        <v>Bussy-sur-Moudon</v>
      </c>
      <c r="C169" s="14">
        <f>'A) Base RI'!U165</f>
        <v>208</v>
      </c>
      <c r="D169" s="19">
        <f>'C) Prél. conj.'!H163</f>
        <v>10349.85</v>
      </c>
      <c r="E169" s="14">
        <f>'D) Ecrêtage'!L163</f>
        <v>0</v>
      </c>
      <c r="F169" s="19">
        <f>$F$10*'D) Ecrêtage'!M163</f>
        <v>82667.79350754038</v>
      </c>
      <c r="G169" s="66">
        <f t="shared" si="2"/>
        <v>93017.643507540386</v>
      </c>
    </row>
    <row r="170" spans="1:7" x14ac:dyDescent="0.25">
      <c r="A170" s="57">
        <f>'A) Base RI'!A166</f>
        <v>5665</v>
      </c>
      <c r="B170" s="350" t="str">
        <f>'A) Base RI'!B166</f>
        <v>Chavannes-sur-Moudon</v>
      </c>
      <c r="C170" s="14">
        <f>'A) Base RI'!U166</f>
        <v>224</v>
      </c>
      <c r="D170" s="19">
        <f>'C) Prél. conj.'!H164</f>
        <v>1210</v>
      </c>
      <c r="E170" s="14">
        <f>'D) Ecrêtage'!L164</f>
        <v>0</v>
      </c>
      <c r="F170" s="19">
        <f>$F$10*'D) Ecrêtage'!M164</f>
        <v>75327.813903304734</v>
      </c>
      <c r="G170" s="66">
        <f t="shared" si="2"/>
        <v>76537.813903304734</v>
      </c>
    </row>
    <row r="171" spans="1:7" x14ac:dyDescent="0.25">
      <c r="A171" s="57">
        <f>'A) Base RI'!A167</f>
        <v>5669</v>
      </c>
      <c r="B171" s="350" t="str">
        <f>'A) Base RI'!B167</f>
        <v>Curtilles</v>
      </c>
      <c r="C171" s="14">
        <f>'A) Base RI'!U167</f>
        <v>309</v>
      </c>
      <c r="D171" s="19">
        <f>'C) Prél. conj.'!H165</f>
        <v>3033.2</v>
      </c>
      <c r="E171" s="14">
        <f>'D) Ecrêtage'!L165</f>
        <v>0</v>
      </c>
      <c r="F171" s="19">
        <f>$F$10*'D) Ecrêtage'!M165</f>
        <v>125158.98445336494</v>
      </c>
      <c r="G171" s="66">
        <f t="shared" si="2"/>
        <v>128192.18445336494</v>
      </c>
    </row>
    <row r="172" spans="1:7" x14ac:dyDescent="0.25">
      <c r="A172" s="57">
        <f>'A) Base RI'!A168</f>
        <v>5671</v>
      </c>
      <c r="B172" s="350" t="str">
        <f>'A) Base RI'!B168</f>
        <v>Dompierre</v>
      </c>
      <c r="C172" s="14">
        <f>'A) Base RI'!U168</f>
        <v>242</v>
      </c>
      <c r="D172" s="19">
        <f>'C) Prél. conj.'!H166</f>
        <v>0</v>
      </c>
      <c r="E172" s="14">
        <f>'D) Ecrêtage'!L166</f>
        <v>0</v>
      </c>
      <c r="F172" s="19">
        <f>$F$10*'D) Ecrêtage'!M166</f>
        <v>100874.85887194227</v>
      </c>
      <c r="G172" s="66">
        <f t="shared" si="2"/>
        <v>100874.85887194227</v>
      </c>
    </row>
    <row r="173" spans="1:7" x14ac:dyDescent="0.25">
      <c r="A173" s="57">
        <f>'A) Base RI'!A169</f>
        <v>5673</v>
      </c>
      <c r="B173" s="350" t="str">
        <f>'A) Base RI'!B169</f>
        <v>Hermenches</v>
      </c>
      <c r="C173" s="14">
        <f>'A) Base RI'!U169</f>
        <v>379</v>
      </c>
      <c r="D173" s="19">
        <f>'C) Prél. conj.'!H167</f>
        <v>12771.494999999999</v>
      </c>
      <c r="E173" s="14">
        <f>'D) Ecrêtage'!L167</f>
        <v>0</v>
      </c>
      <c r="F173" s="19">
        <f>$F$10*'D) Ecrêtage'!M167</f>
        <v>119023.74301819698</v>
      </c>
      <c r="G173" s="66">
        <f t="shared" si="2"/>
        <v>131795.23801819698</v>
      </c>
    </row>
    <row r="174" spans="1:7" x14ac:dyDescent="0.25">
      <c r="A174" s="57">
        <f>'A) Base RI'!A170</f>
        <v>5674</v>
      </c>
      <c r="B174" s="350" t="str">
        <f>'A) Base RI'!B170</f>
        <v>Lovatens</v>
      </c>
      <c r="C174" s="14">
        <f>'A) Base RI'!U170</f>
        <v>143</v>
      </c>
      <c r="D174" s="19">
        <f>'C) Prél. conj.'!H168</f>
        <v>27608.15</v>
      </c>
      <c r="E174" s="14">
        <f>'D) Ecrêtage'!L168</f>
        <v>0</v>
      </c>
      <c r="F174" s="19">
        <f>$F$10*'D) Ecrêtage'!M168</f>
        <v>57095.714469304134</v>
      </c>
      <c r="G174" s="66">
        <f t="shared" si="2"/>
        <v>84703.864469304128</v>
      </c>
    </row>
    <row r="175" spans="1:7" x14ac:dyDescent="0.25">
      <c r="A175" s="57">
        <f>'A) Base RI'!A171</f>
        <v>5675</v>
      </c>
      <c r="B175" s="350" t="str">
        <f>'A) Base RI'!B171</f>
        <v>Lucens</v>
      </c>
      <c r="C175" s="14">
        <f>'A) Base RI'!U171</f>
        <v>4009</v>
      </c>
      <c r="D175" s="19">
        <f>'C) Prél. conj.'!H169</f>
        <v>220218.16999999998</v>
      </c>
      <c r="E175" s="14">
        <f>'D) Ecrêtage'!L169</f>
        <v>0</v>
      </c>
      <c r="F175" s="19">
        <f>$F$10*'D) Ecrêtage'!M169</f>
        <v>1404802.7001999684</v>
      </c>
      <c r="G175" s="66">
        <f t="shared" si="2"/>
        <v>1625020.8701999683</v>
      </c>
    </row>
    <row r="176" spans="1:7" x14ac:dyDescent="0.25">
      <c r="A176" s="57">
        <f>'A) Base RI'!A172</f>
        <v>5678</v>
      </c>
      <c r="B176" s="350" t="str">
        <f>'A) Base RI'!B172</f>
        <v>Moudon</v>
      </c>
      <c r="C176" s="14">
        <f>'A) Base RI'!U172</f>
        <v>6003</v>
      </c>
      <c r="D176" s="19">
        <f>'C) Prél. conj.'!H170</f>
        <v>401644.53</v>
      </c>
      <c r="E176" s="14">
        <f>'D) Ecrêtage'!L170</f>
        <v>0</v>
      </c>
      <c r="F176" s="19">
        <f>$F$10*'D) Ecrêtage'!M170</f>
        <v>1861192.0952655517</v>
      </c>
      <c r="G176" s="66">
        <f t="shared" si="2"/>
        <v>2262836.6252655517</v>
      </c>
    </row>
    <row r="177" spans="1:7" x14ac:dyDescent="0.25">
      <c r="A177" s="57">
        <f>'A) Base RI'!A173</f>
        <v>5680</v>
      </c>
      <c r="B177" s="350" t="str">
        <f>'A) Base RI'!B173</f>
        <v>Ogens</v>
      </c>
      <c r="C177" s="14">
        <f>'A) Base RI'!U173</f>
        <v>296</v>
      </c>
      <c r="D177" s="19">
        <f>'C) Prél. conj.'!H171</f>
        <v>19734.974999999999</v>
      </c>
      <c r="E177" s="14">
        <f>'D) Ecrêtage'!L171</f>
        <v>0</v>
      </c>
      <c r="F177" s="19">
        <f>$F$10*'D) Ecrêtage'!M171</f>
        <v>128563.02526096099</v>
      </c>
      <c r="G177" s="66">
        <f t="shared" si="2"/>
        <v>148298.00026096098</v>
      </c>
    </row>
    <row r="178" spans="1:7" x14ac:dyDescent="0.25">
      <c r="A178" s="57">
        <f>'A) Base RI'!A174</f>
        <v>5683</v>
      </c>
      <c r="B178" s="350" t="str">
        <f>'A) Base RI'!B174</f>
        <v>Prévonloup</v>
      </c>
      <c r="C178" s="14">
        <f>'A) Base RI'!U174</f>
        <v>166</v>
      </c>
      <c r="D178" s="19">
        <f>'C) Prél. conj.'!H172</f>
        <v>0</v>
      </c>
      <c r="E178" s="14">
        <f>'D) Ecrêtage'!L172</f>
        <v>0</v>
      </c>
      <c r="F178" s="19">
        <f>$F$10*'D) Ecrêtage'!M172</f>
        <v>62412.921948952564</v>
      </c>
      <c r="G178" s="66">
        <f t="shared" si="2"/>
        <v>62412.921948952564</v>
      </c>
    </row>
    <row r="179" spans="1:7" x14ac:dyDescent="0.25">
      <c r="A179" s="57">
        <f>'A) Base RI'!A175</f>
        <v>5684</v>
      </c>
      <c r="B179" s="350" t="str">
        <f>'A) Base RI'!B175</f>
        <v>Rossenges</v>
      </c>
      <c r="C179" s="14">
        <f>'A) Base RI'!U175</f>
        <v>60</v>
      </c>
      <c r="D179" s="19">
        <f>'C) Prél. conj.'!H173</f>
        <v>0</v>
      </c>
      <c r="E179" s="14">
        <f>'D) Ecrêtage'!L173</f>
        <v>0</v>
      </c>
      <c r="F179" s="19">
        <f>$F$10*'D) Ecrêtage'!M173</f>
        <v>32048.008475200233</v>
      </c>
      <c r="G179" s="66">
        <f t="shared" si="2"/>
        <v>32048.008475200233</v>
      </c>
    </row>
    <row r="180" spans="1:7" x14ac:dyDescent="0.25">
      <c r="A180" s="57">
        <f>'A) Base RI'!A176</f>
        <v>5688</v>
      </c>
      <c r="B180" s="350" t="str">
        <f>'A) Base RI'!B176</f>
        <v>Syens</v>
      </c>
      <c r="C180" s="14">
        <f>'A) Base RI'!U176</f>
        <v>145</v>
      </c>
      <c r="D180" s="19">
        <f>'C) Prél. conj.'!H174</f>
        <v>21553.1</v>
      </c>
      <c r="E180" s="14">
        <f>'D) Ecrêtage'!L174</f>
        <v>0</v>
      </c>
      <c r="F180" s="19">
        <f>$F$10*'D) Ecrêtage'!M174</f>
        <v>73249.510225072358</v>
      </c>
      <c r="G180" s="66">
        <f t="shared" si="2"/>
        <v>94802.610225072363</v>
      </c>
    </row>
    <row r="181" spans="1:7" x14ac:dyDescent="0.25">
      <c r="A181" s="57">
        <f>'A) Base RI'!A177</f>
        <v>5690</v>
      </c>
      <c r="B181" s="350" t="str">
        <f>'A) Base RI'!B177</f>
        <v>Villars-le-Comte</v>
      </c>
      <c r="C181" s="14">
        <f>'A) Base RI'!U177</f>
        <v>143</v>
      </c>
      <c r="D181" s="19">
        <f>'C) Prél. conj.'!H175</f>
        <v>1373.125</v>
      </c>
      <c r="E181" s="14">
        <f>'D) Ecrêtage'!L175</f>
        <v>0</v>
      </c>
      <c r="F181" s="19">
        <f>$F$10*'D) Ecrêtage'!M175</f>
        <v>49165.859161249784</v>
      </c>
      <c r="G181" s="66">
        <f t="shared" si="2"/>
        <v>50538.984161249784</v>
      </c>
    </row>
    <row r="182" spans="1:7" x14ac:dyDescent="0.25">
      <c r="A182" s="57">
        <f>'A) Base RI'!A178</f>
        <v>5692</v>
      </c>
      <c r="B182" s="350" t="str">
        <f>'A) Base RI'!B178</f>
        <v>Vucherens</v>
      </c>
      <c r="C182" s="14">
        <f>'A) Base RI'!U178</f>
        <v>557</v>
      </c>
      <c r="D182" s="19">
        <f>'C) Prél. conj.'!H176</f>
        <v>69712.634999999995</v>
      </c>
      <c r="E182" s="14">
        <f>'D) Ecrêtage'!L176</f>
        <v>0</v>
      </c>
      <c r="F182" s="19">
        <f>$F$10*'D) Ecrêtage'!M176</f>
        <v>256892.25800325462</v>
      </c>
      <c r="G182" s="66">
        <f t="shared" si="2"/>
        <v>326604.8930032546</v>
      </c>
    </row>
    <row r="183" spans="1:7" x14ac:dyDescent="0.25">
      <c r="A183" s="57">
        <f>'A) Base RI'!A179</f>
        <v>5693</v>
      </c>
      <c r="B183" s="350" t="str">
        <f>'A) Base RI'!B179</f>
        <v>Montanaire</v>
      </c>
      <c r="C183" s="14">
        <f>'A) Base RI'!U179</f>
        <v>2500</v>
      </c>
      <c r="D183" s="19">
        <f>'C) Prél. conj.'!H177</f>
        <v>146672.22</v>
      </c>
      <c r="E183" s="14">
        <f>'D) Ecrêtage'!L177</f>
        <v>0</v>
      </c>
      <c r="F183" s="19">
        <f>$F$10*'D) Ecrêtage'!M177</f>
        <v>961236.49577845167</v>
      </c>
      <c r="G183" s="66">
        <f t="shared" si="2"/>
        <v>1107908.7157784516</v>
      </c>
    </row>
    <row r="184" spans="1:7" x14ac:dyDescent="0.25">
      <c r="A184" s="57">
        <f>'A) Base RI'!A180</f>
        <v>5701</v>
      </c>
      <c r="B184" s="350" t="str">
        <f>'A) Base RI'!B180</f>
        <v>Arnex-sur-Nyon</v>
      </c>
      <c r="C184" s="14">
        <f>'A) Base RI'!U180</f>
        <v>214</v>
      </c>
      <c r="D184" s="19">
        <f>'C) Prél. conj.'!H178</f>
        <v>56916.175000000003</v>
      </c>
      <c r="E184" s="14">
        <f>'D) Ecrêtage'!L178</f>
        <v>85447.680683859609</v>
      </c>
      <c r="F184" s="19">
        <f>$F$10*'D) Ecrêtage'!M178</f>
        <v>221624.10357897982</v>
      </c>
      <c r="G184" s="66">
        <f t="shared" si="2"/>
        <v>363987.95926283946</v>
      </c>
    </row>
    <row r="185" spans="1:7" x14ac:dyDescent="0.25">
      <c r="A185" s="57">
        <f>'A) Base RI'!A181</f>
        <v>5702</v>
      </c>
      <c r="B185" s="350" t="str">
        <f>'A) Base RI'!B181</f>
        <v>Arzier-Le Muids</v>
      </c>
      <c r="C185" s="14">
        <f>'A) Base RI'!U181</f>
        <v>2565</v>
      </c>
      <c r="D185" s="19">
        <f>'C) Prél. conj.'!H179</f>
        <v>471140.66</v>
      </c>
      <c r="E185" s="14">
        <f>'D) Ecrêtage'!L179</f>
        <v>240571.25093458765</v>
      </c>
      <c r="F185" s="19">
        <f>$F$10*'D) Ecrêtage'!M179</f>
        <v>2297734.1629359289</v>
      </c>
      <c r="G185" s="66">
        <f t="shared" si="2"/>
        <v>3009446.0738705168</v>
      </c>
    </row>
    <row r="186" spans="1:7" x14ac:dyDescent="0.25">
      <c r="A186" s="57">
        <f>'A) Base RI'!A182</f>
        <v>5703</v>
      </c>
      <c r="B186" s="350" t="str">
        <f>'A) Base RI'!B182</f>
        <v>Bassins</v>
      </c>
      <c r="C186" s="14">
        <f>'A) Base RI'!U182</f>
        <v>1311</v>
      </c>
      <c r="D186" s="19">
        <f>'C) Prél. conj.'!H180</f>
        <v>105388.87499999999</v>
      </c>
      <c r="E186" s="14">
        <f>'D) Ecrêtage'!L180</f>
        <v>0</v>
      </c>
      <c r="F186" s="19">
        <f>$F$10*'D) Ecrêtage'!M180</f>
        <v>791727.7839520186</v>
      </c>
      <c r="G186" s="66">
        <f t="shared" si="2"/>
        <v>897116.6589520186</v>
      </c>
    </row>
    <row r="187" spans="1:7" x14ac:dyDescent="0.25">
      <c r="A187" s="57">
        <f>'A) Base RI'!A183</f>
        <v>5704</v>
      </c>
      <c r="B187" s="350" t="str">
        <f>'A) Base RI'!B183</f>
        <v>Begnins</v>
      </c>
      <c r="C187" s="14">
        <f>'A) Base RI'!U183</f>
        <v>1856</v>
      </c>
      <c r="D187" s="19">
        <f>'C) Prél. conj.'!H181</f>
        <v>369263.38</v>
      </c>
      <c r="E187" s="14">
        <f>'D) Ecrêtage'!L181</f>
        <v>350264.62683816953</v>
      </c>
      <c r="F187" s="19">
        <f>$F$10*'D) Ecrêtage'!M181</f>
        <v>1748967.5278916098</v>
      </c>
      <c r="G187" s="66">
        <f t="shared" si="2"/>
        <v>2468495.5347297792</v>
      </c>
    </row>
    <row r="188" spans="1:7" x14ac:dyDescent="0.25">
      <c r="A188" s="57">
        <f>'A) Base RI'!A184</f>
        <v>5705</v>
      </c>
      <c r="B188" s="350" t="str">
        <f>'A) Base RI'!B184</f>
        <v>Bogis-Bossey</v>
      </c>
      <c r="C188" s="14">
        <f>'A) Base RI'!U184</f>
        <v>827</v>
      </c>
      <c r="D188" s="19">
        <f>'C) Prél. conj.'!H182</f>
        <v>77269.634999999995</v>
      </c>
      <c r="E188" s="14">
        <f>'D) Ecrêtage'!L182</f>
        <v>84821.387995901867</v>
      </c>
      <c r="F188" s="19">
        <f>$F$10*'D) Ecrêtage'!M182</f>
        <v>740821.74572054727</v>
      </c>
      <c r="G188" s="66">
        <f t="shared" si="2"/>
        <v>902912.76871644915</v>
      </c>
    </row>
    <row r="189" spans="1:7" x14ac:dyDescent="0.25">
      <c r="A189" s="57">
        <f>'A) Base RI'!A185</f>
        <v>5706</v>
      </c>
      <c r="B189" s="350" t="str">
        <f>'A) Base RI'!B185</f>
        <v>Borex</v>
      </c>
      <c r="C189" s="14">
        <f>'A) Base RI'!U185</f>
        <v>1099</v>
      </c>
      <c r="D189" s="19">
        <f>'C) Prél. conj.'!H183</f>
        <v>212673.13</v>
      </c>
      <c r="E189" s="14">
        <f>'D) Ecrêtage'!L183</f>
        <v>133779.17632026778</v>
      </c>
      <c r="F189" s="19">
        <f>$F$10*'D) Ecrêtage'!M183</f>
        <v>1012785.0295958931</v>
      </c>
      <c r="G189" s="66">
        <f t="shared" si="2"/>
        <v>1359237.3359161611</v>
      </c>
    </row>
    <row r="190" spans="1:7" x14ac:dyDescent="0.25">
      <c r="A190" s="57">
        <f>'A) Base RI'!A186</f>
        <v>5707</v>
      </c>
      <c r="B190" s="350" t="str">
        <f>'A) Base RI'!B186</f>
        <v>Chavannes-de-Bogis</v>
      </c>
      <c r="C190" s="14">
        <f>'A) Base RI'!U186</f>
        <v>1153</v>
      </c>
      <c r="D190" s="19">
        <f>'C) Prél. conj.'!H184</f>
        <v>379667.18</v>
      </c>
      <c r="E190" s="14">
        <f>'D) Ecrêtage'!L184</f>
        <v>903320.62590871775</v>
      </c>
      <c r="F190" s="19">
        <f>$F$10*'D) Ecrêtage'!M184</f>
        <v>1415083.8883863532</v>
      </c>
      <c r="G190" s="66">
        <f t="shared" si="2"/>
        <v>2698071.6942950711</v>
      </c>
    </row>
    <row r="191" spans="1:7" x14ac:dyDescent="0.25">
      <c r="A191" s="57">
        <f>'A) Base RI'!A187</f>
        <v>5708</v>
      </c>
      <c r="B191" s="350" t="str">
        <f>'A) Base RI'!B187</f>
        <v>Chavannes-des-Bois</v>
      </c>
      <c r="C191" s="14">
        <f>'A) Base RI'!U187</f>
        <v>850</v>
      </c>
      <c r="D191" s="19">
        <f>'C) Prél. conj.'!H185</f>
        <v>143413.53</v>
      </c>
      <c r="E191" s="14">
        <f>'D) Ecrêtage'!L185</f>
        <v>447945.91458656831</v>
      </c>
      <c r="F191" s="19">
        <f>$F$10*'D) Ecrêtage'!M185</f>
        <v>943415.71345778333</v>
      </c>
      <c r="G191" s="66">
        <f t="shared" si="2"/>
        <v>1534775.1580443515</v>
      </c>
    </row>
    <row r="192" spans="1:7" x14ac:dyDescent="0.25">
      <c r="A192" s="57">
        <f>'A) Base RI'!A188</f>
        <v>5709</v>
      </c>
      <c r="B192" s="350" t="str">
        <f>'A) Base RI'!B188</f>
        <v>Chéserex</v>
      </c>
      <c r="C192" s="14">
        <f>'A) Base RI'!U188</f>
        <v>1222</v>
      </c>
      <c r="D192" s="19">
        <f>'C) Prél. conj.'!H186</f>
        <v>697228.38500000001</v>
      </c>
      <c r="E192" s="14">
        <f>'D) Ecrêtage'!L186</f>
        <v>1810187.0754290468</v>
      </c>
      <c r="F192" s="19">
        <f>$F$10*'D) Ecrêtage'!M186</f>
        <v>1878711.905524889</v>
      </c>
      <c r="G192" s="66">
        <f t="shared" si="2"/>
        <v>4386127.3659539353</v>
      </c>
    </row>
    <row r="193" spans="1:7" x14ac:dyDescent="0.25">
      <c r="A193" s="57">
        <f>'A) Base RI'!A189</f>
        <v>5710</v>
      </c>
      <c r="B193" s="350" t="str">
        <f>'A) Base RI'!B189</f>
        <v>Coinsins</v>
      </c>
      <c r="C193" s="14">
        <f>'A) Base RI'!U189</f>
        <v>490</v>
      </c>
      <c r="D193" s="19">
        <f>'C) Prél. conj.'!H187</f>
        <v>54501.99</v>
      </c>
      <c r="E193" s="14">
        <f>'D) Ecrêtage'!L187</f>
        <v>1084820.6192276627</v>
      </c>
      <c r="F193" s="19">
        <f>$F$10*'D) Ecrêtage'!M187</f>
        <v>971937.89984734182</v>
      </c>
      <c r="G193" s="66">
        <f t="shared" si="2"/>
        <v>2111260.5090750046</v>
      </c>
    </row>
    <row r="194" spans="1:7" x14ac:dyDescent="0.25">
      <c r="A194" s="57">
        <f>'A) Base RI'!A190</f>
        <v>5711</v>
      </c>
      <c r="B194" s="350" t="str">
        <f>'A) Base RI'!B190</f>
        <v>Commugny</v>
      </c>
      <c r="C194" s="14">
        <f>'A) Base RI'!U190</f>
        <v>2561</v>
      </c>
      <c r="D194" s="19">
        <f>'C) Prél. conj.'!H188</f>
        <v>609167.51</v>
      </c>
      <c r="E194" s="14">
        <f>'D) Ecrêtage'!L188</f>
        <v>2648476.4756351789</v>
      </c>
      <c r="F194" s="19">
        <f>$F$10*'D) Ecrêtage'!M188</f>
        <v>3422404.9919140367</v>
      </c>
      <c r="G194" s="66">
        <f t="shared" si="2"/>
        <v>6680048.9775492158</v>
      </c>
    </row>
    <row r="195" spans="1:7" x14ac:dyDescent="0.25">
      <c r="A195" s="57">
        <f>'A) Base RI'!A191</f>
        <v>5712</v>
      </c>
      <c r="B195" s="350" t="str">
        <f>'A) Base RI'!B191</f>
        <v>Coppet</v>
      </c>
      <c r="C195" s="14">
        <f>'A) Base RI'!U191</f>
        <v>2942</v>
      </c>
      <c r="D195" s="19">
        <f>'C) Prél. conj.'!H189</f>
        <v>1267409.6949999998</v>
      </c>
      <c r="E195" s="14">
        <f>'D) Ecrêtage'!L189</f>
        <v>3722612.2856875928</v>
      </c>
      <c r="F195" s="19">
        <f>$F$10*'D) Ecrêtage'!M189</f>
        <v>4259275.0353900138</v>
      </c>
      <c r="G195" s="66">
        <f t="shared" si="2"/>
        <v>9249297.0160776079</v>
      </c>
    </row>
    <row r="196" spans="1:7" x14ac:dyDescent="0.25">
      <c r="A196" s="57">
        <f>'A) Base RI'!A192</f>
        <v>5713</v>
      </c>
      <c r="B196" s="350" t="str">
        <f>'A) Base RI'!B192</f>
        <v>Crans-près-Céligny</v>
      </c>
      <c r="C196" s="14">
        <f>'A) Base RI'!U192</f>
        <v>2059</v>
      </c>
      <c r="D196" s="19">
        <f>'C) Prél. conj.'!H190</f>
        <v>789783.22</v>
      </c>
      <c r="E196" s="14">
        <f>'D) Ecrêtage'!L190</f>
        <v>2828575.4468089123</v>
      </c>
      <c r="F196" s="19">
        <f>$F$10*'D) Ecrêtage'!M190</f>
        <v>3062786.4594646245</v>
      </c>
      <c r="G196" s="66">
        <f t="shared" si="2"/>
        <v>6681145.1262735371</v>
      </c>
    </row>
    <row r="197" spans="1:7" x14ac:dyDescent="0.25">
      <c r="A197" s="57">
        <f>'A) Base RI'!A193</f>
        <v>5714</v>
      </c>
      <c r="B197" s="350" t="str">
        <f>'A) Base RI'!B193</f>
        <v>Crassier</v>
      </c>
      <c r="C197" s="14">
        <f>'A) Base RI'!U193</f>
        <v>1172</v>
      </c>
      <c r="D197" s="19">
        <f>'C) Prél. conj.'!H191</f>
        <v>166895.28000000003</v>
      </c>
      <c r="E197" s="14">
        <f>'D) Ecrêtage'!L191</f>
        <v>392413.78797162505</v>
      </c>
      <c r="F197" s="19">
        <f>$F$10*'D) Ecrêtage'!M191</f>
        <v>1199741.4809724586</v>
      </c>
      <c r="G197" s="66">
        <f t="shared" si="2"/>
        <v>1759050.5489440837</v>
      </c>
    </row>
    <row r="198" spans="1:7" x14ac:dyDescent="0.25">
      <c r="A198" s="57">
        <f>'A) Base RI'!A194</f>
        <v>5715</v>
      </c>
      <c r="B198" s="350" t="str">
        <f>'A) Base RI'!B194</f>
        <v>Duillier</v>
      </c>
      <c r="C198" s="14">
        <f>'A) Base RI'!U194</f>
        <v>1039</v>
      </c>
      <c r="D198" s="19">
        <f>'C) Prél. conj.'!H192</f>
        <v>197429.74999999997</v>
      </c>
      <c r="E198" s="14">
        <f>'D) Ecrêtage'!L192</f>
        <v>142865.19062037303</v>
      </c>
      <c r="F198" s="19">
        <f>$F$10*'D) Ecrêtage'!M192</f>
        <v>952845.76609471499</v>
      </c>
      <c r="G198" s="66">
        <f t="shared" si="2"/>
        <v>1293140.7067150879</v>
      </c>
    </row>
    <row r="199" spans="1:7" x14ac:dyDescent="0.25">
      <c r="A199" s="57">
        <f>'A) Base RI'!A195</f>
        <v>5716</v>
      </c>
      <c r="B199" s="350" t="str">
        <f>'A) Base RI'!B195</f>
        <v>Eysins</v>
      </c>
      <c r="C199" s="14">
        <f>'A) Base RI'!U195</f>
        <v>1482</v>
      </c>
      <c r="D199" s="19">
        <f>'C) Prél. conj.'!H193</f>
        <v>754320.91499999992</v>
      </c>
      <c r="E199" s="14">
        <f>'D) Ecrêtage'!L193</f>
        <v>228110.8784952276</v>
      </c>
      <c r="F199" s="19">
        <f>$F$10*'D) Ecrêtage'!M193</f>
        <v>1381561.7419596717</v>
      </c>
      <c r="G199" s="66">
        <f t="shared" si="2"/>
        <v>2363993.5354548991</v>
      </c>
    </row>
    <row r="200" spans="1:7" x14ac:dyDescent="0.25">
      <c r="A200" s="57">
        <f>'A) Base RI'!A196</f>
        <v>5717</v>
      </c>
      <c r="B200" s="350" t="str">
        <f>'A) Base RI'!B196</f>
        <v>Founex</v>
      </c>
      <c r="C200" s="14">
        <f>'A) Base RI'!U196</f>
        <v>3410</v>
      </c>
      <c r="D200" s="19">
        <f>'C) Prél. conj.'!H194</f>
        <v>808688.8</v>
      </c>
      <c r="E200" s="14">
        <f>'D) Ecrêtage'!L194</f>
        <v>4398284.2870135922</v>
      </c>
      <c r="F200" s="19">
        <f>$F$10*'D) Ecrêtage'!M194</f>
        <v>4854250.3210995076</v>
      </c>
      <c r="G200" s="66">
        <f t="shared" si="2"/>
        <v>10061223.4081131</v>
      </c>
    </row>
    <row r="201" spans="1:7" x14ac:dyDescent="0.25">
      <c r="A201" s="57">
        <f>'A) Base RI'!A197</f>
        <v>5718</v>
      </c>
      <c r="B201" s="350" t="str">
        <f>'A) Base RI'!B197</f>
        <v>Genolier</v>
      </c>
      <c r="C201" s="14">
        <f>'A) Base RI'!U197</f>
        <v>1895</v>
      </c>
      <c r="D201" s="19">
        <f>'C) Prél. conj.'!H195</f>
        <v>640474.24</v>
      </c>
      <c r="E201" s="14">
        <f>'D) Ecrêtage'!L195</f>
        <v>2194195.2030543168</v>
      </c>
      <c r="F201" s="19">
        <f>$F$10*'D) Ecrêtage'!M195</f>
        <v>2639551.6010610173</v>
      </c>
      <c r="G201" s="66">
        <f t="shared" si="2"/>
        <v>5474221.0441153347</v>
      </c>
    </row>
    <row r="202" spans="1:7" x14ac:dyDescent="0.25">
      <c r="A202" s="57">
        <f>'A) Base RI'!A198</f>
        <v>5719</v>
      </c>
      <c r="B202" s="350" t="str">
        <f>'A) Base RI'!B198</f>
        <v>Gingins</v>
      </c>
      <c r="C202" s="14">
        <f>'A) Base RI'!U198</f>
        <v>1195</v>
      </c>
      <c r="D202" s="19">
        <f>'C) Prél. conj.'!H196</f>
        <v>519747.53</v>
      </c>
      <c r="E202" s="14">
        <f>'D) Ecrêtage'!L196</f>
        <v>512790.15358839073</v>
      </c>
      <c r="F202" s="19">
        <f>$F$10*'D) Ecrêtage'!M196</f>
        <v>1292736.3685776179</v>
      </c>
      <c r="G202" s="66">
        <f t="shared" si="2"/>
        <v>2325274.0521660089</v>
      </c>
    </row>
    <row r="203" spans="1:7" x14ac:dyDescent="0.25">
      <c r="A203" s="57">
        <f>'A) Base RI'!A199</f>
        <v>5720</v>
      </c>
      <c r="B203" s="350" t="str">
        <f>'A) Base RI'!B199</f>
        <v>Givrins</v>
      </c>
      <c r="C203" s="14">
        <f>'A) Base RI'!U199</f>
        <v>1000</v>
      </c>
      <c r="D203" s="19">
        <f>'C) Prél. conj.'!H197</f>
        <v>140699.58000000002</v>
      </c>
      <c r="E203" s="14">
        <f>'D) Ecrêtage'!L197</f>
        <v>411739.62770315178</v>
      </c>
      <c r="F203" s="19">
        <f>$F$10*'D) Ecrêtage'!M197</f>
        <v>1062088.5009125757</v>
      </c>
      <c r="G203" s="66">
        <f t="shared" si="2"/>
        <v>1614527.7086157277</v>
      </c>
    </row>
    <row r="204" spans="1:7" x14ac:dyDescent="0.25">
      <c r="A204" s="57">
        <f>'A) Base RI'!A200</f>
        <v>5721</v>
      </c>
      <c r="B204" s="350" t="str">
        <f>'A) Base RI'!B200</f>
        <v>Gland</v>
      </c>
      <c r="C204" s="14">
        <f>'A) Base RI'!U200</f>
        <v>12829</v>
      </c>
      <c r="D204" s="19">
        <f>'C) Prél. conj.'!H198</f>
        <v>1820412.6</v>
      </c>
      <c r="E204" s="14">
        <f>'D) Ecrêtage'!L198</f>
        <v>0</v>
      </c>
      <c r="F204" s="19">
        <f>$F$10*'D) Ecrêtage'!M198</f>
        <v>8180727.848422505</v>
      </c>
      <c r="G204" s="66">
        <f t="shared" ref="G204:G267" si="3">D204+F204+E204</f>
        <v>10001140.448422505</v>
      </c>
    </row>
    <row r="205" spans="1:7" x14ac:dyDescent="0.25">
      <c r="A205" s="57">
        <f>'A) Base RI'!A201</f>
        <v>5722</v>
      </c>
      <c r="B205" s="350" t="str">
        <f>'A) Base RI'!B201</f>
        <v>Grens</v>
      </c>
      <c r="C205" s="14">
        <f>'A) Base RI'!U201</f>
        <v>377</v>
      </c>
      <c r="D205" s="19">
        <f>'C) Prél. conj.'!H199</f>
        <v>188129.50999999998</v>
      </c>
      <c r="E205" s="14">
        <f>'D) Ecrêtage'!L199</f>
        <v>0</v>
      </c>
      <c r="F205" s="19">
        <f>$F$10*'D) Ecrêtage'!M199</f>
        <v>309895.26858272351</v>
      </c>
      <c r="G205" s="66">
        <f t="shared" si="3"/>
        <v>498024.77858272346</v>
      </c>
    </row>
    <row r="206" spans="1:7" x14ac:dyDescent="0.25">
      <c r="A206" s="57">
        <f>'A) Base RI'!A202</f>
        <v>5723</v>
      </c>
      <c r="B206" s="350" t="str">
        <f>'A) Base RI'!B202</f>
        <v>Mies</v>
      </c>
      <c r="C206" s="14">
        <f>'A) Base RI'!U202</f>
        <v>1791</v>
      </c>
      <c r="D206" s="19">
        <f>'C) Prél. conj.'!H200</f>
        <v>956723.245</v>
      </c>
      <c r="E206" s="14">
        <f>'D) Ecrêtage'!L200</f>
        <v>15676402.859166685</v>
      </c>
      <c r="F206" s="19">
        <f>$F$10*'D) Ecrêtage'!M200</f>
        <v>6978090.8039112212</v>
      </c>
      <c r="G206" s="66">
        <f t="shared" si="3"/>
        <v>23611216.908077907</v>
      </c>
    </row>
    <row r="207" spans="1:7" x14ac:dyDescent="0.25">
      <c r="A207" s="57">
        <f>'A) Base RI'!A203</f>
        <v>5724</v>
      </c>
      <c r="B207" s="350" t="str">
        <f>'A) Base RI'!B203</f>
        <v>Nyon</v>
      </c>
      <c r="C207" s="14">
        <f>'A) Base RI'!U203</f>
        <v>20047</v>
      </c>
      <c r="D207" s="19">
        <f>'C) Prél. conj.'!H201</f>
        <v>5509927.125</v>
      </c>
      <c r="E207" s="14">
        <f>'D) Ecrêtage'!L201</f>
        <v>6643193.7020661533</v>
      </c>
      <c r="F207" s="19">
        <f>$F$10*'D) Ecrêtage'!M201</f>
        <v>20623405.345762383</v>
      </c>
      <c r="G207" s="66">
        <f t="shared" si="3"/>
        <v>32776526.172828536</v>
      </c>
    </row>
    <row r="208" spans="1:7" x14ac:dyDescent="0.25">
      <c r="A208" s="57">
        <f>'A) Base RI'!A204</f>
        <v>5725</v>
      </c>
      <c r="B208" s="350" t="str">
        <f>'A) Base RI'!B204</f>
        <v>Prangins</v>
      </c>
      <c r="C208" s="14">
        <f>'A) Base RI'!U204</f>
        <v>4011</v>
      </c>
      <c r="D208" s="19">
        <f>'C) Prél. conj.'!H202</f>
        <v>833248.86999999988</v>
      </c>
      <c r="E208" s="14">
        <f>'D) Ecrêtage'!L202</f>
        <v>2147381.1274156063</v>
      </c>
      <c r="F208" s="19">
        <f>$F$10*'D) Ecrêtage'!M202</f>
        <v>4545289.2182036769</v>
      </c>
      <c r="G208" s="66">
        <f t="shared" si="3"/>
        <v>7525919.2156192828</v>
      </c>
    </row>
    <row r="209" spans="1:7" x14ac:dyDescent="0.25">
      <c r="A209" s="57">
        <f>'A) Base RI'!A205</f>
        <v>5726</v>
      </c>
      <c r="B209" s="350" t="str">
        <f>'A) Base RI'!B205</f>
        <v>La Rippe</v>
      </c>
      <c r="C209" s="14">
        <f>'A) Base RI'!U205</f>
        <v>1120</v>
      </c>
      <c r="D209" s="19">
        <f>'C) Prél. conj.'!H203</f>
        <v>120932.94499999999</v>
      </c>
      <c r="E209" s="14">
        <f>'D) Ecrêtage'!L203</f>
        <v>0</v>
      </c>
      <c r="F209" s="19">
        <f>$F$10*'D) Ecrêtage'!M203</f>
        <v>943636.36147244985</v>
      </c>
      <c r="G209" s="66">
        <f t="shared" si="3"/>
        <v>1064569.3064724498</v>
      </c>
    </row>
    <row r="210" spans="1:7" x14ac:dyDescent="0.25">
      <c r="A210" s="57">
        <f>'A) Base RI'!A206</f>
        <v>5727</v>
      </c>
      <c r="B210" s="350" t="str">
        <f>'A) Base RI'!B206</f>
        <v>Saint-Cergue</v>
      </c>
      <c r="C210" s="14">
        <f>'A) Base RI'!U206</f>
        <v>2481</v>
      </c>
      <c r="D210" s="19">
        <f>'C) Prél. conj.'!H204</f>
        <v>364735.315</v>
      </c>
      <c r="E210" s="14">
        <f>'D) Ecrêtage'!L204</f>
        <v>0</v>
      </c>
      <c r="F210" s="19">
        <f>$F$10*'D) Ecrêtage'!M204</f>
        <v>1422933.8589847893</v>
      </c>
      <c r="G210" s="66">
        <f t="shared" si="3"/>
        <v>1787669.1739847893</v>
      </c>
    </row>
    <row r="211" spans="1:7" x14ac:dyDescent="0.25">
      <c r="A211" s="57">
        <f>'A) Base RI'!A207</f>
        <v>5728</v>
      </c>
      <c r="B211" s="350" t="str">
        <f>'A) Base RI'!B207</f>
        <v>Signy-Avenex</v>
      </c>
      <c r="C211" s="14">
        <f>'A) Base RI'!U207</f>
        <v>516</v>
      </c>
      <c r="D211" s="19">
        <f>'C) Prél. conj.'!H205</f>
        <v>227151.10499999998</v>
      </c>
      <c r="E211" s="14">
        <f>'D) Ecrêtage'!L205</f>
        <v>94622.471509538533</v>
      </c>
      <c r="F211" s="19">
        <f>$F$10*'D) Ecrêtage'!M205</f>
        <v>494378.48511422338</v>
      </c>
      <c r="G211" s="66">
        <f t="shared" si="3"/>
        <v>816152.0616237619</v>
      </c>
    </row>
    <row r="212" spans="1:7" x14ac:dyDescent="0.25">
      <c r="A212" s="57">
        <f>'A) Base RI'!A208</f>
        <v>5729</v>
      </c>
      <c r="B212" s="350" t="str">
        <f>'A) Base RI'!B208</f>
        <v>Tannay</v>
      </c>
      <c r="C212" s="14">
        <f>'A) Base RI'!U208</f>
        <v>1430</v>
      </c>
      <c r="D212" s="19">
        <f>'C) Prél. conj.'!H206</f>
        <v>212865.11499999999</v>
      </c>
      <c r="E212" s="14">
        <f>'D) Ecrêtage'!L206</f>
        <v>1659583.8802205864</v>
      </c>
      <c r="F212" s="19">
        <f>$F$10*'D) Ecrêtage'!M206</f>
        <v>1935509.6741492851</v>
      </c>
      <c r="G212" s="66">
        <f t="shared" si="3"/>
        <v>3807958.6693698717</v>
      </c>
    </row>
    <row r="213" spans="1:7" x14ac:dyDescent="0.25">
      <c r="A213" s="57">
        <f>'A) Base RI'!A209</f>
        <v>5730</v>
      </c>
      <c r="B213" s="350" t="str">
        <f>'A) Base RI'!B209</f>
        <v>Trélex</v>
      </c>
      <c r="C213" s="14">
        <f>'A) Base RI'!U209</f>
        <v>1414</v>
      </c>
      <c r="D213" s="19">
        <f>'C) Prél. conj.'!H207</f>
        <v>169919.30000000002</v>
      </c>
      <c r="E213" s="14">
        <f>'D) Ecrêtage'!L207</f>
        <v>1096025.9703337301</v>
      </c>
      <c r="F213" s="19">
        <f>$F$10*'D) Ecrêtage'!M207</f>
        <v>1746854.3836277761</v>
      </c>
      <c r="G213" s="66">
        <f t="shared" si="3"/>
        <v>3012799.6539615062</v>
      </c>
    </row>
    <row r="214" spans="1:7" x14ac:dyDescent="0.25">
      <c r="A214" s="57">
        <f>'A) Base RI'!A210</f>
        <v>5731</v>
      </c>
      <c r="B214" s="350" t="str">
        <f>'A) Base RI'!B210</f>
        <v>Le Vaud</v>
      </c>
      <c r="C214" s="14">
        <f>'A) Base RI'!U210</f>
        <v>1260</v>
      </c>
      <c r="D214" s="19">
        <f>'C) Prél. conj.'!H208</f>
        <v>139884.78</v>
      </c>
      <c r="E214" s="14">
        <f>'D) Ecrêtage'!L208</f>
        <v>0</v>
      </c>
      <c r="F214" s="19">
        <f>$F$10*'D) Ecrêtage'!M208</f>
        <v>714550.3236026743</v>
      </c>
      <c r="G214" s="66">
        <f t="shared" si="3"/>
        <v>854435.10360267432</v>
      </c>
    </row>
    <row r="215" spans="1:7" x14ac:dyDescent="0.25">
      <c r="A215" s="57">
        <f>'A) Base RI'!A211</f>
        <v>5732</v>
      </c>
      <c r="B215" s="350" t="str">
        <f>'A) Base RI'!B211</f>
        <v>Vich</v>
      </c>
      <c r="C215" s="14">
        <f>'A) Base RI'!U211</f>
        <v>958</v>
      </c>
      <c r="D215" s="19">
        <f>'C) Prél. conj.'!H209</f>
        <v>175154.92499999999</v>
      </c>
      <c r="E215" s="14">
        <f>'D) Ecrêtage'!L209</f>
        <v>621292.89325910225</v>
      </c>
      <c r="F215" s="19">
        <f>$F$10*'D) Ecrêtage'!M209</f>
        <v>1085053.5541143722</v>
      </c>
      <c r="G215" s="66">
        <f t="shared" si="3"/>
        <v>1881501.3723734745</v>
      </c>
    </row>
    <row r="216" spans="1:7" x14ac:dyDescent="0.25">
      <c r="A216" s="57">
        <f>'A) Base RI'!A212</f>
        <v>5741</v>
      </c>
      <c r="B216" s="350" t="str">
        <f>'A) Base RI'!B212</f>
        <v>L'Abergement</v>
      </c>
      <c r="C216" s="14">
        <f>'A) Base RI'!U212</f>
        <v>240</v>
      </c>
      <c r="D216" s="19">
        <f>'C) Prél. conj.'!H210</f>
        <v>19446.405000000002</v>
      </c>
      <c r="E216" s="14">
        <f>'D) Ecrêtage'!L210</f>
        <v>0</v>
      </c>
      <c r="F216" s="19">
        <f>$F$10*'D) Ecrêtage'!M210</f>
        <v>97875.406525988539</v>
      </c>
      <c r="G216" s="66">
        <f t="shared" si="3"/>
        <v>117321.81152598854</v>
      </c>
    </row>
    <row r="217" spans="1:7" x14ac:dyDescent="0.25">
      <c r="A217" s="57">
        <f>'A) Base RI'!A213</f>
        <v>5742</v>
      </c>
      <c r="B217" s="350" t="str">
        <f>'A) Base RI'!B213</f>
        <v>Agiez</v>
      </c>
      <c r="C217" s="14">
        <f>'A) Base RI'!U213</f>
        <v>293</v>
      </c>
      <c r="D217" s="19">
        <f>'C) Prél. conj.'!H211</f>
        <v>48126.875</v>
      </c>
      <c r="E217" s="14">
        <f>'D) Ecrêtage'!L211</f>
        <v>0</v>
      </c>
      <c r="F217" s="19">
        <f>$F$10*'D) Ecrêtage'!M211</f>
        <v>127076.58837190378</v>
      </c>
      <c r="G217" s="66">
        <f t="shared" si="3"/>
        <v>175203.46337190378</v>
      </c>
    </row>
    <row r="218" spans="1:7" x14ac:dyDescent="0.25">
      <c r="A218" s="57">
        <f>'A) Base RI'!A214</f>
        <v>5743</v>
      </c>
      <c r="B218" s="350" t="str">
        <f>'A) Base RI'!B214</f>
        <v>Arnex-sur-Orbe</v>
      </c>
      <c r="C218" s="14">
        <f>'A) Base RI'!U214</f>
        <v>632</v>
      </c>
      <c r="D218" s="19">
        <f>'C) Prél. conj.'!H212</f>
        <v>22589.68</v>
      </c>
      <c r="E218" s="14">
        <f>'D) Ecrêtage'!L212</f>
        <v>0</v>
      </c>
      <c r="F218" s="19">
        <f>$F$10*'D) Ecrêtage'!M212</f>
        <v>244255.35877809289</v>
      </c>
      <c r="G218" s="66">
        <f t="shared" si="3"/>
        <v>266845.03877809289</v>
      </c>
    </row>
    <row r="219" spans="1:7" x14ac:dyDescent="0.25">
      <c r="A219" s="57">
        <f>'A) Base RI'!A215</f>
        <v>5744</v>
      </c>
      <c r="B219" s="350" t="str">
        <f>'A) Base RI'!B215</f>
        <v>Ballaigues</v>
      </c>
      <c r="C219" s="14">
        <f>'A) Base RI'!U215</f>
        <v>1101</v>
      </c>
      <c r="D219" s="19">
        <f>'C) Prél. conj.'!H213</f>
        <v>479734.5</v>
      </c>
      <c r="E219" s="14">
        <f>'D) Ecrêtage'!L213</f>
        <v>149933.52864045321</v>
      </c>
      <c r="F219" s="19">
        <f>$F$10*'D) Ecrêtage'!M213</f>
        <v>1008944.6428602117</v>
      </c>
      <c r="G219" s="66">
        <f t="shared" si="3"/>
        <v>1638612.6715006649</v>
      </c>
    </row>
    <row r="220" spans="1:7" x14ac:dyDescent="0.25">
      <c r="A220" s="57">
        <f>'A) Base RI'!A216</f>
        <v>5745</v>
      </c>
      <c r="B220" s="350" t="str">
        <f>'A) Base RI'!B216</f>
        <v>Baulmes</v>
      </c>
      <c r="C220" s="14">
        <f>'A) Base RI'!U216</f>
        <v>1055</v>
      </c>
      <c r="D220" s="19">
        <f>'C) Prél. conj.'!H214</f>
        <v>83229.725000000006</v>
      </c>
      <c r="E220" s="14">
        <f>'D) Ecrêtage'!L214</f>
        <v>0</v>
      </c>
      <c r="F220" s="19">
        <f>$F$10*'D) Ecrêtage'!M214</f>
        <v>403757.27255400602</v>
      </c>
      <c r="G220" s="66">
        <f t="shared" si="3"/>
        <v>486986.99755400605</v>
      </c>
    </row>
    <row r="221" spans="1:7" x14ac:dyDescent="0.25">
      <c r="A221" s="57">
        <f>'A) Base RI'!A217</f>
        <v>5746</v>
      </c>
      <c r="B221" s="350" t="str">
        <f>'A) Base RI'!B217</f>
        <v>Bavois</v>
      </c>
      <c r="C221" s="14">
        <f>'A) Base RI'!U217</f>
        <v>939</v>
      </c>
      <c r="D221" s="19">
        <f>'C) Prél. conj.'!H215</f>
        <v>57033.509999999995</v>
      </c>
      <c r="E221" s="14">
        <f>'D) Ecrêtage'!L215</f>
        <v>0</v>
      </c>
      <c r="F221" s="19">
        <f>$F$10*'D) Ecrêtage'!M215</f>
        <v>401754.0874729075</v>
      </c>
      <c r="G221" s="66">
        <f t="shared" si="3"/>
        <v>458787.59747290751</v>
      </c>
    </row>
    <row r="222" spans="1:7" x14ac:dyDescent="0.25">
      <c r="A222" s="57">
        <f>'A) Base RI'!A218</f>
        <v>5747</v>
      </c>
      <c r="B222" s="350" t="str">
        <f>'A) Base RI'!B218</f>
        <v>Bofflens</v>
      </c>
      <c r="C222" s="14">
        <f>'A) Base RI'!U218</f>
        <v>188</v>
      </c>
      <c r="D222" s="19">
        <f>'C) Prél. conj.'!H216</f>
        <v>7432.3249999999998</v>
      </c>
      <c r="E222" s="14">
        <f>'D) Ecrêtage'!L216</f>
        <v>0</v>
      </c>
      <c r="F222" s="19">
        <f>$F$10*'D) Ecrêtage'!M216</f>
        <v>80240.129449722983</v>
      </c>
      <c r="G222" s="66">
        <f t="shared" si="3"/>
        <v>87672.45444972298</v>
      </c>
    </row>
    <row r="223" spans="1:7" x14ac:dyDescent="0.25">
      <c r="A223" s="57">
        <f>'A) Base RI'!A219</f>
        <v>5748</v>
      </c>
      <c r="B223" s="350" t="str">
        <f>'A) Base RI'!B219</f>
        <v>Bretonnières</v>
      </c>
      <c r="C223" s="14">
        <f>'A) Base RI'!U219</f>
        <v>258</v>
      </c>
      <c r="D223" s="19">
        <f>'C) Prél. conj.'!H217</f>
        <v>27021.39</v>
      </c>
      <c r="E223" s="14">
        <f>'D) Ecrêtage'!L217</f>
        <v>0</v>
      </c>
      <c r="F223" s="19">
        <f>$F$10*'D) Ecrêtage'!M217</f>
        <v>109766.7841392008</v>
      </c>
      <c r="G223" s="66">
        <f t="shared" si="3"/>
        <v>136788.1741392008</v>
      </c>
    </row>
    <row r="224" spans="1:7" x14ac:dyDescent="0.25">
      <c r="A224" s="57">
        <f>'A) Base RI'!A220</f>
        <v>5749</v>
      </c>
      <c r="B224" s="350" t="str">
        <f>'A) Base RI'!B220</f>
        <v>Chavornay</v>
      </c>
      <c r="C224" s="14">
        <f>'A) Base RI'!U220</f>
        <v>4817</v>
      </c>
      <c r="D224" s="19">
        <f>'C) Prél. conj.'!H218</f>
        <v>578195.11499999999</v>
      </c>
      <c r="E224" s="14">
        <f>'D) Ecrêtage'!L218</f>
        <v>0</v>
      </c>
      <c r="F224" s="19">
        <f>$F$10*'D) Ecrêtage'!M218</f>
        <v>2004798.3614137319</v>
      </c>
      <c r="G224" s="66">
        <f t="shared" si="3"/>
        <v>2582993.4764137319</v>
      </c>
    </row>
    <row r="225" spans="1:7" x14ac:dyDescent="0.25">
      <c r="A225" s="57">
        <f>'A) Base RI'!A221</f>
        <v>5750</v>
      </c>
      <c r="B225" s="350" t="str">
        <f>'A) Base RI'!B221</f>
        <v>Les Clées</v>
      </c>
      <c r="C225" s="14">
        <f>'A) Base RI'!U221</f>
        <v>176</v>
      </c>
      <c r="D225" s="19">
        <f>'C) Prél. conj.'!H219</f>
        <v>11266.619999999999</v>
      </c>
      <c r="E225" s="14">
        <f>'D) Ecrêtage'!L219</f>
        <v>0</v>
      </c>
      <c r="F225" s="19">
        <f>$F$10*'D) Ecrêtage'!M219</f>
        <v>72413.098704196789</v>
      </c>
      <c r="G225" s="66">
        <f t="shared" si="3"/>
        <v>83679.718704196785</v>
      </c>
    </row>
    <row r="226" spans="1:7" x14ac:dyDescent="0.25">
      <c r="A226" s="57">
        <f>'A) Base RI'!A222</f>
        <v>5752</v>
      </c>
      <c r="B226" s="350" t="str">
        <f>'A) Base RI'!B222</f>
        <v>Croy</v>
      </c>
      <c r="C226" s="14">
        <f>'A) Base RI'!U222</f>
        <v>344</v>
      </c>
      <c r="D226" s="19">
        <f>'C) Prél. conj.'!H220</f>
        <v>23269.055</v>
      </c>
      <c r="E226" s="14">
        <f>'D) Ecrêtage'!L220</f>
        <v>0</v>
      </c>
      <c r="F226" s="19">
        <f>$F$10*'D) Ecrêtage'!M220</f>
        <v>139283.58859548243</v>
      </c>
      <c r="G226" s="66">
        <f t="shared" si="3"/>
        <v>162552.64359548243</v>
      </c>
    </row>
    <row r="227" spans="1:7" x14ac:dyDescent="0.25">
      <c r="A227" s="57">
        <f>'A) Base RI'!A223</f>
        <v>5754</v>
      </c>
      <c r="B227" s="350" t="str">
        <f>'A) Base RI'!B223</f>
        <v>Juriens</v>
      </c>
      <c r="C227" s="14">
        <f>'A) Base RI'!U223</f>
        <v>302</v>
      </c>
      <c r="D227" s="19">
        <f>'C) Prél. conj.'!H221</f>
        <v>15901.744999999999</v>
      </c>
      <c r="E227" s="14">
        <f>'D) Ecrêtage'!L221</f>
        <v>0</v>
      </c>
      <c r="F227" s="19">
        <f>$F$10*'D) Ecrêtage'!M221</f>
        <v>108883.53807301083</v>
      </c>
      <c r="G227" s="66">
        <f t="shared" si="3"/>
        <v>124785.28307301083</v>
      </c>
    </row>
    <row r="228" spans="1:7" x14ac:dyDescent="0.25">
      <c r="A228" s="57">
        <f>'A) Base RI'!A224</f>
        <v>5755</v>
      </c>
      <c r="B228" s="350" t="str">
        <f>'A) Base RI'!B224</f>
        <v>Lignerolle</v>
      </c>
      <c r="C228" s="14">
        <f>'A) Base RI'!U224</f>
        <v>405</v>
      </c>
      <c r="D228" s="19">
        <f>'C) Prél. conj.'!H222</f>
        <v>39636.224999999999</v>
      </c>
      <c r="E228" s="14">
        <f>'D) Ecrêtage'!L222</f>
        <v>0</v>
      </c>
      <c r="F228" s="19">
        <f>$F$10*'D) Ecrêtage'!M222</f>
        <v>137812.54854080381</v>
      </c>
      <c r="G228" s="66">
        <f t="shared" si="3"/>
        <v>177448.77354080381</v>
      </c>
    </row>
    <row r="229" spans="1:7" x14ac:dyDescent="0.25">
      <c r="A229" s="57">
        <f>'A) Base RI'!A225</f>
        <v>5756</v>
      </c>
      <c r="B229" s="350" t="str">
        <f>'A) Base RI'!B225</f>
        <v>Montcherand</v>
      </c>
      <c r="C229" s="14">
        <f>'A) Base RI'!U225</f>
        <v>469</v>
      </c>
      <c r="D229" s="19">
        <f>'C) Prél. conj.'!H223</f>
        <v>63340.315000000002</v>
      </c>
      <c r="E229" s="14">
        <f>'D) Ecrêtage'!L223</f>
        <v>0</v>
      </c>
      <c r="F229" s="19">
        <f>$F$10*'D) Ecrêtage'!M223</f>
        <v>221377.23553661766</v>
      </c>
      <c r="G229" s="66">
        <f t="shared" si="3"/>
        <v>284717.55053661764</v>
      </c>
    </row>
    <row r="230" spans="1:7" x14ac:dyDescent="0.25">
      <c r="A230" s="57">
        <f>'A) Base RI'!A226</f>
        <v>5757</v>
      </c>
      <c r="B230" s="350" t="str">
        <f>'A) Base RI'!B226</f>
        <v>Orbe</v>
      </c>
      <c r="C230" s="14">
        <f>'A) Base RI'!U226</f>
        <v>6805</v>
      </c>
      <c r="D230" s="19">
        <f>'C) Prél. conj.'!H224</f>
        <v>1039770.845</v>
      </c>
      <c r="E230" s="14">
        <f>'D) Ecrêtage'!L224</f>
        <v>0</v>
      </c>
      <c r="F230" s="19">
        <f>$F$10*'D) Ecrêtage'!M224</f>
        <v>3317635.2698128074</v>
      </c>
      <c r="G230" s="66">
        <f t="shared" si="3"/>
        <v>4357406.1148128072</v>
      </c>
    </row>
    <row r="231" spans="1:7" x14ac:dyDescent="0.25">
      <c r="A231" s="57">
        <f>'A) Base RI'!A227</f>
        <v>5758</v>
      </c>
      <c r="B231" s="350" t="str">
        <f>'A) Base RI'!B227</f>
        <v>La Praz</v>
      </c>
      <c r="C231" s="14">
        <f>'A) Base RI'!U227</f>
        <v>159</v>
      </c>
      <c r="D231" s="19">
        <f>'C) Prél. conj.'!H225</f>
        <v>5834.2250000000004</v>
      </c>
      <c r="E231" s="14">
        <f>'D) Ecrêtage'!L225</f>
        <v>0</v>
      </c>
      <c r="F231" s="19">
        <f>$F$10*'D) Ecrêtage'!M225</f>
        <v>57335.211828248255</v>
      </c>
      <c r="G231" s="66">
        <f t="shared" si="3"/>
        <v>63169.436828248254</v>
      </c>
    </row>
    <row r="232" spans="1:7" x14ac:dyDescent="0.25">
      <c r="A232" s="57">
        <f>'A) Base RI'!A228</f>
        <v>5759</v>
      </c>
      <c r="B232" s="350" t="str">
        <f>'A) Base RI'!B228</f>
        <v>Premier</v>
      </c>
      <c r="C232" s="14">
        <f>'A) Base RI'!U228</f>
        <v>196</v>
      </c>
      <c r="D232" s="19">
        <f>'C) Prél. conj.'!H226</f>
        <v>3147.2799999999997</v>
      </c>
      <c r="E232" s="14">
        <f>'D) Ecrêtage'!L226</f>
        <v>0</v>
      </c>
      <c r="F232" s="19">
        <f>$F$10*'D) Ecrêtage'!M226</f>
        <v>70893.078285149139</v>
      </c>
      <c r="G232" s="66">
        <f t="shared" si="3"/>
        <v>74040.358285149137</v>
      </c>
    </row>
    <row r="233" spans="1:7" x14ac:dyDescent="0.25">
      <c r="A233" s="57">
        <f>'A) Base RI'!A229</f>
        <v>5760</v>
      </c>
      <c r="B233" s="350" t="str">
        <f>'A) Base RI'!B229</f>
        <v>Rances</v>
      </c>
      <c r="C233" s="14">
        <f>'A) Base RI'!U229</f>
        <v>473</v>
      </c>
      <c r="D233" s="19">
        <f>'C) Prél. conj.'!H227</f>
        <v>107330.85499999998</v>
      </c>
      <c r="E233" s="14">
        <f>'D) Ecrêtage'!L227</f>
        <v>0</v>
      </c>
      <c r="F233" s="19">
        <f>$F$10*'D) Ecrêtage'!M227</f>
        <v>199966.10474714203</v>
      </c>
      <c r="G233" s="66">
        <f t="shared" si="3"/>
        <v>307296.95974714204</v>
      </c>
    </row>
    <row r="234" spans="1:7" x14ac:dyDescent="0.25">
      <c r="A234" s="57">
        <f>'A) Base RI'!A230</f>
        <v>5761</v>
      </c>
      <c r="B234" s="350" t="str">
        <f>'A) Base RI'!B230</f>
        <v>Romainmôtier-Envy</v>
      </c>
      <c r="C234" s="14">
        <f>'A) Base RI'!U230</f>
        <v>546</v>
      </c>
      <c r="D234" s="19">
        <f>'C) Prél. conj.'!H228</f>
        <v>74037.36</v>
      </c>
      <c r="E234" s="14">
        <f>'D) Ecrêtage'!L228</f>
        <v>0</v>
      </c>
      <c r="F234" s="19">
        <f>$F$10*'D) Ecrêtage'!M228</f>
        <v>183916.12923517139</v>
      </c>
      <c r="G234" s="66">
        <f t="shared" si="3"/>
        <v>257953.48923517141</v>
      </c>
    </row>
    <row r="235" spans="1:7" x14ac:dyDescent="0.25">
      <c r="A235" s="57">
        <f>'A) Base RI'!A231</f>
        <v>5762</v>
      </c>
      <c r="B235" s="350" t="str">
        <f>'A) Base RI'!B231</f>
        <v>Sergey</v>
      </c>
      <c r="C235" s="14">
        <f>'A) Base RI'!U231</f>
        <v>140</v>
      </c>
      <c r="D235" s="19">
        <f>'C) Prél. conj.'!H229</f>
        <v>4126.4400000000005</v>
      </c>
      <c r="E235" s="14">
        <f>'D) Ecrêtage'!L229</f>
        <v>0</v>
      </c>
      <c r="F235" s="19">
        <f>$F$10*'D) Ecrêtage'!M229</f>
        <v>54219.029299163383</v>
      </c>
      <c r="G235" s="66">
        <f t="shared" si="3"/>
        <v>58345.469299163386</v>
      </c>
    </row>
    <row r="236" spans="1:7" x14ac:dyDescent="0.25">
      <c r="A236" s="57">
        <f>'A) Base RI'!A232</f>
        <v>5763</v>
      </c>
      <c r="B236" s="350" t="str">
        <f>'A) Base RI'!B232</f>
        <v>Valeyres-sous-Rances</v>
      </c>
      <c r="C236" s="14">
        <f>'A) Base RI'!U232</f>
        <v>623</v>
      </c>
      <c r="D236" s="19">
        <f>'C) Prél. conj.'!H230</f>
        <v>49855.184999999998</v>
      </c>
      <c r="E236" s="14">
        <f>'D) Ecrêtage'!L230</f>
        <v>0</v>
      </c>
      <c r="F236" s="19">
        <f>$F$10*'D) Ecrêtage'!M230</f>
        <v>243175.07272953063</v>
      </c>
      <c r="G236" s="66">
        <f t="shared" si="3"/>
        <v>293030.25772953063</v>
      </c>
    </row>
    <row r="237" spans="1:7" x14ac:dyDescent="0.25">
      <c r="A237" s="57">
        <f>'A) Base RI'!A233</f>
        <v>5764</v>
      </c>
      <c r="B237" s="350" t="str">
        <f>'A) Base RI'!B233</f>
        <v>Vallorbe</v>
      </c>
      <c r="C237" s="14">
        <f>'A) Base RI'!U233</f>
        <v>3747</v>
      </c>
      <c r="D237" s="19">
        <f>'C) Prél. conj.'!H231</f>
        <v>856554.87</v>
      </c>
      <c r="E237" s="14">
        <f>'D) Ecrêtage'!L231</f>
        <v>0</v>
      </c>
      <c r="F237" s="19">
        <f>$F$10*'D) Ecrêtage'!M231</f>
        <v>1277619.8883654082</v>
      </c>
      <c r="G237" s="66">
        <f t="shared" si="3"/>
        <v>2134174.7583654081</v>
      </c>
    </row>
    <row r="238" spans="1:7" x14ac:dyDescent="0.25">
      <c r="A238" s="57">
        <f>'A) Base RI'!A234</f>
        <v>5765</v>
      </c>
      <c r="B238" s="350" t="str">
        <f>'A) Base RI'!B234</f>
        <v>Vaulion</v>
      </c>
      <c r="C238" s="14">
        <f>'A) Base RI'!U234</f>
        <v>494</v>
      </c>
      <c r="D238" s="19">
        <f>'C) Prél. conj.'!H232</f>
        <v>19605.504999999997</v>
      </c>
      <c r="E238" s="14">
        <f>'D) Ecrêtage'!L232</f>
        <v>0</v>
      </c>
      <c r="F238" s="19">
        <f>$F$10*'D) Ecrêtage'!M232</f>
        <v>154182.03283767911</v>
      </c>
      <c r="G238" s="66">
        <f t="shared" si="3"/>
        <v>173787.53783767912</v>
      </c>
    </row>
    <row r="239" spans="1:7" x14ac:dyDescent="0.25">
      <c r="A239" s="57">
        <f>'A) Base RI'!A235</f>
        <v>5766</v>
      </c>
      <c r="B239" s="350" t="str">
        <f>'A) Base RI'!B235</f>
        <v>Vuiteboeuf</v>
      </c>
      <c r="C239" s="14">
        <f>'A) Base RI'!U235</f>
        <v>556</v>
      </c>
      <c r="D239" s="19">
        <f>'C) Prél. conj.'!H233</f>
        <v>28344.404999999999</v>
      </c>
      <c r="E239" s="14">
        <f>'D) Ecrêtage'!L233</f>
        <v>0</v>
      </c>
      <c r="F239" s="19">
        <f>$F$10*'D) Ecrêtage'!M233</f>
        <v>196887.47617527808</v>
      </c>
      <c r="G239" s="66">
        <f t="shared" si="3"/>
        <v>225231.88117527807</v>
      </c>
    </row>
    <row r="240" spans="1:7" x14ac:dyDescent="0.25">
      <c r="A240" s="57">
        <f>'A) Base RI'!A236</f>
        <v>5785</v>
      </c>
      <c r="B240" s="350" t="str">
        <f>'A) Base RI'!B236</f>
        <v>Corcelles-le-Jorat</v>
      </c>
      <c r="C240" s="14">
        <f>'A) Base RI'!U236</f>
        <v>425</v>
      </c>
      <c r="D240" s="19">
        <f>'C) Prél. conj.'!H234</f>
        <v>19752.75</v>
      </c>
      <c r="E240" s="14">
        <f>'D) Ecrêtage'!L234</f>
        <v>0</v>
      </c>
      <c r="F240" s="19">
        <f>$F$10*'D) Ecrêtage'!M234</f>
        <v>185568.64540706811</v>
      </c>
      <c r="G240" s="66">
        <f t="shared" si="3"/>
        <v>205321.39540706811</v>
      </c>
    </row>
    <row r="241" spans="1:7" x14ac:dyDescent="0.25">
      <c r="A241" s="57">
        <f>'A) Base RI'!A237</f>
        <v>5788</v>
      </c>
      <c r="B241" s="350" t="str">
        <f>'A) Base RI'!B237</f>
        <v>Essertes</v>
      </c>
      <c r="C241" s="14">
        <f>'A) Base RI'!U237</f>
        <v>335</v>
      </c>
      <c r="D241" s="19">
        <f>'C) Prél. conj.'!H235</f>
        <v>13714.650000000001</v>
      </c>
      <c r="E241" s="14">
        <f>'D) Ecrêtage'!L235</f>
        <v>0</v>
      </c>
      <c r="F241" s="19">
        <f>$F$10*'D) Ecrêtage'!M235</f>
        <v>146081.98917706936</v>
      </c>
      <c r="G241" s="66">
        <f t="shared" si="3"/>
        <v>159796.63917706936</v>
      </c>
    </row>
    <row r="242" spans="1:7" x14ac:dyDescent="0.25">
      <c r="A242" s="57">
        <f>'A) Base RI'!A238</f>
        <v>5790</v>
      </c>
      <c r="B242" s="350" t="str">
        <f>'A) Base RI'!B238</f>
        <v>Maracon</v>
      </c>
      <c r="C242" s="14">
        <f>'A) Base RI'!U238</f>
        <v>449</v>
      </c>
      <c r="D242" s="19">
        <f>'C) Prél. conj.'!H236</f>
        <v>30147</v>
      </c>
      <c r="E242" s="14">
        <f>'D) Ecrêtage'!L236</f>
        <v>0</v>
      </c>
      <c r="F242" s="19">
        <f>$F$10*'D) Ecrêtage'!M236</f>
        <v>182583.26133067408</v>
      </c>
      <c r="G242" s="66">
        <f t="shared" si="3"/>
        <v>212730.26133067408</v>
      </c>
    </row>
    <row r="243" spans="1:7" x14ac:dyDescent="0.25">
      <c r="A243" s="57">
        <f>'A) Base RI'!A239</f>
        <v>5792</v>
      </c>
      <c r="B243" s="350" t="str">
        <f>'A) Base RI'!B239</f>
        <v>Montpreveyres</v>
      </c>
      <c r="C243" s="14">
        <f>'A) Base RI'!U239</f>
        <v>621</v>
      </c>
      <c r="D243" s="19">
        <f>'C) Prél. conj.'!H237</f>
        <v>67390.225000000006</v>
      </c>
      <c r="E243" s="14">
        <f>'D) Ecrêtage'!L237</f>
        <v>0</v>
      </c>
      <c r="F243" s="19">
        <f>$F$10*'D) Ecrêtage'!M237</f>
        <v>236901.67257266253</v>
      </c>
      <c r="G243" s="66">
        <f t="shared" si="3"/>
        <v>304291.89757266256</v>
      </c>
    </row>
    <row r="244" spans="1:7" x14ac:dyDescent="0.25">
      <c r="A244" s="57">
        <f>'A) Base RI'!A240</f>
        <v>5798</v>
      </c>
      <c r="B244" s="350" t="str">
        <f>'A) Base RI'!B240</f>
        <v>Ropraz</v>
      </c>
      <c r="C244" s="14">
        <f>'A) Base RI'!U240</f>
        <v>438</v>
      </c>
      <c r="D244" s="19">
        <f>'C) Prél. conj.'!H238</f>
        <v>21120.375</v>
      </c>
      <c r="E244" s="14">
        <f>'D) Ecrêtage'!L238</f>
        <v>0</v>
      </c>
      <c r="F244" s="19">
        <f>$F$10*'D) Ecrêtage'!M238</f>
        <v>165867.16418211299</v>
      </c>
      <c r="G244" s="66">
        <f t="shared" si="3"/>
        <v>186987.53918211299</v>
      </c>
    </row>
    <row r="245" spans="1:7" x14ac:dyDescent="0.25">
      <c r="A245" s="57">
        <f>'A) Base RI'!A241</f>
        <v>5799</v>
      </c>
      <c r="B245" s="350" t="str">
        <f>'A) Base RI'!B241</f>
        <v>Servion</v>
      </c>
      <c r="C245" s="14">
        <f>'A) Base RI'!U241</f>
        <v>1918</v>
      </c>
      <c r="D245" s="19">
        <f>'C) Prél. conj.'!H239</f>
        <v>125680.07</v>
      </c>
      <c r="E245" s="14">
        <f>'D) Ecrêtage'!L239</f>
        <v>0</v>
      </c>
      <c r="F245" s="19">
        <f>$F$10*'D) Ecrêtage'!M239</f>
        <v>916089.75308914215</v>
      </c>
      <c r="G245" s="66">
        <f t="shared" si="3"/>
        <v>1041769.8230891421</v>
      </c>
    </row>
    <row r="246" spans="1:7" x14ac:dyDescent="0.25">
      <c r="A246" s="57">
        <f>'A) Base RI'!A242</f>
        <v>5803</v>
      </c>
      <c r="B246" s="350" t="str">
        <f>'A) Base RI'!B242</f>
        <v>Vulliens</v>
      </c>
      <c r="C246" s="14">
        <f>'A) Base RI'!U242</f>
        <v>466</v>
      </c>
      <c r="D246" s="19">
        <f>'C) Prél. conj.'!H240</f>
        <v>78693.024999999994</v>
      </c>
      <c r="E246" s="14">
        <f>'D) Ecrêtage'!L240</f>
        <v>0</v>
      </c>
      <c r="F246" s="19">
        <f>$F$10*'D) Ecrêtage'!M240</f>
        <v>214894.10378125866</v>
      </c>
      <c r="G246" s="66">
        <f t="shared" si="3"/>
        <v>293587.12878125865</v>
      </c>
    </row>
    <row r="247" spans="1:7" x14ac:dyDescent="0.25">
      <c r="A247" s="57">
        <f>'A) Base RI'!A243</f>
        <v>5804</v>
      </c>
      <c r="B247" s="350" t="str">
        <f>'A) Base RI'!B243</f>
        <v>Jorat-Menthue</v>
      </c>
      <c r="C247" s="14">
        <f>'A) Base RI'!U243</f>
        <v>1545</v>
      </c>
      <c r="D247" s="19">
        <f>'C) Prél. conj.'!H241</f>
        <v>66919.794999999998</v>
      </c>
      <c r="E247" s="14">
        <f>'D) Ecrêtage'!L241</f>
        <v>0</v>
      </c>
      <c r="F247" s="19">
        <f>$F$10*'D) Ecrêtage'!M241</f>
        <v>734014.44164683588</v>
      </c>
      <c r="G247" s="66">
        <f t="shared" si="3"/>
        <v>800934.23664683593</v>
      </c>
    </row>
    <row r="248" spans="1:7" x14ac:dyDescent="0.25">
      <c r="A248" s="57">
        <f>'A) Base RI'!A244</f>
        <v>5805</v>
      </c>
      <c r="B248" s="350" t="str">
        <f>'A) Base RI'!B244</f>
        <v>Oron</v>
      </c>
      <c r="C248" s="14">
        <f>'A) Base RI'!U244</f>
        <v>5397</v>
      </c>
      <c r="D248" s="19">
        <f>'C) Prél. conj.'!H242</f>
        <v>422980.19500000007</v>
      </c>
      <c r="E248" s="14">
        <f>'D) Ecrêtage'!L242</f>
        <v>0</v>
      </c>
      <c r="F248" s="19">
        <f>$F$10*'D) Ecrêtage'!M242</f>
        <v>2223823.300307082</v>
      </c>
      <c r="G248" s="66">
        <f t="shared" si="3"/>
        <v>2646803.4953070823</v>
      </c>
    </row>
    <row r="249" spans="1:7" x14ac:dyDescent="0.25">
      <c r="A249" s="57">
        <f>'A) Base RI'!A245</f>
        <v>5806</v>
      </c>
      <c r="B249" s="350" t="str">
        <f>'A) Base RI'!B245</f>
        <v>Jorat-Mézières</v>
      </c>
      <c r="C249" s="14">
        <f>'A) Base RI'!U245</f>
        <v>2814</v>
      </c>
      <c r="D249" s="19">
        <f>'C) Prél. conj.'!H243</f>
        <v>318443.2</v>
      </c>
      <c r="E249" s="14">
        <f>'D) Ecrêtage'!L243</f>
        <v>0</v>
      </c>
      <c r="F249" s="19">
        <f>$F$10*'D) Ecrêtage'!M243</f>
        <v>1375377.0176094356</v>
      </c>
      <c r="G249" s="66">
        <f t="shared" si="3"/>
        <v>1693820.2176094356</v>
      </c>
    </row>
    <row r="250" spans="1:7" x14ac:dyDescent="0.25">
      <c r="A250" s="57">
        <f>'A) Base RI'!A246</f>
        <v>5812</v>
      </c>
      <c r="B250" s="350" t="str">
        <f>'A) Base RI'!B246</f>
        <v>Champtauroz</v>
      </c>
      <c r="C250" s="14">
        <f>'A) Base RI'!U246</f>
        <v>130</v>
      </c>
      <c r="D250" s="19">
        <f>'C) Prél. conj.'!H244</f>
        <v>9708.6</v>
      </c>
      <c r="E250" s="14">
        <f>'D) Ecrêtage'!L244</f>
        <v>0</v>
      </c>
      <c r="F250" s="19">
        <f>$F$10*'D) Ecrêtage'!M244</f>
        <v>35171.611722728238</v>
      </c>
      <c r="G250" s="66">
        <f t="shared" si="3"/>
        <v>44880.211722728236</v>
      </c>
    </row>
    <row r="251" spans="1:7" x14ac:dyDescent="0.25">
      <c r="A251" s="57">
        <f>'A) Base RI'!A247</f>
        <v>5813</v>
      </c>
      <c r="B251" s="350" t="str">
        <f>'A) Base RI'!B247</f>
        <v>Chevroux</v>
      </c>
      <c r="C251" s="14">
        <f>'A) Base RI'!U247</f>
        <v>446</v>
      </c>
      <c r="D251" s="19">
        <f>'C) Prél. conj.'!H245</f>
        <v>32244.724999999999</v>
      </c>
      <c r="E251" s="14">
        <f>'D) Ecrêtage'!L245</f>
        <v>0</v>
      </c>
      <c r="F251" s="19">
        <f>$F$10*'D) Ecrêtage'!M245</f>
        <v>173899.60554294501</v>
      </c>
      <c r="G251" s="66">
        <f t="shared" si="3"/>
        <v>206144.33054294501</v>
      </c>
    </row>
    <row r="252" spans="1:7" x14ac:dyDescent="0.25">
      <c r="A252" s="57">
        <f>'A) Base RI'!A248</f>
        <v>5816</v>
      </c>
      <c r="B252" s="350" t="str">
        <f>'A) Base RI'!B248</f>
        <v>Corcelles-près-Payerne</v>
      </c>
      <c r="C252" s="14">
        <f>'A) Base RI'!U248</f>
        <v>2393</v>
      </c>
      <c r="D252" s="19">
        <f>'C) Prél. conj.'!H246</f>
        <v>126267.43500000001</v>
      </c>
      <c r="E252" s="14">
        <f>'D) Ecrêtage'!L246</f>
        <v>0</v>
      </c>
      <c r="F252" s="19">
        <f>$F$10*'D) Ecrêtage'!M246</f>
        <v>856261.55229013367</v>
      </c>
      <c r="G252" s="66">
        <f t="shared" si="3"/>
        <v>982528.98729013372</v>
      </c>
    </row>
    <row r="253" spans="1:7" x14ac:dyDescent="0.25">
      <c r="A253" s="57">
        <f>'A) Base RI'!A249</f>
        <v>5817</v>
      </c>
      <c r="B253" s="350" t="str">
        <f>'A) Base RI'!B249</f>
        <v>Grandcour</v>
      </c>
      <c r="C253" s="14">
        <f>'A) Base RI'!U249</f>
        <v>885</v>
      </c>
      <c r="D253" s="19">
        <f>'C) Prél. conj.'!H247</f>
        <v>38258.555</v>
      </c>
      <c r="E253" s="14">
        <f>'D) Ecrêtage'!L247</f>
        <v>0</v>
      </c>
      <c r="F253" s="19">
        <f>$F$10*'D) Ecrêtage'!M247</f>
        <v>317321.02159723634</v>
      </c>
      <c r="G253" s="66">
        <f t="shared" si="3"/>
        <v>355579.57659723633</v>
      </c>
    </row>
    <row r="254" spans="1:7" x14ac:dyDescent="0.25">
      <c r="A254" s="57">
        <f>'A) Base RI'!A250</f>
        <v>5819</v>
      </c>
      <c r="B254" s="350" t="str">
        <f>'A) Base RI'!B250</f>
        <v>Henniez</v>
      </c>
      <c r="C254" s="14">
        <f>'A) Base RI'!U250</f>
        <v>338</v>
      </c>
      <c r="D254" s="19">
        <f>'C) Prél. conj.'!H248</f>
        <v>23974.145</v>
      </c>
      <c r="E254" s="14">
        <f>'D) Ecrêtage'!L248</f>
        <v>0</v>
      </c>
      <c r="F254" s="19">
        <f>$F$10*'D) Ecrêtage'!M248</f>
        <v>226000.17292252183</v>
      </c>
      <c r="G254" s="66">
        <f t="shared" si="3"/>
        <v>249974.31792252182</v>
      </c>
    </row>
    <row r="255" spans="1:7" x14ac:dyDescent="0.25">
      <c r="A255" s="57">
        <f>'A) Base RI'!A251</f>
        <v>5821</v>
      </c>
      <c r="B255" s="350" t="str">
        <f>'A) Base RI'!B251</f>
        <v>Missy</v>
      </c>
      <c r="C255" s="14">
        <f>'A) Base RI'!U251</f>
        <v>361</v>
      </c>
      <c r="D255" s="19">
        <f>'C) Prél. conj.'!H249</f>
        <v>19298.05</v>
      </c>
      <c r="E255" s="14">
        <f>'D) Ecrêtage'!L249</f>
        <v>0</v>
      </c>
      <c r="F255" s="19">
        <f>$F$10*'D) Ecrêtage'!M249</f>
        <v>117556.2453409914</v>
      </c>
      <c r="G255" s="66">
        <f t="shared" si="3"/>
        <v>136854.2953409914</v>
      </c>
    </row>
    <row r="256" spans="1:7" x14ac:dyDescent="0.25">
      <c r="A256" s="57">
        <f>'A) Base RI'!A252</f>
        <v>5822</v>
      </c>
      <c r="B256" s="350" t="str">
        <f>'A) Base RI'!B252</f>
        <v>Payerne</v>
      </c>
      <c r="C256" s="14">
        <f>'A) Base RI'!U252</f>
        <v>9301</v>
      </c>
      <c r="D256" s="19">
        <f>'C) Prél. conj.'!H250</f>
        <v>745602.77500000002</v>
      </c>
      <c r="E256" s="14">
        <f>'D) Ecrêtage'!L250</f>
        <v>0</v>
      </c>
      <c r="F256" s="19">
        <f>$F$10*'D) Ecrêtage'!M250</f>
        <v>3499565.622639514</v>
      </c>
      <c r="G256" s="66">
        <f t="shared" si="3"/>
        <v>4245168.3976395139</v>
      </c>
    </row>
    <row r="257" spans="1:7" x14ac:dyDescent="0.25">
      <c r="A257" s="57">
        <f>'A) Base RI'!A253</f>
        <v>5827</v>
      </c>
      <c r="B257" s="350" t="str">
        <f>'A) Base RI'!B253</f>
        <v>Trey</v>
      </c>
      <c r="C257" s="14">
        <f>'A) Base RI'!U253</f>
        <v>260</v>
      </c>
      <c r="D257" s="19">
        <f>'C) Prél. conj.'!H251</f>
        <v>36607.425000000003</v>
      </c>
      <c r="E257" s="14">
        <f>'D) Ecrêtage'!L251</f>
        <v>0</v>
      </c>
      <c r="F257" s="19">
        <f>$F$10*'D) Ecrêtage'!M251</f>
        <v>93801.76750318741</v>
      </c>
      <c r="G257" s="66">
        <f t="shared" si="3"/>
        <v>130409.19250318741</v>
      </c>
    </row>
    <row r="258" spans="1:7" x14ac:dyDescent="0.25">
      <c r="A258" s="57">
        <f>'A) Base RI'!A254</f>
        <v>5828</v>
      </c>
      <c r="B258" s="350" t="str">
        <f>'A) Base RI'!B254</f>
        <v>Treytorrens (Payerne)</v>
      </c>
      <c r="C258" s="14">
        <f>'A) Base RI'!U254</f>
        <v>131</v>
      </c>
      <c r="D258" s="19">
        <f>'C) Prél. conj.'!H252</f>
        <v>5149.8</v>
      </c>
      <c r="E258" s="14">
        <f>'D) Ecrêtage'!L252</f>
        <v>0</v>
      </c>
      <c r="F258" s="19">
        <f>$F$10*'D) Ecrêtage'!M252</f>
        <v>35564.049034677017</v>
      </c>
      <c r="G258" s="66">
        <f t="shared" si="3"/>
        <v>40713.84903467702</v>
      </c>
    </row>
    <row r="259" spans="1:7" x14ac:dyDescent="0.25">
      <c r="A259" s="57">
        <f>'A) Base RI'!A255</f>
        <v>5830</v>
      </c>
      <c r="B259" s="350" t="str">
        <f>'A) Base RI'!B255</f>
        <v>Villarzel</v>
      </c>
      <c r="C259" s="14">
        <f>'A) Base RI'!U255</f>
        <v>424</v>
      </c>
      <c r="D259" s="19">
        <f>'C) Prél. conj.'!H253</f>
        <v>28607.275000000001</v>
      </c>
      <c r="E259" s="14">
        <f>'D) Ecrêtage'!L253</f>
        <v>0</v>
      </c>
      <c r="F259" s="19">
        <f>$F$10*'D) Ecrêtage'!M253</f>
        <v>147203.30125685415</v>
      </c>
      <c r="G259" s="66">
        <f t="shared" si="3"/>
        <v>175810.57625685414</v>
      </c>
    </row>
    <row r="260" spans="1:7" x14ac:dyDescent="0.25">
      <c r="A260" s="57">
        <f>'A) Base RI'!A256</f>
        <v>5831</v>
      </c>
      <c r="B260" s="350" t="str">
        <f>'A) Base RI'!B256</f>
        <v>Valbroye</v>
      </c>
      <c r="C260" s="14">
        <f>'A) Base RI'!U256</f>
        <v>2974</v>
      </c>
      <c r="D260" s="19">
        <f>'C) Prél. conj.'!H254</f>
        <v>170415.98499999999</v>
      </c>
      <c r="E260" s="14">
        <f>'D) Ecrêtage'!L254</f>
        <v>0</v>
      </c>
      <c r="F260" s="19">
        <f>$F$10*'D) Ecrêtage'!M254</f>
        <v>1135956.6788704628</v>
      </c>
      <c r="G260" s="66">
        <f t="shared" si="3"/>
        <v>1306372.6638704627</v>
      </c>
    </row>
    <row r="261" spans="1:7" x14ac:dyDescent="0.25">
      <c r="A261" s="57">
        <f>'A) Base RI'!A257</f>
        <v>5841</v>
      </c>
      <c r="B261" s="350" t="str">
        <f>'A) Base RI'!B257</f>
        <v>Château-d'Oex</v>
      </c>
      <c r="C261" s="14">
        <f>'A) Base RI'!U257</f>
        <v>3477</v>
      </c>
      <c r="D261" s="19">
        <f>'C) Prél. conj.'!H255</f>
        <v>583906.64999999991</v>
      </c>
      <c r="E261" s="14">
        <f>'D) Ecrêtage'!L255</f>
        <v>0</v>
      </c>
      <c r="F261" s="19">
        <f>$F$10*'D) Ecrêtage'!M255</f>
        <v>1609350.7552813496</v>
      </c>
      <c r="G261" s="66">
        <f t="shared" si="3"/>
        <v>2193257.4052813496</v>
      </c>
    </row>
    <row r="262" spans="1:7" x14ac:dyDescent="0.25">
      <c r="A262" s="57">
        <f>'A) Base RI'!A258</f>
        <v>5842</v>
      </c>
      <c r="B262" s="350" t="str">
        <f>'A) Base RI'!B258</f>
        <v>Rossinière</v>
      </c>
      <c r="C262" s="14">
        <f>'A) Base RI'!U258</f>
        <v>546</v>
      </c>
      <c r="D262" s="19">
        <f>'C) Prél. conj.'!H256</f>
        <v>106425.37500000001</v>
      </c>
      <c r="E262" s="14">
        <f>'D) Ecrêtage'!L256</f>
        <v>0</v>
      </c>
      <c r="F262" s="19">
        <f>$F$10*'D) Ecrêtage'!M256</f>
        <v>204377.19057317771</v>
      </c>
      <c r="G262" s="66">
        <f t="shared" si="3"/>
        <v>310802.56557317771</v>
      </c>
    </row>
    <row r="263" spans="1:7" x14ac:dyDescent="0.25">
      <c r="A263" s="57">
        <f>'A) Base RI'!A259</f>
        <v>5843</v>
      </c>
      <c r="B263" s="350" t="str">
        <f>'A) Base RI'!B259</f>
        <v>Rougemont</v>
      </c>
      <c r="C263" s="14">
        <f>'A) Base RI'!U259</f>
        <v>892</v>
      </c>
      <c r="D263" s="19">
        <f>'C) Prél. conj.'!H257</f>
        <v>840347.17500000005</v>
      </c>
      <c r="E263" s="14">
        <f>'D) Ecrêtage'!L257</f>
        <v>1165736.9336701368</v>
      </c>
      <c r="F263" s="19">
        <f>$F$10*'D) Ecrêtage'!M257</f>
        <v>1205849.6684726488</v>
      </c>
      <c r="G263" s="66">
        <f t="shared" si="3"/>
        <v>3211933.7771427855</v>
      </c>
    </row>
    <row r="264" spans="1:7" x14ac:dyDescent="0.25">
      <c r="A264" s="57">
        <f>'A) Base RI'!A260</f>
        <v>5851</v>
      </c>
      <c r="B264" s="350" t="str">
        <f>'A) Base RI'!B260</f>
        <v>Allaman</v>
      </c>
      <c r="C264" s="14">
        <f>'A) Base RI'!U260</f>
        <v>432</v>
      </c>
      <c r="D264" s="19">
        <f>'C) Prél. conj.'!H258</f>
        <v>448572.15499999997</v>
      </c>
      <c r="E264" s="14">
        <f>'D) Ecrêtage'!L258</f>
        <v>61240.713513251059</v>
      </c>
      <c r="F264" s="19">
        <f>$F$10*'D) Ecrêtage'!M258</f>
        <v>399199.52358555567</v>
      </c>
      <c r="G264" s="66">
        <f t="shared" si="3"/>
        <v>909012.39209880668</v>
      </c>
    </row>
    <row r="265" spans="1:7" x14ac:dyDescent="0.25">
      <c r="A265" s="57">
        <f>'A) Base RI'!A261</f>
        <v>5852</v>
      </c>
      <c r="B265" s="350" t="str">
        <f>'A) Base RI'!B261</f>
        <v>Bursinel</v>
      </c>
      <c r="C265" s="14">
        <f>'A) Base RI'!U261</f>
        <v>485</v>
      </c>
      <c r="D265" s="19">
        <f>'C) Prél. conj.'!H259</f>
        <v>16100.01</v>
      </c>
      <c r="E265" s="14">
        <f>'D) Ecrêtage'!L259</f>
        <v>66064.83105803802</v>
      </c>
      <c r="F265" s="19">
        <f>$F$10*'D) Ecrêtage'!M259</f>
        <v>444721.2294770669</v>
      </c>
      <c r="G265" s="66">
        <f t="shared" si="3"/>
        <v>526886.07053510495</v>
      </c>
    </row>
    <row r="266" spans="1:7" x14ac:dyDescent="0.25">
      <c r="A266" s="57">
        <f>'A) Base RI'!A262</f>
        <v>5853</v>
      </c>
      <c r="B266" s="350" t="str">
        <f>'A) Base RI'!B262</f>
        <v>Bursins</v>
      </c>
      <c r="C266" s="14">
        <f>'A) Base RI'!U262</f>
        <v>766</v>
      </c>
      <c r="D266" s="19">
        <f>'C) Prél. conj.'!H260</f>
        <v>190470.95499999999</v>
      </c>
      <c r="E266" s="14">
        <f>'D) Ecrêtage'!L260</f>
        <v>0</v>
      </c>
      <c r="F266" s="19">
        <f>$F$10*'D) Ecrêtage'!M260</f>
        <v>612905.18205280311</v>
      </c>
      <c r="G266" s="66">
        <f t="shared" si="3"/>
        <v>803376.13705280307</v>
      </c>
    </row>
    <row r="267" spans="1:7" x14ac:dyDescent="0.25">
      <c r="A267" s="57">
        <f>'A) Base RI'!A263</f>
        <v>5854</v>
      </c>
      <c r="B267" s="350" t="str">
        <f>'A) Base RI'!B263</f>
        <v>Burtigny</v>
      </c>
      <c r="C267" s="14">
        <f>'A) Base RI'!U263</f>
        <v>359</v>
      </c>
      <c r="D267" s="19">
        <f>'C) Prél. conj.'!H261</f>
        <v>27127.069999999996</v>
      </c>
      <c r="E267" s="14">
        <f>'D) Ecrêtage'!L261</f>
        <v>0</v>
      </c>
      <c r="F267" s="19">
        <f>$F$10*'D) Ecrêtage'!M261</f>
        <v>159907.88193861773</v>
      </c>
      <c r="G267" s="66">
        <f t="shared" si="3"/>
        <v>187034.95193861774</v>
      </c>
    </row>
    <row r="268" spans="1:7" x14ac:dyDescent="0.25">
      <c r="A268" s="57">
        <f>'A) Base RI'!A264</f>
        <v>5855</v>
      </c>
      <c r="B268" s="350" t="str">
        <f>'A) Base RI'!B264</f>
        <v>Dully</v>
      </c>
      <c r="C268" s="14">
        <f>'A) Base RI'!U264</f>
        <v>633</v>
      </c>
      <c r="D268" s="19">
        <f>'C) Prél. conj.'!H262</f>
        <v>460472.34</v>
      </c>
      <c r="E268" s="14">
        <f>'D) Ecrêtage'!L262</f>
        <v>1048130.466162765</v>
      </c>
      <c r="F268" s="19">
        <f>$F$10*'D) Ecrêtage'!M262</f>
        <v>1038447.9777446085</v>
      </c>
      <c r="G268" s="66">
        <f t="shared" ref="G268:G319" si="4">D268+F268+E268</f>
        <v>2547050.7839073734</v>
      </c>
    </row>
    <row r="269" spans="1:7" x14ac:dyDescent="0.25">
      <c r="A269" s="57">
        <f>'A) Base RI'!A265</f>
        <v>5856</v>
      </c>
      <c r="B269" s="350" t="str">
        <f>'A) Base RI'!B265</f>
        <v>Essertines-sur-Rolle</v>
      </c>
      <c r="C269" s="14">
        <f>'A) Base RI'!U265</f>
        <v>695</v>
      </c>
      <c r="D269" s="19">
        <f>'C) Prél. conj.'!H263</f>
        <v>57417.53</v>
      </c>
      <c r="E269" s="14">
        <f>'D) Ecrêtage'!L263</f>
        <v>0</v>
      </c>
      <c r="F269" s="19">
        <f>$F$10*'D) Ecrêtage'!M263</f>
        <v>481680.4143091375</v>
      </c>
      <c r="G269" s="66">
        <f t="shared" si="4"/>
        <v>539097.94430913753</v>
      </c>
    </row>
    <row r="270" spans="1:7" x14ac:dyDescent="0.25">
      <c r="A270" s="57">
        <f>'A) Base RI'!A266</f>
        <v>5857</v>
      </c>
      <c r="B270" s="350" t="str">
        <f>'A) Base RI'!B266</f>
        <v>Gilly</v>
      </c>
      <c r="C270" s="14">
        <f>'A) Base RI'!U266</f>
        <v>1230</v>
      </c>
      <c r="D270" s="19">
        <f>'C) Prél. conj.'!H264</f>
        <v>514660.05499999999</v>
      </c>
      <c r="E270" s="14">
        <f>'D) Ecrêtage'!L264</f>
        <v>0</v>
      </c>
      <c r="F270" s="19">
        <f>$F$10*'D) Ecrêtage'!M264</f>
        <v>945444.39252673159</v>
      </c>
      <c r="G270" s="66">
        <f t="shared" si="4"/>
        <v>1460104.4475267315</v>
      </c>
    </row>
    <row r="271" spans="1:7" x14ac:dyDescent="0.25">
      <c r="A271" s="57">
        <f>'A) Base RI'!A267</f>
        <v>5858</v>
      </c>
      <c r="B271" s="350" t="str">
        <f>'A) Base RI'!B267</f>
        <v>Luins</v>
      </c>
      <c r="C271" s="14">
        <f>'A) Base RI'!U267</f>
        <v>625</v>
      </c>
      <c r="D271" s="19">
        <f>'C) Prél. conj.'!H265</f>
        <v>888.06999999999971</v>
      </c>
      <c r="E271" s="14">
        <f>'D) Ecrêtage'!L265</f>
        <v>2076.3447646628456</v>
      </c>
      <c r="F271" s="19">
        <f>$F$10*'D) Ecrêtage'!M265</f>
        <v>529529.73044187424</v>
      </c>
      <c r="G271" s="66">
        <f t="shared" si="4"/>
        <v>532494.14520653698</v>
      </c>
    </row>
    <row r="272" spans="1:7" x14ac:dyDescent="0.25">
      <c r="A272" s="57">
        <f>'A) Base RI'!A268</f>
        <v>5859</v>
      </c>
      <c r="B272" s="350" t="str">
        <f>'A) Base RI'!B268</f>
        <v>Mont-sur-Rolle</v>
      </c>
      <c r="C272" s="14">
        <f>'A) Base RI'!U268</f>
        <v>2660</v>
      </c>
      <c r="D272" s="19">
        <f>'C) Prél. conj.'!H266</f>
        <v>350852.375</v>
      </c>
      <c r="E272" s="14">
        <f>'D) Ecrêtage'!L266</f>
        <v>0</v>
      </c>
      <c r="F272" s="19">
        <f>$F$10*'D) Ecrêtage'!M266</f>
        <v>1971758.7727026821</v>
      </c>
      <c r="G272" s="66">
        <f t="shared" si="4"/>
        <v>2322611.1477026818</v>
      </c>
    </row>
    <row r="273" spans="1:7" x14ac:dyDescent="0.25">
      <c r="A273" s="57">
        <f>'A) Base RI'!A269</f>
        <v>5860</v>
      </c>
      <c r="B273" s="350" t="str">
        <f>'A) Base RI'!B269</f>
        <v>Perroy</v>
      </c>
      <c r="C273" s="14">
        <f>'A) Base RI'!U269</f>
        <v>1453</v>
      </c>
      <c r="D273" s="19">
        <f>'C) Prél. conj.'!H267</f>
        <v>249820.155</v>
      </c>
      <c r="E273" s="14">
        <f>'D) Ecrêtage'!L267</f>
        <v>248398.62399405736</v>
      </c>
      <c r="F273" s="19">
        <f>$F$10*'D) Ecrêtage'!M267</f>
        <v>1370836.0673219529</v>
      </c>
      <c r="G273" s="66">
        <f t="shared" si="4"/>
        <v>1869054.8463160102</v>
      </c>
    </row>
    <row r="274" spans="1:7" x14ac:dyDescent="0.25">
      <c r="A274" s="57">
        <f>'A) Base RI'!A270</f>
        <v>5861</v>
      </c>
      <c r="B274" s="350" t="str">
        <f>'A) Base RI'!B270</f>
        <v>Rolle</v>
      </c>
      <c r="C274" s="14">
        <f>'A) Base RI'!U270</f>
        <v>6142</v>
      </c>
      <c r="D274" s="19">
        <f>'C) Prél. conj.'!H268</f>
        <v>983720.18499999994</v>
      </c>
      <c r="E274" s="14">
        <f>'D) Ecrêtage'!L268</f>
        <v>14498064.127600694</v>
      </c>
      <c r="F274" s="19">
        <f>$F$10*'D) Ecrêtage'!M268</f>
        <v>10777988.346743321</v>
      </c>
      <c r="G274" s="66">
        <f t="shared" si="4"/>
        <v>26259772.659344018</v>
      </c>
    </row>
    <row r="275" spans="1:7" x14ac:dyDescent="0.25">
      <c r="A275" s="57">
        <f>'A) Base RI'!A271</f>
        <v>5862</v>
      </c>
      <c r="B275" s="350" t="str">
        <f>'A) Base RI'!B271</f>
        <v>Tartegnin</v>
      </c>
      <c r="C275" s="14">
        <f>'A) Base RI'!U271</f>
        <v>236</v>
      </c>
      <c r="D275" s="19">
        <f>'C) Prél. conj.'!H269</f>
        <v>27484.420000000002</v>
      </c>
      <c r="E275" s="14">
        <f>'D) Ecrêtage'!L269</f>
        <v>0</v>
      </c>
      <c r="F275" s="19">
        <f>$F$10*'D) Ecrêtage'!M269</f>
        <v>125495.30809473585</v>
      </c>
      <c r="G275" s="66">
        <f t="shared" si="4"/>
        <v>152979.72809473585</v>
      </c>
    </row>
    <row r="276" spans="1:7" x14ac:dyDescent="0.25">
      <c r="A276" s="57">
        <f>'A) Base RI'!A272</f>
        <v>5863</v>
      </c>
      <c r="B276" s="350" t="str">
        <f>'A) Base RI'!B272</f>
        <v>Vinzel</v>
      </c>
      <c r="C276" s="14">
        <f>'A) Base RI'!U272</f>
        <v>352</v>
      </c>
      <c r="D276" s="19">
        <f>'C) Prél. conj.'!H270</f>
        <v>13534.060000000001</v>
      </c>
      <c r="E276" s="14">
        <f>'D) Ecrêtage'!L270</f>
        <v>122093.89194456776</v>
      </c>
      <c r="F276" s="19">
        <f>$F$10*'D) Ecrêtage'!M270</f>
        <v>357619.60564912419</v>
      </c>
      <c r="G276" s="66">
        <f t="shared" si="4"/>
        <v>493247.55759369198</v>
      </c>
    </row>
    <row r="277" spans="1:7" x14ac:dyDescent="0.25">
      <c r="A277" s="57">
        <f>'A) Base RI'!A273</f>
        <v>5871</v>
      </c>
      <c r="B277" s="350" t="str">
        <f>'A) Base RI'!B273</f>
        <v>L'Abbaye</v>
      </c>
      <c r="C277" s="14">
        <f>'A) Base RI'!U273</f>
        <v>1439</v>
      </c>
      <c r="D277" s="19">
        <f>'C) Prél. conj.'!H271</f>
        <v>293471.47499999998</v>
      </c>
      <c r="E277" s="14">
        <f>'D) Ecrêtage'!L271</f>
        <v>0</v>
      </c>
      <c r="F277" s="19">
        <f>$F$10*'D) Ecrêtage'!M271</f>
        <v>740694.28945928544</v>
      </c>
      <c r="G277" s="66">
        <f t="shared" si="4"/>
        <v>1034165.7644592854</v>
      </c>
    </row>
    <row r="278" spans="1:7" x14ac:dyDescent="0.25">
      <c r="A278" s="57">
        <f>'A) Base RI'!A274</f>
        <v>5872</v>
      </c>
      <c r="B278" s="350" t="str">
        <f>'A) Base RI'!B274</f>
        <v>Le Chenit</v>
      </c>
      <c r="C278" s="14">
        <f>'A) Base RI'!U274</f>
        <v>4608</v>
      </c>
      <c r="D278" s="19">
        <f>'C) Prél. conj.'!H272</f>
        <v>1735280.145</v>
      </c>
      <c r="E278" s="14">
        <f>'D) Ecrêtage'!L272</f>
        <v>1451590.1180969828</v>
      </c>
      <c r="F278" s="19">
        <f>$F$10*'D) Ecrêtage'!M272</f>
        <v>4612460.7977048531</v>
      </c>
      <c r="G278" s="66">
        <f t="shared" si="4"/>
        <v>7799331.0608018357</v>
      </c>
    </row>
    <row r="279" spans="1:7" x14ac:dyDescent="0.25">
      <c r="A279" s="57">
        <f>'A) Base RI'!A275</f>
        <v>5873</v>
      </c>
      <c r="B279" s="350" t="str">
        <f>'A) Base RI'!B275</f>
        <v>Le Lieu</v>
      </c>
      <c r="C279" s="14">
        <f>'A) Base RI'!U275</f>
        <v>873</v>
      </c>
      <c r="D279" s="19">
        <f>'C) Prél. conj.'!H273</f>
        <v>300418.43</v>
      </c>
      <c r="E279" s="14">
        <f>'D) Ecrêtage'!L273</f>
        <v>0</v>
      </c>
      <c r="F279" s="19">
        <f>$F$10*'D) Ecrêtage'!M273</f>
        <v>462394.70670527505</v>
      </c>
      <c r="G279" s="66">
        <f t="shared" si="4"/>
        <v>762813.13670527504</v>
      </c>
    </row>
    <row r="280" spans="1:7" x14ac:dyDescent="0.25">
      <c r="A280" s="57">
        <f>'A) Base RI'!A276</f>
        <v>5881</v>
      </c>
      <c r="B280" s="350" t="str">
        <f>'A) Base RI'!B276</f>
        <v>Blonay</v>
      </c>
      <c r="C280" s="14">
        <f>'A) Base RI'!U276</f>
        <v>6116</v>
      </c>
      <c r="D280" s="19">
        <f>'C) Prél. conj.'!H274</f>
        <v>1425026.3149999999</v>
      </c>
      <c r="E280" s="14">
        <f>'D) Ecrêtage'!L274</f>
        <v>0</v>
      </c>
      <c r="F280" s="19">
        <f>$F$10*'D) Ecrêtage'!M274</f>
        <v>5025118.4766750988</v>
      </c>
      <c r="G280" s="66">
        <f t="shared" si="4"/>
        <v>6450144.7916750982</v>
      </c>
    </row>
    <row r="281" spans="1:7" x14ac:dyDescent="0.25">
      <c r="A281" s="57">
        <f>'A) Base RI'!A277</f>
        <v>5882</v>
      </c>
      <c r="B281" s="350" t="str">
        <f>'A) Base RI'!B277</f>
        <v>Chardonne</v>
      </c>
      <c r="C281" s="14">
        <f>'A) Base RI'!U277</f>
        <v>2916</v>
      </c>
      <c r="D281" s="19">
        <f>'C) Prél. conj.'!H275</f>
        <v>602834.52</v>
      </c>
      <c r="E281" s="14">
        <f>'D) Ecrêtage'!L275</f>
        <v>0</v>
      </c>
      <c r="F281" s="19">
        <f>$F$10*'D) Ecrêtage'!M275</f>
        <v>2284068.9282290386</v>
      </c>
      <c r="G281" s="66">
        <f t="shared" si="4"/>
        <v>2886903.4482290386</v>
      </c>
    </row>
    <row r="282" spans="1:7" x14ac:dyDescent="0.25">
      <c r="A282" s="57">
        <f>'A) Base RI'!A278</f>
        <v>5883</v>
      </c>
      <c r="B282" s="350" t="str">
        <f>'A) Base RI'!B278</f>
        <v>Corseaux</v>
      </c>
      <c r="C282" s="14">
        <f>'A) Base RI'!U278</f>
        <v>2212</v>
      </c>
      <c r="D282" s="19">
        <f>'C) Prél. conj.'!H276</f>
        <v>474025.02500000002</v>
      </c>
      <c r="E282" s="14">
        <f>'D) Ecrêtage'!L276</f>
        <v>631883.76075060794</v>
      </c>
      <c r="F282" s="19">
        <f>$F$10*'D) Ecrêtage'!M276</f>
        <v>2209866.6165852514</v>
      </c>
      <c r="G282" s="66">
        <f t="shared" si="4"/>
        <v>3315775.4023358594</v>
      </c>
    </row>
    <row r="283" spans="1:7" x14ac:dyDescent="0.25">
      <c r="A283" s="57">
        <f>'A) Base RI'!A279</f>
        <v>5884</v>
      </c>
      <c r="B283" s="350" t="str">
        <f>'A) Base RI'!B279</f>
        <v>Corsier-sur-Vevey</v>
      </c>
      <c r="C283" s="14">
        <f>'A) Base RI'!U279</f>
        <v>3403</v>
      </c>
      <c r="D283" s="19">
        <f>'C) Prél. conj.'!H277</f>
        <v>337201.98499999999</v>
      </c>
      <c r="E283" s="14">
        <f>'D) Ecrêtage'!L277</f>
        <v>0</v>
      </c>
      <c r="F283" s="19">
        <f>$F$10*'D) Ecrêtage'!M277</f>
        <v>1760270.9930349689</v>
      </c>
      <c r="G283" s="66">
        <f t="shared" si="4"/>
        <v>2097472.978034969</v>
      </c>
    </row>
    <row r="284" spans="1:7" x14ac:dyDescent="0.25">
      <c r="A284" s="57">
        <f>'A) Base RI'!A280</f>
        <v>5885</v>
      </c>
      <c r="B284" s="350" t="str">
        <f>'A) Base RI'!B280</f>
        <v>Jongny</v>
      </c>
      <c r="C284" s="14">
        <f>'A) Base RI'!U280</f>
        <v>1488</v>
      </c>
      <c r="D284" s="19">
        <f>'C) Prél. conj.'!H278</f>
        <v>216300.95</v>
      </c>
      <c r="E284" s="14">
        <f>'D) Ecrêtage'!L278</f>
        <v>0</v>
      </c>
      <c r="F284" s="19">
        <f>$F$10*'D) Ecrêtage'!M278</f>
        <v>1237249.2869855622</v>
      </c>
      <c r="G284" s="66">
        <f t="shared" si="4"/>
        <v>1453550.2369855621</v>
      </c>
    </row>
    <row r="285" spans="1:7" x14ac:dyDescent="0.25">
      <c r="A285" s="57">
        <f>'A) Base RI'!A281</f>
        <v>5886</v>
      </c>
      <c r="B285" s="350" t="str">
        <f>'A) Base RI'!B281</f>
        <v>Montreux</v>
      </c>
      <c r="C285" s="14">
        <f>'A) Base RI'!U281</f>
        <v>26402</v>
      </c>
      <c r="D285" s="19">
        <f>'C) Prél. conj.'!H279</f>
        <v>7081694.5350000001</v>
      </c>
      <c r="E285" s="14">
        <f>'D) Ecrêtage'!L279</f>
        <v>0</v>
      </c>
      <c r="F285" s="19">
        <f>$F$10*'D) Ecrêtage'!M279</f>
        <v>17766473.017296158</v>
      </c>
      <c r="G285" s="66">
        <f t="shared" si="4"/>
        <v>24848167.552296158</v>
      </c>
    </row>
    <row r="286" spans="1:7" x14ac:dyDescent="0.25">
      <c r="A286" s="57">
        <f>'A) Base RI'!A282</f>
        <v>5888</v>
      </c>
      <c r="B286" s="350" t="str">
        <f>'A) Base RI'!B282</f>
        <v>Saint-Légier-La Chiésaz</v>
      </c>
      <c r="C286" s="14">
        <f>'A) Base RI'!U282</f>
        <v>5130</v>
      </c>
      <c r="D286" s="19">
        <f>'C) Prél. conj.'!H280</f>
        <v>724962.28</v>
      </c>
      <c r="E286" s="14">
        <f>'D) Ecrêtage'!L280</f>
        <v>488979.76053179509</v>
      </c>
      <c r="F286" s="19">
        <f>$F$10*'D) Ecrêtage'!M280</f>
        <v>4587905.0474889791</v>
      </c>
      <c r="G286" s="66">
        <f t="shared" si="4"/>
        <v>5801847.0880207745</v>
      </c>
    </row>
    <row r="287" spans="1:7" x14ac:dyDescent="0.25">
      <c r="A287" s="57">
        <f>'A) Base RI'!A283</f>
        <v>5889</v>
      </c>
      <c r="B287" s="350" t="str">
        <f>'A) Base RI'!B283</f>
        <v>La Tour-de-Peilz</v>
      </c>
      <c r="C287" s="14">
        <f>'A) Base RI'!U283</f>
        <v>11637</v>
      </c>
      <c r="D287" s="19">
        <f>'C) Prél. conj.'!H281</f>
        <v>2161451.4499999997</v>
      </c>
      <c r="E287" s="14">
        <f>'D) Ecrêtage'!L281</f>
        <v>0</v>
      </c>
      <c r="F287" s="19">
        <f>$F$10*'D) Ecrêtage'!M281</f>
        <v>9351745.4127488397</v>
      </c>
      <c r="G287" s="66">
        <f t="shared" si="4"/>
        <v>11513196.862748839</v>
      </c>
    </row>
    <row r="288" spans="1:7" x14ac:dyDescent="0.25">
      <c r="A288" s="57">
        <f>'A) Base RI'!A284</f>
        <v>5890</v>
      </c>
      <c r="B288" s="350" t="str">
        <f>'A) Base RI'!B284</f>
        <v>Vevey</v>
      </c>
      <c r="C288" s="14">
        <f>'A) Base RI'!U284</f>
        <v>19605</v>
      </c>
      <c r="D288" s="19">
        <f>'C) Prél. conj.'!H282</f>
        <v>2334068.0449999999</v>
      </c>
      <c r="E288" s="14">
        <f>'D) Ecrêtage'!L282</f>
        <v>0</v>
      </c>
      <c r="F288" s="19">
        <f>$F$10*'D) Ecrêtage'!M282</f>
        <v>13744869.224525735</v>
      </c>
      <c r="G288" s="66">
        <f t="shared" si="4"/>
        <v>16078937.269525735</v>
      </c>
    </row>
    <row r="289" spans="1:7" x14ac:dyDescent="0.25">
      <c r="A289" s="57">
        <f>'A) Base RI'!A285</f>
        <v>5891</v>
      </c>
      <c r="B289" s="350" t="str">
        <f>'A) Base RI'!B285</f>
        <v>Veytaux</v>
      </c>
      <c r="C289" s="14">
        <f>'A) Base RI'!U285</f>
        <v>850</v>
      </c>
      <c r="D289" s="19">
        <f>'C) Prél. conj.'!H283</f>
        <v>160980.79999999999</v>
      </c>
      <c r="E289" s="14">
        <f>'D) Ecrêtage'!L283</f>
        <v>0</v>
      </c>
      <c r="F289" s="19">
        <f>$F$10*'D) Ecrêtage'!M283</f>
        <v>597292.88999530277</v>
      </c>
      <c r="G289" s="66">
        <f t="shared" si="4"/>
        <v>758273.68999530282</v>
      </c>
    </row>
    <row r="290" spans="1:7" x14ac:dyDescent="0.25">
      <c r="A290" s="57">
        <f>'A) Base RI'!A286</f>
        <v>5902</v>
      </c>
      <c r="B290" s="350" t="str">
        <f>'A) Base RI'!B286</f>
        <v>Belmont-sur-Yverdon</v>
      </c>
      <c r="C290" s="14">
        <f>'A) Base RI'!U286</f>
        <v>368</v>
      </c>
      <c r="D290" s="19">
        <f>'C) Prél. conj.'!H284</f>
        <v>8227.2999999999993</v>
      </c>
      <c r="E290" s="14">
        <f>'D) Ecrêtage'!L284</f>
        <v>0</v>
      </c>
      <c r="F290" s="19">
        <f>$F$10*'D) Ecrêtage'!M284</f>
        <v>139489.77002548086</v>
      </c>
      <c r="G290" s="66">
        <f t="shared" si="4"/>
        <v>147717.07002548085</v>
      </c>
    </row>
    <row r="291" spans="1:7" x14ac:dyDescent="0.25">
      <c r="A291" s="57">
        <f>'A) Base RI'!A287</f>
        <v>5903</v>
      </c>
      <c r="B291" s="350" t="str">
        <f>'A) Base RI'!B287</f>
        <v>Bioley-Magnoux</v>
      </c>
      <c r="C291" s="14">
        <f>'A) Base RI'!U287</f>
        <v>230</v>
      </c>
      <c r="D291" s="19">
        <f>'C) Prél. conj.'!H285</f>
        <v>12949.61</v>
      </c>
      <c r="E291" s="14">
        <f>'D) Ecrêtage'!L285</f>
        <v>0</v>
      </c>
      <c r="F291" s="19">
        <f>$F$10*'D) Ecrêtage'!M285</f>
        <v>90007.224343676076</v>
      </c>
      <c r="G291" s="66">
        <f t="shared" si="4"/>
        <v>102956.83434367608</v>
      </c>
    </row>
    <row r="292" spans="1:7" x14ac:dyDescent="0.25">
      <c r="A292" s="57">
        <f>'A) Base RI'!A288</f>
        <v>5904</v>
      </c>
      <c r="B292" s="350" t="str">
        <f>'A) Base RI'!B288</f>
        <v>Chamblon</v>
      </c>
      <c r="C292" s="14">
        <f>'A) Base RI'!U288</f>
        <v>548</v>
      </c>
      <c r="D292" s="19">
        <f>'C) Prél. conj.'!H286</f>
        <v>33879.820000000007</v>
      </c>
      <c r="E292" s="14">
        <f>'D) Ecrêtage'!L286</f>
        <v>0</v>
      </c>
      <c r="F292" s="19">
        <f>$F$10*'D) Ecrêtage'!M286</f>
        <v>346398.58913082187</v>
      </c>
      <c r="G292" s="66">
        <f t="shared" si="4"/>
        <v>380278.40913082188</v>
      </c>
    </row>
    <row r="293" spans="1:7" x14ac:dyDescent="0.25">
      <c r="A293" s="57">
        <f>'A) Base RI'!A289</f>
        <v>5905</v>
      </c>
      <c r="B293" s="350" t="str">
        <f>'A) Base RI'!B289</f>
        <v>Champvent</v>
      </c>
      <c r="C293" s="14">
        <f>'A) Base RI'!U289</f>
        <v>652</v>
      </c>
      <c r="D293" s="19">
        <f>'C) Prél. conj.'!H287</f>
        <v>132936.625</v>
      </c>
      <c r="E293" s="14">
        <f>'D) Ecrêtage'!L287</f>
        <v>0</v>
      </c>
      <c r="F293" s="19">
        <f>$F$10*'D) Ecrêtage'!M287</f>
        <v>318049.52298039681</v>
      </c>
      <c r="G293" s="66">
        <f t="shared" si="4"/>
        <v>450986.14798039681</v>
      </c>
    </row>
    <row r="294" spans="1:7" x14ac:dyDescent="0.25">
      <c r="A294" s="57">
        <f>'A) Base RI'!A290</f>
        <v>5907</v>
      </c>
      <c r="B294" s="350" t="str">
        <f>'A) Base RI'!B290</f>
        <v>Chavannes-le-Chêne</v>
      </c>
      <c r="C294" s="14">
        <f>'A) Base RI'!U290</f>
        <v>300</v>
      </c>
      <c r="D294" s="19">
        <f>'C) Prél. conj.'!H288</f>
        <v>27228.985000000001</v>
      </c>
      <c r="E294" s="14">
        <f>'D) Ecrêtage'!L288</f>
        <v>0</v>
      </c>
      <c r="F294" s="19">
        <f>$F$10*'D) Ecrêtage'!M288</f>
        <v>133325.10226606409</v>
      </c>
      <c r="G294" s="66">
        <f t="shared" si="4"/>
        <v>160554.08726606407</v>
      </c>
    </row>
    <row r="295" spans="1:7" x14ac:dyDescent="0.25">
      <c r="A295" s="57">
        <f>'A) Base RI'!A291</f>
        <v>5908</v>
      </c>
      <c r="B295" s="350" t="str">
        <f>'A) Base RI'!B291</f>
        <v>Chêne-Pâquier</v>
      </c>
      <c r="C295" s="14">
        <f>'A) Base RI'!U291</f>
        <v>140</v>
      </c>
      <c r="D295" s="19">
        <f>'C) Prél. conj.'!H289</f>
        <v>5983</v>
      </c>
      <c r="E295" s="14">
        <f>'D) Ecrêtage'!L289</f>
        <v>0</v>
      </c>
      <c r="F295" s="19">
        <f>$F$10*'D) Ecrêtage'!M289</f>
        <v>44068.955513714995</v>
      </c>
      <c r="G295" s="66">
        <f t="shared" si="4"/>
        <v>50051.955513714995</v>
      </c>
    </row>
    <row r="296" spans="1:7" x14ac:dyDescent="0.25">
      <c r="A296" s="57">
        <f>'A) Base RI'!A292</f>
        <v>5909</v>
      </c>
      <c r="B296" s="350" t="str">
        <f>'A) Base RI'!B292</f>
        <v>Cheseaux-Noréaz</v>
      </c>
      <c r="C296" s="14">
        <f>'A) Base RI'!U292</f>
        <v>670</v>
      </c>
      <c r="D296" s="19">
        <f>'C) Prél. conj.'!H290</f>
        <v>51650.130000000005</v>
      </c>
      <c r="E296" s="14">
        <f>'D) Ecrêtage'!L290</f>
        <v>0</v>
      </c>
      <c r="F296" s="19">
        <f>$F$10*'D) Ecrêtage'!M290</f>
        <v>374472.99311014527</v>
      </c>
      <c r="G296" s="66">
        <f t="shared" si="4"/>
        <v>426123.12311014527</v>
      </c>
    </row>
    <row r="297" spans="1:7" x14ac:dyDescent="0.25">
      <c r="A297" s="57">
        <f>'A) Base RI'!A293</f>
        <v>5910</v>
      </c>
      <c r="B297" s="350" t="str">
        <f>'A) Base RI'!B293</f>
        <v>Cronay</v>
      </c>
      <c r="C297" s="14">
        <f>'A) Base RI'!U293</f>
        <v>380</v>
      </c>
      <c r="D297" s="19">
        <f>'C) Prél. conj.'!H291</f>
        <v>18777.7</v>
      </c>
      <c r="E297" s="14">
        <f>'D) Ecrêtage'!L291</f>
        <v>0</v>
      </c>
      <c r="F297" s="19">
        <f>$F$10*'D) Ecrêtage'!M291</f>
        <v>152643.70399533396</v>
      </c>
      <c r="G297" s="66">
        <f t="shared" si="4"/>
        <v>171421.40399533397</v>
      </c>
    </row>
    <row r="298" spans="1:7" x14ac:dyDescent="0.25">
      <c r="A298" s="57">
        <f>'A) Base RI'!A294</f>
        <v>5911</v>
      </c>
      <c r="B298" s="350" t="str">
        <f>'A) Base RI'!B294</f>
        <v>Cuarny</v>
      </c>
      <c r="C298" s="14">
        <f>'A) Base RI'!U294</f>
        <v>237</v>
      </c>
      <c r="D298" s="19">
        <f>'C) Prél. conj.'!H292</f>
        <v>1040.875</v>
      </c>
      <c r="E298" s="14">
        <f>'D) Ecrêtage'!L292</f>
        <v>0</v>
      </c>
      <c r="F298" s="19">
        <f>$F$10*'D) Ecrêtage'!M292</f>
        <v>117031.96125065189</v>
      </c>
      <c r="G298" s="66">
        <f t="shared" si="4"/>
        <v>118072.83625065189</v>
      </c>
    </row>
    <row r="299" spans="1:7" x14ac:dyDescent="0.25">
      <c r="A299" s="57">
        <f>'A) Base RI'!A295</f>
        <v>5912</v>
      </c>
      <c r="B299" s="350" t="str">
        <f>'A) Base RI'!B295</f>
        <v>Démoret</v>
      </c>
      <c r="C299" s="14">
        <f>'A) Base RI'!U295</f>
        <v>126</v>
      </c>
      <c r="D299" s="19">
        <f>'C) Prél. conj.'!H293</f>
        <v>5009.8500000000004</v>
      </c>
      <c r="E299" s="14">
        <f>'D) Ecrêtage'!L293</f>
        <v>0</v>
      </c>
      <c r="F299" s="19">
        <f>$F$10*'D) Ecrêtage'!M293</f>
        <v>41751.350248867573</v>
      </c>
      <c r="G299" s="66">
        <f t="shared" si="4"/>
        <v>46761.200248867572</v>
      </c>
    </row>
    <row r="300" spans="1:7" x14ac:dyDescent="0.25">
      <c r="A300" s="57">
        <f>'A) Base RI'!A296</f>
        <v>5913</v>
      </c>
      <c r="B300" s="350" t="str">
        <f>'A) Base RI'!B296</f>
        <v>Donneloye</v>
      </c>
      <c r="C300" s="14">
        <f>'A) Base RI'!U296</f>
        <v>779</v>
      </c>
      <c r="D300" s="19">
        <f>'C) Prél. conj.'!H294</f>
        <v>65885.044999999998</v>
      </c>
      <c r="E300" s="14">
        <f>'D) Ecrêtage'!L294</f>
        <v>0</v>
      </c>
      <c r="F300" s="19">
        <f>$F$10*'D) Ecrêtage'!M294</f>
        <v>317826.68523258792</v>
      </c>
      <c r="G300" s="66">
        <f t="shared" si="4"/>
        <v>383711.7302325879</v>
      </c>
    </row>
    <row r="301" spans="1:7" x14ac:dyDescent="0.25">
      <c r="A301" s="57">
        <f>'A) Base RI'!A297</f>
        <v>5914</v>
      </c>
      <c r="B301" s="350" t="str">
        <f>'A) Base RI'!B297</f>
        <v>Ependes</v>
      </c>
      <c r="C301" s="14">
        <f>'A) Base RI'!U297</f>
        <v>350</v>
      </c>
      <c r="D301" s="19">
        <f>'C) Prél. conj.'!H295</f>
        <v>7073.875</v>
      </c>
      <c r="E301" s="14">
        <f>'D) Ecrêtage'!L295</f>
        <v>0</v>
      </c>
      <c r="F301" s="19">
        <f>$F$10*'D) Ecrêtage'!M295</f>
        <v>133607.87086742613</v>
      </c>
      <c r="G301" s="66">
        <f t="shared" si="4"/>
        <v>140681.74586742613</v>
      </c>
    </row>
    <row r="302" spans="1:7" x14ac:dyDescent="0.25">
      <c r="A302" s="57">
        <f>'A) Base RI'!A298</f>
        <v>5919</v>
      </c>
      <c r="B302" s="350" t="str">
        <f>'A) Base RI'!B298</f>
        <v>Mathod</v>
      </c>
      <c r="C302" s="14">
        <f>'A) Base RI'!U298</f>
        <v>614</v>
      </c>
      <c r="D302" s="19">
        <f>'C) Prél. conj.'!H296</f>
        <v>85624.265000000014</v>
      </c>
      <c r="E302" s="14">
        <f>'D) Ecrêtage'!L296</f>
        <v>0</v>
      </c>
      <c r="F302" s="19">
        <f>$F$10*'D) Ecrêtage'!M296</f>
        <v>255239.12418798165</v>
      </c>
      <c r="G302" s="66">
        <f t="shared" si="4"/>
        <v>340863.38918798167</v>
      </c>
    </row>
    <row r="303" spans="1:7" x14ac:dyDescent="0.25">
      <c r="A303" s="57">
        <f>'A) Base RI'!A299</f>
        <v>5921</v>
      </c>
      <c r="B303" s="350" t="str">
        <f>'A) Base RI'!B299</f>
        <v>Molondin</v>
      </c>
      <c r="C303" s="14">
        <f>'A) Base RI'!U299</f>
        <v>218</v>
      </c>
      <c r="D303" s="19">
        <f>'C) Prél. conj.'!H297</f>
        <v>17582.224999999999</v>
      </c>
      <c r="E303" s="14">
        <f>'D) Ecrêtage'!L297</f>
        <v>0</v>
      </c>
      <c r="F303" s="19">
        <f>$F$10*'D) Ecrêtage'!M297</f>
        <v>83418.683617739152</v>
      </c>
      <c r="G303" s="66">
        <f t="shared" si="4"/>
        <v>101000.90861773916</v>
      </c>
    </row>
    <row r="304" spans="1:7" x14ac:dyDescent="0.25">
      <c r="A304" s="57">
        <f>'A) Base RI'!A300</f>
        <v>5922</v>
      </c>
      <c r="B304" s="350" t="str">
        <f>'A) Base RI'!B300</f>
        <v>Montagny-près-Yverdon</v>
      </c>
      <c r="C304" s="14">
        <f>'A) Base RI'!U300</f>
        <v>733</v>
      </c>
      <c r="D304" s="19">
        <f>'C) Prél. conj.'!H298</f>
        <v>64743.45</v>
      </c>
      <c r="E304" s="14">
        <f>'D) Ecrêtage'!L298</f>
        <v>88719.519714036316</v>
      </c>
      <c r="F304" s="19">
        <f>$F$10*'D) Ecrêtage'!M298</f>
        <v>669716.26051967742</v>
      </c>
      <c r="G304" s="66">
        <f t="shared" si="4"/>
        <v>823179.23023371375</v>
      </c>
    </row>
    <row r="305" spans="1:7" x14ac:dyDescent="0.25">
      <c r="A305" s="57">
        <f>'A) Base RI'!A301</f>
        <v>5923</v>
      </c>
      <c r="B305" s="350" t="str">
        <f>'A) Base RI'!B301</f>
        <v>Oppens</v>
      </c>
      <c r="C305" s="14">
        <f>'A) Base RI'!U301</f>
        <v>182</v>
      </c>
      <c r="D305" s="19">
        <f>'C) Prél. conj.'!H299</f>
        <v>31027.084999999999</v>
      </c>
      <c r="E305" s="14">
        <f>'D) Ecrêtage'!L299</f>
        <v>0</v>
      </c>
      <c r="F305" s="19">
        <f>$F$10*'D) Ecrêtage'!M299</f>
        <v>73788.007290886744</v>
      </c>
      <c r="G305" s="66">
        <f t="shared" si="4"/>
        <v>104815.09229088674</v>
      </c>
    </row>
    <row r="306" spans="1:7" x14ac:dyDescent="0.25">
      <c r="A306" s="57">
        <f>'A) Base RI'!A302</f>
        <v>5924</v>
      </c>
      <c r="B306" s="350" t="str">
        <f>'A) Base RI'!B302</f>
        <v>Orges</v>
      </c>
      <c r="C306" s="14">
        <f>'A) Base RI'!U302</f>
        <v>292</v>
      </c>
      <c r="D306" s="19">
        <f>'C) Prél. conj.'!H300</f>
        <v>19091.244999999999</v>
      </c>
      <c r="E306" s="14">
        <f>'D) Ecrêtage'!L300</f>
        <v>0</v>
      </c>
      <c r="F306" s="19">
        <f>$F$10*'D) Ecrêtage'!M300</f>
        <v>143258.57280969937</v>
      </c>
      <c r="G306" s="66">
        <f t="shared" si="4"/>
        <v>162349.81780969937</v>
      </c>
    </row>
    <row r="307" spans="1:7" x14ac:dyDescent="0.25">
      <c r="A307" s="57">
        <f>'A) Base RI'!A303</f>
        <v>5925</v>
      </c>
      <c r="B307" s="350" t="str">
        <f>'A) Base RI'!B303</f>
        <v>Orzens</v>
      </c>
      <c r="C307" s="14">
        <f>'A) Base RI'!U303</f>
        <v>200</v>
      </c>
      <c r="D307" s="19">
        <f>'C) Prél. conj.'!H301</f>
        <v>12069.105</v>
      </c>
      <c r="E307" s="14">
        <f>'D) Ecrêtage'!L301</f>
        <v>0</v>
      </c>
      <c r="F307" s="19">
        <f>$F$10*'D) Ecrêtage'!M301</f>
        <v>73703.662927858197</v>
      </c>
      <c r="G307" s="66">
        <f t="shared" si="4"/>
        <v>85772.767927858193</v>
      </c>
    </row>
    <row r="308" spans="1:7" x14ac:dyDescent="0.25">
      <c r="A308" s="57">
        <f>'A) Base RI'!A304</f>
        <v>5926</v>
      </c>
      <c r="B308" s="350" t="str">
        <f>'A) Base RI'!B304</f>
        <v>Pomy</v>
      </c>
      <c r="C308" s="14">
        <f>'A) Base RI'!U304</f>
        <v>760</v>
      </c>
      <c r="D308" s="19">
        <f>'C) Prél. conj.'!H302</f>
        <v>71840.260000000009</v>
      </c>
      <c r="E308" s="14">
        <f>'D) Ecrêtage'!L302</f>
        <v>0</v>
      </c>
      <c r="F308" s="19">
        <f>$F$10*'D) Ecrêtage'!M302</f>
        <v>344288.46376076358</v>
      </c>
      <c r="G308" s="66">
        <f t="shared" si="4"/>
        <v>416128.72376076359</v>
      </c>
    </row>
    <row r="309" spans="1:7" x14ac:dyDescent="0.25">
      <c r="A309" s="57">
        <f>'A) Base RI'!A305</f>
        <v>5928</v>
      </c>
      <c r="B309" s="350" t="str">
        <f>'A) Base RI'!B305</f>
        <v>Rovray</v>
      </c>
      <c r="C309" s="14">
        <f>'A) Base RI'!U305</f>
        <v>172</v>
      </c>
      <c r="D309" s="19">
        <f>'C) Prél. conj.'!H303</f>
        <v>9351.9500000000007</v>
      </c>
      <c r="E309" s="14">
        <f>'D) Ecrêtage'!L303</f>
        <v>0</v>
      </c>
      <c r="F309" s="19">
        <f>$F$10*'D) Ecrêtage'!M303</f>
        <v>67298.233024854911</v>
      </c>
      <c r="G309" s="66">
        <f t="shared" si="4"/>
        <v>76650.183024854909</v>
      </c>
    </row>
    <row r="310" spans="1:7" x14ac:dyDescent="0.25">
      <c r="A310" s="57">
        <f>'A) Base RI'!A306</f>
        <v>5929</v>
      </c>
      <c r="B310" s="350" t="str">
        <f>'A) Base RI'!B306</f>
        <v>Suchy</v>
      </c>
      <c r="C310" s="14">
        <f>'A) Base RI'!U306</f>
        <v>606</v>
      </c>
      <c r="D310" s="19">
        <f>'C) Prél. conj.'!H304</f>
        <v>28317.235000000001</v>
      </c>
      <c r="E310" s="14">
        <f>'D) Ecrêtage'!L304</f>
        <v>0</v>
      </c>
      <c r="F310" s="19">
        <f>$F$10*'D) Ecrêtage'!M304</f>
        <v>250702.55935501598</v>
      </c>
      <c r="G310" s="66">
        <f t="shared" si="4"/>
        <v>279019.79435501597</v>
      </c>
    </row>
    <row r="311" spans="1:7" x14ac:dyDescent="0.25">
      <c r="A311" s="57">
        <f>'A) Base RI'!A307</f>
        <v>5930</v>
      </c>
      <c r="B311" s="350" t="str">
        <f>'A) Base RI'!B307</f>
        <v>Suscévaz</v>
      </c>
      <c r="C311" s="14">
        <f>'A) Base RI'!U307</f>
        <v>202</v>
      </c>
      <c r="D311" s="19">
        <f>'C) Prél. conj.'!H305</f>
        <v>12969.630000000001</v>
      </c>
      <c r="E311" s="14">
        <f>'D) Ecrêtage'!L305</f>
        <v>0</v>
      </c>
      <c r="F311" s="19">
        <f>$F$10*'D) Ecrêtage'!M305</f>
        <v>73871.166249827249</v>
      </c>
      <c r="G311" s="66">
        <f t="shared" si="4"/>
        <v>86840.796249827254</v>
      </c>
    </row>
    <row r="312" spans="1:7" x14ac:dyDescent="0.25">
      <c r="A312" s="57">
        <f>'A) Base RI'!A308</f>
        <v>5931</v>
      </c>
      <c r="B312" s="350" t="str">
        <f>'A) Base RI'!B308</f>
        <v>Treycovagnes</v>
      </c>
      <c r="C312" s="14">
        <f>'A) Base RI'!U308</f>
        <v>446</v>
      </c>
      <c r="D312" s="19">
        <f>'C) Prél. conj.'!H306</f>
        <v>13962.455</v>
      </c>
      <c r="E312" s="14">
        <f>'D) Ecrêtage'!L306</f>
        <v>0</v>
      </c>
      <c r="F312" s="19">
        <f>$F$10*'D) Ecrêtage'!M306</f>
        <v>247452.11819660635</v>
      </c>
      <c r="G312" s="66">
        <f t="shared" si="4"/>
        <v>261414.57319660633</v>
      </c>
    </row>
    <row r="313" spans="1:7" x14ac:dyDescent="0.25">
      <c r="A313" s="57">
        <f>'A) Base RI'!A309</f>
        <v>5932</v>
      </c>
      <c r="B313" s="350" t="str">
        <f>'A) Base RI'!B309</f>
        <v>Ursins</v>
      </c>
      <c r="C313" s="14">
        <f>'A) Base RI'!U309</f>
        <v>210</v>
      </c>
      <c r="D313" s="19">
        <f>'C) Prél. conj.'!H307</f>
        <v>8642.7000000000007</v>
      </c>
      <c r="E313" s="14">
        <f>'D) Ecrêtage'!L307</f>
        <v>0</v>
      </c>
      <c r="F313" s="19">
        <f>$F$10*'D) Ecrêtage'!M307</f>
        <v>96241.046107168484</v>
      </c>
      <c r="G313" s="66">
        <f t="shared" si="4"/>
        <v>104883.74610716848</v>
      </c>
    </row>
    <row r="314" spans="1:7" x14ac:dyDescent="0.25">
      <c r="A314" s="57">
        <f>'A) Base RI'!A310</f>
        <v>5933</v>
      </c>
      <c r="B314" s="350" t="str">
        <f>'A) Base RI'!B310</f>
        <v>Valeyres-sous-Montagny</v>
      </c>
      <c r="C314" s="14">
        <f>'A) Base RI'!U310</f>
        <v>689</v>
      </c>
      <c r="D314" s="19">
        <f>'C) Prél. conj.'!H308</f>
        <v>46982.324999999997</v>
      </c>
      <c r="E314" s="14">
        <f>'D) Ecrêtage'!L308</f>
        <v>0</v>
      </c>
      <c r="F314" s="19">
        <f>$F$10*'D) Ecrêtage'!M308</f>
        <v>295974.02987544169</v>
      </c>
      <c r="G314" s="66">
        <f t="shared" si="4"/>
        <v>342956.3548754417</v>
      </c>
    </row>
    <row r="315" spans="1:7" x14ac:dyDescent="0.25">
      <c r="A315" s="57">
        <f>'A) Base RI'!A311</f>
        <v>5934</v>
      </c>
      <c r="B315" s="350" t="str">
        <f>'A) Base RI'!B311</f>
        <v>Valeyres-sous-Ursins</v>
      </c>
      <c r="C315" s="14">
        <f>'A) Base RI'!U311</f>
        <v>247</v>
      </c>
      <c r="D315" s="19">
        <f>'C) Prél. conj.'!H309</f>
        <v>18062.47</v>
      </c>
      <c r="E315" s="14">
        <f>'D) Ecrêtage'!L309</f>
        <v>0</v>
      </c>
      <c r="F315" s="19">
        <f>$F$10*'D) Ecrêtage'!M309</f>
        <v>103645.48937303529</v>
      </c>
      <c r="G315" s="66">
        <f t="shared" si="4"/>
        <v>121707.95937303529</v>
      </c>
    </row>
    <row r="316" spans="1:7" x14ac:dyDescent="0.25">
      <c r="A316" s="57">
        <f>'A) Base RI'!A312</f>
        <v>5935</v>
      </c>
      <c r="B316" s="350" t="str">
        <f>'A) Base RI'!B312</f>
        <v>Villars-Epeney</v>
      </c>
      <c r="C316" s="14">
        <f>'A) Base RI'!U312</f>
        <v>105</v>
      </c>
      <c r="D316" s="19">
        <f>'C) Prél. conj.'!H310</f>
        <v>10062.025</v>
      </c>
      <c r="E316" s="14">
        <f>'D) Ecrêtage'!L310</f>
        <v>0</v>
      </c>
      <c r="F316" s="19">
        <f>$F$10*'D) Ecrêtage'!M310</f>
        <v>64288.480684752605</v>
      </c>
      <c r="G316" s="66">
        <f t="shared" si="4"/>
        <v>74350.505684752599</v>
      </c>
    </row>
    <row r="317" spans="1:7" x14ac:dyDescent="0.25">
      <c r="A317" s="57">
        <f>'A) Base RI'!A313</f>
        <v>5937</v>
      </c>
      <c r="B317" s="350" t="str">
        <f>'A) Base RI'!B313</f>
        <v>Vugelles-La Mothe</v>
      </c>
      <c r="C317" s="14">
        <f>'A) Base RI'!U313</f>
        <v>134</v>
      </c>
      <c r="D317" s="19">
        <f>'C) Prél. conj.'!H311</f>
        <v>7328.1750000000002</v>
      </c>
      <c r="E317" s="14">
        <f>'D) Ecrêtage'!L311</f>
        <v>0</v>
      </c>
      <c r="F317" s="19">
        <f>$F$10*'D) Ecrêtage'!M311</f>
        <v>34361.418333374713</v>
      </c>
      <c r="G317" s="66">
        <f t="shared" si="4"/>
        <v>41689.593333374716</v>
      </c>
    </row>
    <row r="318" spans="1:7" x14ac:dyDescent="0.25">
      <c r="A318" s="57">
        <f>'A) Base RI'!A314</f>
        <v>5938</v>
      </c>
      <c r="B318" s="350" t="str">
        <f>'A) Base RI'!B314</f>
        <v>Yverdon-les-Bains</v>
      </c>
      <c r="C318" s="14">
        <f>'A) Base RI'!U314</f>
        <v>29570</v>
      </c>
      <c r="D318" s="19">
        <f>'C) Prél. conj.'!H312</f>
        <v>3033962.34</v>
      </c>
      <c r="E318" s="14">
        <f>'D) Ecrêtage'!L312</f>
        <v>0</v>
      </c>
      <c r="F318" s="19">
        <f>$F$10*'D) Ecrêtage'!M312</f>
        <v>12233621.864072582</v>
      </c>
      <c r="G318" s="66">
        <f t="shared" si="4"/>
        <v>15267584.204072582</v>
      </c>
    </row>
    <row r="319" spans="1:7" x14ac:dyDescent="0.25">
      <c r="A319" s="57">
        <f>'A) Base RI'!A315</f>
        <v>5939</v>
      </c>
      <c r="B319" s="350" t="str">
        <f>'A) Base RI'!B315</f>
        <v>Yvonand</v>
      </c>
      <c r="C319" s="14">
        <f>'A) Base RI'!U315</f>
        <v>3236</v>
      </c>
      <c r="D319" s="19">
        <f>'C) Prél. conj.'!H313</f>
        <v>446911.73499999993</v>
      </c>
      <c r="E319" s="14">
        <f>'D) Ecrêtage'!L313</f>
        <v>0</v>
      </c>
      <c r="F319" s="19">
        <f>$F$10*'D) Ecrêtage'!M313</f>
        <v>1334271.459517966</v>
      </c>
      <c r="G319" s="66">
        <f t="shared" si="4"/>
        <v>1781183.1945179659</v>
      </c>
    </row>
    <row r="320" spans="1:7" x14ac:dyDescent="0.25">
      <c r="A320" s="38"/>
      <c r="B320" s="357">
        <f>COUNTA(B11:B319)</f>
        <v>309</v>
      </c>
      <c r="C320" s="15">
        <f>SUM(C11:C319)</f>
        <v>778251</v>
      </c>
      <c r="D320" s="358">
        <f>SUM(D11:D319)</f>
        <v>123953138.06499997</v>
      </c>
      <c r="E320" s="15">
        <f>SUM(E11:E319)</f>
        <v>113485900.41243862</v>
      </c>
      <c r="F320" s="358">
        <f>SUM(F11:F319)</f>
        <v>533086961.52256125</v>
      </c>
      <c r="G320" s="45">
        <f>SUM(G11:G319)</f>
        <v>770525999.99999952</v>
      </c>
    </row>
    <row r="321" spans="1:13" x14ac:dyDescent="0.25">
      <c r="C321" s="85"/>
      <c r="D321" s="85"/>
      <c r="E321" s="85"/>
      <c r="F321" s="85"/>
    </row>
    <row r="322" spans="1:13" x14ac:dyDescent="0.25">
      <c r="A322" s="86"/>
      <c r="B322" s="87"/>
      <c r="C322" s="87"/>
      <c r="D322" s="53"/>
      <c r="E322" s="88"/>
      <c r="F322" s="21"/>
      <c r="G322" s="21"/>
      <c r="H322" s="21"/>
      <c r="I322" s="21"/>
      <c r="J322" s="21"/>
      <c r="M322" s="21"/>
    </row>
    <row r="323" spans="1:13" x14ac:dyDescent="0.25">
      <c r="F323" s="86"/>
      <c r="G323" s="86"/>
      <c r="H323" s="86"/>
      <c r="I323" s="86"/>
      <c r="J323" s="86"/>
      <c r="K323" s="86"/>
      <c r="L323" s="87"/>
      <c r="M323" s="86"/>
    </row>
    <row r="324" spans="1:13" x14ac:dyDescent="0.25">
      <c r="F324" s="87"/>
      <c r="G324" s="86"/>
      <c r="H324" s="86"/>
      <c r="I324" s="86"/>
      <c r="J324" s="86"/>
      <c r="K324" s="86"/>
      <c r="L324" s="86"/>
      <c r="M324" s="86"/>
    </row>
    <row r="325" spans="1:13" x14ac:dyDescent="0.25">
      <c r="F325" s="87"/>
      <c r="G325" s="86"/>
      <c r="H325" s="86"/>
      <c r="I325" s="86"/>
      <c r="M325" s="86"/>
    </row>
    <row r="326" spans="1:13" x14ac:dyDescent="0.25">
      <c r="F326" s="87"/>
      <c r="G326" s="86"/>
      <c r="H326" s="86"/>
      <c r="I326" s="86"/>
      <c r="M326" s="86"/>
    </row>
    <row r="327" spans="1:13" x14ac:dyDescent="0.25">
      <c r="F327" s="99"/>
      <c r="G327" s="86"/>
      <c r="H327" s="86"/>
      <c r="I327" s="86"/>
      <c r="M327" s="86"/>
    </row>
    <row r="328" spans="1:13" x14ac:dyDescent="0.25">
      <c r="D328" s="23"/>
      <c r="E328" s="86"/>
      <c r="F328" s="86"/>
      <c r="G328" s="86"/>
      <c r="H328" s="86"/>
      <c r="I328" s="86"/>
      <c r="J328" s="86"/>
      <c r="K328" s="86"/>
      <c r="L328" s="86"/>
      <c r="M328" s="86"/>
    </row>
    <row r="329" spans="1:13" x14ac:dyDescent="0.25">
      <c r="C329" s="70"/>
      <c r="E329" s="86"/>
      <c r="F329" s="86"/>
      <c r="G329" s="86"/>
      <c r="H329" s="86"/>
      <c r="I329" s="86"/>
      <c r="J329" s="86"/>
      <c r="K329" s="86"/>
      <c r="L329" s="86"/>
      <c r="M329" s="86"/>
    </row>
    <row r="330" spans="1:13" x14ac:dyDescent="0.25">
      <c r="E330" s="86"/>
      <c r="F330" s="86"/>
      <c r="G330" s="86"/>
      <c r="H330" s="86"/>
      <c r="I330" s="86"/>
      <c r="J330" s="86"/>
      <c r="M330" s="86"/>
    </row>
    <row r="331" spans="1:13" x14ac:dyDescent="0.25">
      <c r="E331" s="86"/>
      <c r="F331" s="86"/>
      <c r="G331" s="86"/>
      <c r="H331" s="86"/>
      <c r="I331" s="86"/>
      <c r="J331" s="86"/>
      <c r="M331" s="86"/>
    </row>
    <row r="332" spans="1:13" x14ac:dyDescent="0.25">
      <c r="E332" s="86"/>
      <c r="F332" s="86"/>
      <c r="G332" s="86"/>
      <c r="H332" s="86"/>
      <c r="I332" s="86"/>
      <c r="J332" s="86"/>
      <c r="M332" s="86"/>
    </row>
  </sheetData>
  <sheetProtection password="E95E" sheet="1" objects="1" scenarios="1"/>
  <mergeCells count="7">
    <mergeCell ref="A3:C3"/>
    <mergeCell ref="A9:A10"/>
    <mergeCell ref="G9:G10"/>
    <mergeCell ref="E9:E10"/>
    <mergeCell ref="D9:D10"/>
    <mergeCell ref="C9:C10"/>
    <mergeCell ref="B9:B10"/>
  </mergeCells>
  <phoneticPr fontId="0" type="noConversion"/>
  <printOptions horizontalCentered="1"/>
  <pageMargins left="0" right="0" top="0" bottom="0" header="0.51181102362204722" footer="0.51181102362204722"/>
  <pageSetup paperSize="9" scale="73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00B050"/>
  </sheetPr>
  <dimension ref="A1:L328"/>
  <sheetViews>
    <sheetView workbookViewId="0">
      <selection activeCell="C23" sqref="C23"/>
    </sheetView>
  </sheetViews>
  <sheetFormatPr baseColWidth="10" defaultColWidth="11" defaultRowHeight="15" x14ac:dyDescent="0.25"/>
  <cols>
    <col min="1" max="1" width="7.25" style="18" customWidth="1"/>
    <col min="2" max="2" width="17.375" style="18" bestFit="1" customWidth="1"/>
    <col min="3" max="3" width="8" style="18" bestFit="1" customWidth="1"/>
    <col min="4" max="9" width="11" style="18"/>
    <col min="10" max="10" width="8.25" style="18" bestFit="1" customWidth="1"/>
    <col min="11" max="11" width="10.75" style="18" bestFit="1" customWidth="1"/>
    <col min="12" max="16384" width="11" style="18"/>
  </cols>
  <sheetData>
    <row r="1" spans="1:12" ht="21" x14ac:dyDescent="0.25">
      <c r="A1" s="59" t="s">
        <v>466</v>
      </c>
      <c r="B1" s="50"/>
      <c r="C1" s="82"/>
    </row>
    <row r="2" spans="1:12" x14ac:dyDescent="0.25">
      <c r="A2" s="35"/>
      <c r="B2" s="61"/>
    </row>
    <row r="3" spans="1:12" x14ac:dyDescent="0.25">
      <c r="A3" s="35"/>
      <c r="B3" s="61"/>
      <c r="C3" s="453" t="s">
        <v>314</v>
      </c>
      <c r="D3" s="454"/>
      <c r="E3" s="454"/>
      <c r="F3" s="454"/>
      <c r="G3" s="454"/>
      <c r="H3" s="454"/>
      <c r="I3" s="454"/>
      <c r="J3" s="455"/>
    </row>
    <row r="4" spans="1:12" x14ac:dyDescent="0.25">
      <c r="C4" s="120" t="s">
        <v>313</v>
      </c>
      <c r="D4" s="116">
        <f>Paramètres!B24</f>
        <v>0</v>
      </c>
      <c r="E4" s="116">
        <f>Paramètres!C24</f>
        <v>1000</v>
      </c>
      <c r="F4" s="116">
        <f>Paramètres!D24</f>
        <v>3000</v>
      </c>
      <c r="G4" s="116">
        <f>Paramètres!E24</f>
        <v>5000</v>
      </c>
      <c r="H4" s="116">
        <f>Paramètres!F24</f>
        <v>9000</v>
      </c>
      <c r="I4" s="116">
        <f>Paramètres!G24</f>
        <v>12000</v>
      </c>
      <c r="J4" s="116">
        <f>Paramètres!H24</f>
        <v>15000</v>
      </c>
    </row>
    <row r="5" spans="1:12" x14ac:dyDescent="0.25">
      <c r="C5" s="121" t="s">
        <v>315</v>
      </c>
      <c r="D5" s="116">
        <f>Paramètres!B25</f>
        <v>1000</v>
      </c>
      <c r="E5" s="116">
        <f>Paramètres!C25</f>
        <v>3000</v>
      </c>
      <c r="F5" s="116">
        <f>Paramètres!D25</f>
        <v>5000</v>
      </c>
      <c r="G5" s="116">
        <f>Paramètres!E25</f>
        <v>9000</v>
      </c>
      <c r="H5" s="116">
        <f>Paramètres!F25</f>
        <v>12000</v>
      </c>
      <c r="I5" s="116">
        <f>Paramètres!G25</f>
        <v>15000</v>
      </c>
      <c r="J5" s="116"/>
    </row>
    <row r="6" spans="1:12" ht="30" customHeight="1" x14ac:dyDescent="0.25">
      <c r="A6" s="436" t="s">
        <v>50</v>
      </c>
      <c r="B6" s="436" t="s">
        <v>101</v>
      </c>
      <c r="C6" s="436" t="s">
        <v>310</v>
      </c>
      <c r="D6" s="443" t="s">
        <v>316</v>
      </c>
      <c r="E6" s="444"/>
      <c r="F6" s="444"/>
      <c r="G6" s="444"/>
      <c r="H6" s="444"/>
      <c r="I6" s="444"/>
      <c r="J6" s="445"/>
      <c r="K6" s="436" t="s">
        <v>301</v>
      </c>
    </row>
    <row r="7" spans="1:12" x14ac:dyDescent="0.25">
      <c r="A7" s="437"/>
      <c r="B7" s="437"/>
      <c r="C7" s="438"/>
      <c r="D7" s="316">
        <f>Paramètres!B29</f>
        <v>98.591549295774641</v>
      </c>
      <c r="E7" s="316">
        <f>Paramètres!C29</f>
        <v>345.07042253521126</v>
      </c>
      <c r="F7" s="316">
        <f>Paramètres!D29</f>
        <v>492.95774647887322</v>
      </c>
      <c r="G7" s="316">
        <f>Paramètres!E29</f>
        <v>591.54929577464782</v>
      </c>
      <c r="H7" s="316">
        <f>Paramètres!F29</f>
        <v>838.02816901408448</v>
      </c>
      <c r="I7" s="316">
        <f>Paramètres!G29</f>
        <v>985.91549295774644</v>
      </c>
      <c r="J7" s="316">
        <f>Paramètres!H29</f>
        <v>1035.2112676056338</v>
      </c>
      <c r="K7" s="437"/>
    </row>
    <row r="8" spans="1:12" x14ac:dyDescent="0.25">
      <c r="A8" s="54">
        <f>'A) Base RI'!A7</f>
        <v>5401</v>
      </c>
      <c r="B8" s="356" t="str">
        <f>'A) Base RI'!B7</f>
        <v>Aigle</v>
      </c>
      <c r="C8" s="19">
        <f>'A) Base RI'!U7</f>
        <v>9740</v>
      </c>
      <c r="D8" s="14">
        <f>IF($C8&gt;D$4,IF($C8&lt;D$5,$C8-D$4,D$5-D$4),0)</f>
        <v>1000</v>
      </c>
      <c r="E8" s="19">
        <f t="shared" ref="E8:I23" si="0">IF($C8&gt;E$4,IF($C8&lt;E$5,$C8-E$4,E$5-E$4),0)</f>
        <v>2000</v>
      </c>
      <c r="F8" s="14">
        <f t="shared" si="0"/>
        <v>2000</v>
      </c>
      <c r="G8" s="19">
        <f t="shared" si="0"/>
        <v>4000</v>
      </c>
      <c r="H8" s="49">
        <f t="shared" si="0"/>
        <v>740</v>
      </c>
      <c r="I8" s="14">
        <f t="shared" si="0"/>
        <v>0</v>
      </c>
      <c r="J8" s="14">
        <f>IF(C8&gt;$J$4,C8-$J$4,0)</f>
        <v>0</v>
      </c>
      <c r="K8" s="130">
        <f>(D8*D$7)+(E8*E$7)+(F8*F$7)+(G8*G$7)+(H8*H$7)+(I8*I$7)+(J8*J$7)</f>
        <v>4760985.9154929575</v>
      </c>
    </row>
    <row r="9" spans="1:12" x14ac:dyDescent="0.25">
      <c r="A9" s="57">
        <f>'A) Base RI'!A8</f>
        <v>5402</v>
      </c>
      <c r="B9" s="40" t="str">
        <f>'A) Base RI'!B8</f>
        <v>Bex</v>
      </c>
      <c r="C9" s="19">
        <f>'A) Base RI'!U8</f>
        <v>7424</v>
      </c>
      <c r="D9" s="14">
        <f t="shared" ref="D9:I63" si="1">IF($C9&gt;D$4,IF($C9&lt;D$5,$C9-D$4,D$5-D$4),0)</f>
        <v>1000</v>
      </c>
      <c r="E9" s="19">
        <f t="shared" si="0"/>
        <v>2000</v>
      </c>
      <c r="F9" s="14">
        <f t="shared" si="0"/>
        <v>2000</v>
      </c>
      <c r="G9" s="19">
        <f t="shared" si="0"/>
        <v>2424</v>
      </c>
      <c r="H9" s="49">
        <f t="shared" si="0"/>
        <v>0</v>
      </c>
      <c r="I9" s="14">
        <f t="shared" si="0"/>
        <v>0</v>
      </c>
      <c r="J9" s="14">
        <f t="shared" ref="J9:J72" si="2">IF(C9&gt;$J$4,C9-$J$4,0)</f>
        <v>0</v>
      </c>
      <c r="K9" s="130">
        <f t="shared" ref="K9:K72" si="3">(D9*D$7)+(E9*E$7)+(F9*F$7)+(G9*G$7)+(H9*H$7)+(I9*I$7)+(J9*J$7)</f>
        <v>3208563.38028169</v>
      </c>
    </row>
    <row r="10" spans="1:12" x14ac:dyDescent="0.25">
      <c r="A10" s="57">
        <f>'A) Base RI'!A9</f>
        <v>5403</v>
      </c>
      <c r="B10" s="40" t="str">
        <f>'A) Base RI'!B9</f>
        <v>Chessel</v>
      </c>
      <c r="C10" s="19">
        <f>'A) Base RI'!U9</f>
        <v>395</v>
      </c>
      <c r="D10" s="14">
        <f t="shared" si="1"/>
        <v>395</v>
      </c>
      <c r="E10" s="19">
        <f t="shared" si="0"/>
        <v>0</v>
      </c>
      <c r="F10" s="14">
        <f t="shared" si="0"/>
        <v>0</v>
      </c>
      <c r="G10" s="19">
        <f t="shared" si="0"/>
        <v>0</v>
      </c>
      <c r="H10" s="49">
        <f t="shared" si="0"/>
        <v>0</v>
      </c>
      <c r="I10" s="14">
        <f t="shared" si="0"/>
        <v>0</v>
      </c>
      <c r="J10" s="14">
        <f t="shared" si="2"/>
        <v>0</v>
      </c>
      <c r="K10" s="130">
        <f t="shared" si="3"/>
        <v>38943.661971830981</v>
      </c>
    </row>
    <row r="11" spans="1:12" x14ac:dyDescent="0.25">
      <c r="A11" s="57">
        <f>'A) Base RI'!A10</f>
        <v>5404</v>
      </c>
      <c r="B11" s="40" t="str">
        <f>'A) Base RI'!B10</f>
        <v>Corbeyrier</v>
      </c>
      <c r="C11" s="19">
        <f>'A) Base RI'!U10</f>
        <v>440</v>
      </c>
      <c r="D11" s="14">
        <f t="shared" si="1"/>
        <v>440</v>
      </c>
      <c r="E11" s="19">
        <f t="shared" si="0"/>
        <v>0</v>
      </c>
      <c r="F11" s="14">
        <f t="shared" si="0"/>
        <v>0</v>
      </c>
      <c r="G11" s="19">
        <f t="shared" si="0"/>
        <v>0</v>
      </c>
      <c r="H11" s="49">
        <f t="shared" si="0"/>
        <v>0</v>
      </c>
      <c r="I11" s="14">
        <f t="shared" si="0"/>
        <v>0</v>
      </c>
      <c r="J11" s="14">
        <f t="shared" si="2"/>
        <v>0</v>
      </c>
      <c r="K11" s="130">
        <f t="shared" si="3"/>
        <v>43380.281690140844</v>
      </c>
    </row>
    <row r="12" spans="1:12" x14ac:dyDescent="0.25">
      <c r="A12" s="57">
        <f>'A) Base RI'!A11</f>
        <v>5405</v>
      </c>
      <c r="B12" s="40" t="str">
        <f>'A) Base RI'!B11</f>
        <v>Gryon</v>
      </c>
      <c r="C12" s="19">
        <f>'A) Base RI'!U11</f>
        <v>1342</v>
      </c>
      <c r="D12" s="14">
        <f t="shared" si="1"/>
        <v>1000</v>
      </c>
      <c r="E12" s="19">
        <f t="shared" si="0"/>
        <v>342</v>
      </c>
      <c r="F12" s="14">
        <f t="shared" si="0"/>
        <v>0</v>
      </c>
      <c r="G12" s="19">
        <f t="shared" si="0"/>
        <v>0</v>
      </c>
      <c r="H12" s="49">
        <f t="shared" si="0"/>
        <v>0</v>
      </c>
      <c r="I12" s="14">
        <f t="shared" si="0"/>
        <v>0</v>
      </c>
      <c r="J12" s="14">
        <f t="shared" si="2"/>
        <v>0</v>
      </c>
      <c r="K12" s="130">
        <f t="shared" si="3"/>
        <v>216605.63380281691</v>
      </c>
    </row>
    <row r="13" spans="1:12" x14ac:dyDescent="0.25">
      <c r="A13" s="57">
        <f>'A) Base RI'!A12</f>
        <v>5406</v>
      </c>
      <c r="B13" s="40" t="str">
        <f>'A) Base RI'!B12</f>
        <v>Lavey-Morcles</v>
      </c>
      <c r="C13" s="19">
        <f>'A) Base RI'!U12</f>
        <v>922</v>
      </c>
      <c r="D13" s="14">
        <f t="shared" si="1"/>
        <v>922</v>
      </c>
      <c r="E13" s="19">
        <f t="shared" si="0"/>
        <v>0</v>
      </c>
      <c r="F13" s="14">
        <f t="shared" si="0"/>
        <v>0</v>
      </c>
      <c r="G13" s="19">
        <f t="shared" si="0"/>
        <v>0</v>
      </c>
      <c r="H13" s="49">
        <f t="shared" si="0"/>
        <v>0</v>
      </c>
      <c r="I13" s="14">
        <f t="shared" si="0"/>
        <v>0</v>
      </c>
      <c r="J13" s="14">
        <f t="shared" si="2"/>
        <v>0</v>
      </c>
      <c r="K13" s="130">
        <f t="shared" si="3"/>
        <v>90901.408450704213</v>
      </c>
    </row>
    <row r="14" spans="1:12" x14ac:dyDescent="0.25">
      <c r="A14" s="57">
        <f>'A) Base RI'!A13</f>
        <v>5407</v>
      </c>
      <c r="B14" s="40" t="str">
        <f>'A) Base RI'!B13</f>
        <v>Leysin</v>
      </c>
      <c r="C14" s="19">
        <f>'A) Base RI'!U13</f>
        <v>4088</v>
      </c>
      <c r="D14" s="14">
        <f t="shared" si="1"/>
        <v>1000</v>
      </c>
      <c r="E14" s="19">
        <f t="shared" si="0"/>
        <v>2000</v>
      </c>
      <c r="F14" s="14">
        <f t="shared" si="0"/>
        <v>1088</v>
      </c>
      <c r="G14" s="19">
        <f t="shared" si="0"/>
        <v>0</v>
      </c>
      <c r="H14" s="49">
        <f t="shared" si="0"/>
        <v>0</v>
      </c>
      <c r="I14" s="14">
        <f t="shared" si="0"/>
        <v>0</v>
      </c>
      <c r="J14" s="14">
        <f t="shared" si="2"/>
        <v>0</v>
      </c>
      <c r="K14" s="130">
        <f t="shared" si="3"/>
        <v>1325070.4225352113</v>
      </c>
      <c r="L14" s="17"/>
    </row>
    <row r="15" spans="1:12" x14ac:dyDescent="0.25">
      <c r="A15" s="57">
        <f>'A) Base RI'!A14</f>
        <v>5408</v>
      </c>
      <c r="B15" s="40" t="str">
        <f>'A) Base RI'!B14</f>
        <v>Noville</v>
      </c>
      <c r="C15" s="19">
        <f>'A) Base RI'!U14</f>
        <v>1056</v>
      </c>
      <c r="D15" s="14">
        <f t="shared" si="1"/>
        <v>1000</v>
      </c>
      <c r="E15" s="19">
        <f t="shared" si="0"/>
        <v>56</v>
      </c>
      <c r="F15" s="14">
        <f t="shared" si="0"/>
        <v>0</v>
      </c>
      <c r="G15" s="19">
        <f t="shared" si="0"/>
        <v>0</v>
      </c>
      <c r="H15" s="49">
        <f t="shared" si="0"/>
        <v>0</v>
      </c>
      <c r="I15" s="14">
        <f t="shared" si="0"/>
        <v>0</v>
      </c>
      <c r="J15" s="14">
        <f t="shared" si="2"/>
        <v>0</v>
      </c>
      <c r="K15" s="130">
        <f t="shared" si="3"/>
        <v>117915.49295774648</v>
      </c>
    </row>
    <row r="16" spans="1:12" x14ac:dyDescent="0.25">
      <c r="A16" s="57">
        <f>'A) Base RI'!A15</f>
        <v>5409</v>
      </c>
      <c r="B16" s="40" t="str">
        <f>'A) Base RI'!B15</f>
        <v>Ollon</v>
      </c>
      <c r="C16" s="19">
        <f>'A) Base RI'!U15</f>
        <v>7473</v>
      </c>
      <c r="D16" s="14">
        <f t="shared" si="1"/>
        <v>1000</v>
      </c>
      <c r="E16" s="19">
        <f t="shared" si="0"/>
        <v>2000</v>
      </c>
      <c r="F16" s="14">
        <f t="shared" si="0"/>
        <v>2000</v>
      </c>
      <c r="G16" s="19">
        <f t="shared" si="0"/>
        <v>2473</v>
      </c>
      <c r="H16" s="49">
        <f t="shared" si="0"/>
        <v>0</v>
      </c>
      <c r="I16" s="14">
        <f t="shared" si="0"/>
        <v>0</v>
      </c>
      <c r="J16" s="14">
        <f t="shared" si="2"/>
        <v>0</v>
      </c>
      <c r="K16" s="130">
        <f t="shared" si="3"/>
        <v>3237549.295774648</v>
      </c>
    </row>
    <row r="17" spans="1:11" x14ac:dyDescent="0.25">
      <c r="A17" s="57">
        <f>'A) Base RI'!A16</f>
        <v>5410</v>
      </c>
      <c r="B17" s="40" t="str">
        <f>'A) Base RI'!B16</f>
        <v>Ormont-Dessous</v>
      </c>
      <c r="C17" s="19">
        <f>'A) Base RI'!U16</f>
        <v>1105</v>
      </c>
      <c r="D17" s="14">
        <f t="shared" si="1"/>
        <v>1000</v>
      </c>
      <c r="E17" s="19">
        <f t="shared" si="0"/>
        <v>105</v>
      </c>
      <c r="F17" s="14">
        <f t="shared" si="0"/>
        <v>0</v>
      </c>
      <c r="G17" s="19">
        <f t="shared" si="0"/>
        <v>0</v>
      </c>
      <c r="H17" s="49">
        <f t="shared" si="0"/>
        <v>0</v>
      </c>
      <c r="I17" s="14">
        <f t="shared" si="0"/>
        <v>0</v>
      </c>
      <c r="J17" s="14">
        <f t="shared" si="2"/>
        <v>0</v>
      </c>
      <c r="K17" s="130">
        <f t="shared" si="3"/>
        <v>134823.94366197183</v>
      </c>
    </row>
    <row r="18" spans="1:11" x14ac:dyDescent="0.25">
      <c r="A18" s="57">
        <f>'A) Base RI'!A17</f>
        <v>5411</v>
      </c>
      <c r="B18" s="40" t="str">
        <f>'A) Base RI'!B17</f>
        <v>Ormont-Dessus</v>
      </c>
      <c r="C18" s="19">
        <f>'A) Base RI'!U17</f>
        <v>1479</v>
      </c>
      <c r="D18" s="14">
        <f t="shared" si="1"/>
        <v>1000</v>
      </c>
      <c r="E18" s="19">
        <f t="shared" si="0"/>
        <v>479</v>
      </c>
      <c r="F18" s="14">
        <f t="shared" si="0"/>
        <v>0</v>
      </c>
      <c r="G18" s="19">
        <f t="shared" si="0"/>
        <v>0</v>
      </c>
      <c r="H18" s="49">
        <f t="shared" si="0"/>
        <v>0</v>
      </c>
      <c r="I18" s="14">
        <f t="shared" si="0"/>
        <v>0</v>
      </c>
      <c r="J18" s="14">
        <f t="shared" si="2"/>
        <v>0</v>
      </c>
      <c r="K18" s="130">
        <f t="shared" si="3"/>
        <v>263880.28169014084</v>
      </c>
    </row>
    <row r="19" spans="1:11" x14ac:dyDescent="0.25">
      <c r="A19" s="57">
        <f>'A) Base RI'!A18</f>
        <v>5412</v>
      </c>
      <c r="B19" s="40" t="str">
        <f>'A) Base RI'!B18</f>
        <v>Rennaz</v>
      </c>
      <c r="C19" s="19">
        <f>'A) Base RI'!U18</f>
        <v>843</v>
      </c>
      <c r="D19" s="14">
        <f t="shared" si="1"/>
        <v>843</v>
      </c>
      <c r="E19" s="19">
        <f t="shared" si="0"/>
        <v>0</v>
      </c>
      <c r="F19" s="14">
        <f t="shared" si="0"/>
        <v>0</v>
      </c>
      <c r="G19" s="19">
        <f t="shared" si="0"/>
        <v>0</v>
      </c>
      <c r="H19" s="49">
        <f t="shared" si="0"/>
        <v>0</v>
      </c>
      <c r="I19" s="14">
        <f t="shared" si="0"/>
        <v>0</v>
      </c>
      <c r="J19" s="14">
        <f t="shared" si="2"/>
        <v>0</v>
      </c>
      <c r="K19" s="130">
        <f t="shared" si="3"/>
        <v>83112.676056338023</v>
      </c>
    </row>
    <row r="20" spans="1:11" x14ac:dyDescent="0.25">
      <c r="A20" s="57">
        <f>'A) Base RI'!A19</f>
        <v>5413</v>
      </c>
      <c r="B20" s="40" t="str">
        <f>'A) Base RI'!B19</f>
        <v>Roche</v>
      </c>
      <c r="C20" s="19">
        <f>'A) Base RI'!U19</f>
        <v>1597</v>
      </c>
      <c r="D20" s="14">
        <f t="shared" si="1"/>
        <v>1000</v>
      </c>
      <c r="E20" s="19">
        <f t="shared" si="0"/>
        <v>597</v>
      </c>
      <c r="F20" s="14">
        <f t="shared" si="0"/>
        <v>0</v>
      </c>
      <c r="G20" s="19">
        <f t="shared" si="0"/>
        <v>0</v>
      </c>
      <c r="H20" s="49">
        <f t="shared" si="0"/>
        <v>0</v>
      </c>
      <c r="I20" s="14">
        <f t="shared" si="0"/>
        <v>0</v>
      </c>
      <c r="J20" s="14">
        <f t="shared" si="2"/>
        <v>0</v>
      </c>
      <c r="K20" s="130">
        <f t="shared" si="3"/>
        <v>304598.59154929576</v>
      </c>
    </row>
    <row r="21" spans="1:11" x14ac:dyDescent="0.25">
      <c r="A21" s="57">
        <f>'A) Base RI'!A20</f>
        <v>5414</v>
      </c>
      <c r="B21" s="40" t="str">
        <f>'A) Base RI'!B20</f>
        <v>Villeneuve</v>
      </c>
      <c r="C21" s="19">
        <f>'A) Base RI'!U20</f>
        <v>5457</v>
      </c>
      <c r="D21" s="14">
        <f t="shared" si="1"/>
        <v>1000</v>
      </c>
      <c r="E21" s="19">
        <f t="shared" si="0"/>
        <v>2000</v>
      </c>
      <c r="F21" s="14">
        <f t="shared" si="0"/>
        <v>2000</v>
      </c>
      <c r="G21" s="19">
        <f t="shared" si="0"/>
        <v>457</v>
      </c>
      <c r="H21" s="49">
        <f t="shared" si="0"/>
        <v>0</v>
      </c>
      <c r="I21" s="14">
        <f t="shared" si="0"/>
        <v>0</v>
      </c>
      <c r="J21" s="14">
        <f t="shared" si="2"/>
        <v>0</v>
      </c>
      <c r="K21" s="130">
        <f t="shared" si="3"/>
        <v>2044985.9154929577</v>
      </c>
    </row>
    <row r="22" spans="1:11" x14ac:dyDescent="0.25">
      <c r="A22" s="57">
        <f>'A) Base RI'!A21</f>
        <v>5415</v>
      </c>
      <c r="B22" s="40" t="str">
        <f>'A) Base RI'!B21</f>
        <v>Yvorne</v>
      </c>
      <c r="C22" s="19">
        <f>'A) Base RI'!U21</f>
        <v>1061</v>
      </c>
      <c r="D22" s="14">
        <f t="shared" si="1"/>
        <v>1000</v>
      </c>
      <c r="E22" s="19">
        <f t="shared" si="0"/>
        <v>61</v>
      </c>
      <c r="F22" s="14">
        <f t="shared" si="0"/>
        <v>0</v>
      </c>
      <c r="G22" s="19">
        <f t="shared" si="0"/>
        <v>0</v>
      </c>
      <c r="H22" s="49">
        <f t="shared" si="0"/>
        <v>0</v>
      </c>
      <c r="I22" s="14">
        <f t="shared" si="0"/>
        <v>0</v>
      </c>
      <c r="J22" s="14">
        <f t="shared" si="2"/>
        <v>0</v>
      </c>
      <c r="K22" s="130">
        <f t="shared" si="3"/>
        <v>119640.84507042254</v>
      </c>
    </row>
    <row r="23" spans="1:11" x14ac:dyDescent="0.25">
      <c r="A23" s="57">
        <f>'A) Base RI'!A22</f>
        <v>5421</v>
      </c>
      <c r="B23" s="40" t="str">
        <f>'A) Base RI'!B22</f>
        <v>Apples</v>
      </c>
      <c r="C23" s="19">
        <f>'A) Base RI'!U22</f>
        <v>1412</v>
      </c>
      <c r="D23" s="14">
        <f t="shared" si="1"/>
        <v>1000</v>
      </c>
      <c r="E23" s="19">
        <f t="shared" si="0"/>
        <v>412</v>
      </c>
      <c r="F23" s="14">
        <f t="shared" si="0"/>
        <v>0</v>
      </c>
      <c r="G23" s="19">
        <f t="shared" si="0"/>
        <v>0</v>
      </c>
      <c r="H23" s="49">
        <f t="shared" si="0"/>
        <v>0</v>
      </c>
      <c r="I23" s="14">
        <f t="shared" si="0"/>
        <v>0</v>
      </c>
      <c r="J23" s="14">
        <f t="shared" si="2"/>
        <v>0</v>
      </c>
      <c r="K23" s="130">
        <f t="shared" si="3"/>
        <v>240760.56338028167</v>
      </c>
    </row>
    <row r="24" spans="1:11" x14ac:dyDescent="0.25">
      <c r="A24" s="57">
        <f>'A) Base RI'!A23</f>
        <v>5422</v>
      </c>
      <c r="B24" s="40" t="str">
        <f>'A) Base RI'!B23</f>
        <v>Aubonne</v>
      </c>
      <c r="C24" s="19">
        <f>'A) Base RI'!U23</f>
        <v>3272</v>
      </c>
      <c r="D24" s="14">
        <f t="shared" si="1"/>
        <v>1000</v>
      </c>
      <c r="E24" s="19">
        <f t="shared" si="1"/>
        <v>2000</v>
      </c>
      <c r="F24" s="14">
        <f t="shared" si="1"/>
        <v>272</v>
      </c>
      <c r="G24" s="19">
        <f t="shared" si="1"/>
        <v>0</v>
      </c>
      <c r="H24" s="49">
        <f t="shared" si="1"/>
        <v>0</v>
      </c>
      <c r="I24" s="14">
        <f t="shared" si="1"/>
        <v>0</v>
      </c>
      <c r="J24" s="14">
        <f t="shared" si="2"/>
        <v>0</v>
      </c>
      <c r="K24" s="130">
        <f t="shared" si="3"/>
        <v>922816.90140845068</v>
      </c>
    </row>
    <row r="25" spans="1:11" x14ac:dyDescent="0.25">
      <c r="A25" s="57">
        <f>'A) Base RI'!A24</f>
        <v>5423</v>
      </c>
      <c r="B25" s="40" t="str">
        <f>'A) Base RI'!B24</f>
        <v>Ballens</v>
      </c>
      <c r="C25" s="19">
        <f>'A) Base RI'!U24</f>
        <v>508</v>
      </c>
      <c r="D25" s="14">
        <f t="shared" si="1"/>
        <v>508</v>
      </c>
      <c r="E25" s="19">
        <f t="shared" si="1"/>
        <v>0</v>
      </c>
      <c r="F25" s="14">
        <f t="shared" si="1"/>
        <v>0</v>
      </c>
      <c r="G25" s="19">
        <f t="shared" si="1"/>
        <v>0</v>
      </c>
      <c r="H25" s="49">
        <f t="shared" si="1"/>
        <v>0</v>
      </c>
      <c r="I25" s="14">
        <f t="shared" si="1"/>
        <v>0</v>
      </c>
      <c r="J25" s="14">
        <f t="shared" si="2"/>
        <v>0</v>
      </c>
      <c r="K25" s="130">
        <f t="shared" si="3"/>
        <v>50084.507042253521</v>
      </c>
    </row>
    <row r="26" spans="1:11" x14ac:dyDescent="0.25">
      <c r="A26" s="57">
        <f>'A) Base RI'!A25</f>
        <v>5424</v>
      </c>
      <c r="B26" s="40" t="str">
        <f>'A) Base RI'!B25</f>
        <v>Berolle</v>
      </c>
      <c r="C26" s="19">
        <f>'A) Base RI'!U25</f>
        <v>301</v>
      </c>
      <c r="D26" s="14">
        <f t="shared" si="1"/>
        <v>301</v>
      </c>
      <c r="E26" s="19">
        <f t="shared" si="1"/>
        <v>0</v>
      </c>
      <c r="F26" s="14">
        <f t="shared" si="1"/>
        <v>0</v>
      </c>
      <c r="G26" s="19">
        <f t="shared" si="1"/>
        <v>0</v>
      </c>
      <c r="H26" s="49">
        <f t="shared" si="1"/>
        <v>0</v>
      </c>
      <c r="I26" s="14">
        <f t="shared" si="1"/>
        <v>0</v>
      </c>
      <c r="J26" s="14">
        <f t="shared" si="2"/>
        <v>0</v>
      </c>
      <c r="K26" s="130">
        <f t="shared" si="3"/>
        <v>29676.056338028167</v>
      </c>
    </row>
    <row r="27" spans="1:11" x14ac:dyDescent="0.25">
      <c r="A27" s="57">
        <f>'A) Base RI'!A26</f>
        <v>5425</v>
      </c>
      <c r="B27" s="40" t="str">
        <f>'A) Base RI'!B26</f>
        <v>Bière</v>
      </c>
      <c r="C27" s="19">
        <f>'A) Base RI'!U26</f>
        <v>1546</v>
      </c>
      <c r="D27" s="14">
        <f t="shared" si="1"/>
        <v>1000</v>
      </c>
      <c r="E27" s="19">
        <f t="shared" si="1"/>
        <v>546</v>
      </c>
      <c r="F27" s="14">
        <f t="shared" si="1"/>
        <v>0</v>
      </c>
      <c r="G27" s="19">
        <f t="shared" si="1"/>
        <v>0</v>
      </c>
      <c r="H27" s="49">
        <f t="shared" si="1"/>
        <v>0</v>
      </c>
      <c r="I27" s="14">
        <f t="shared" si="1"/>
        <v>0</v>
      </c>
      <c r="J27" s="14">
        <f t="shared" si="2"/>
        <v>0</v>
      </c>
      <c r="K27" s="130">
        <f t="shared" si="3"/>
        <v>287000</v>
      </c>
    </row>
    <row r="28" spans="1:11" x14ac:dyDescent="0.25">
      <c r="A28" s="57">
        <f>'A) Base RI'!A27</f>
        <v>5426</v>
      </c>
      <c r="B28" s="40" t="str">
        <f>'A) Base RI'!B27</f>
        <v>Bougy-Villars</v>
      </c>
      <c r="C28" s="19">
        <f>'A) Base RI'!U27</f>
        <v>467</v>
      </c>
      <c r="D28" s="14">
        <f t="shared" si="1"/>
        <v>467</v>
      </c>
      <c r="E28" s="19">
        <f t="shared" si="1"/>
        <v>0</v>
      </c>
      <c r="F28" s="14">
        <f t="shared" si="1"/>
        <v>0</v>
      </c>
      <c r="G28" s="19">
        <f t="shared" si="1"/>
        <v>0</v>
      </c>
      <c r="H28" s="49">
        <f t="shared" si="1"/>
        <v>0</v>
      </c>
      <c r="I28" s="14">
        <f t="shared" si="1"/>
        <v>0</v>
      </c>
      <c r="J28" s="14">
        <f t="shared" si="2"/>
        <v>0</v>
      </c>
      <c r="K28" s="130">
        <f t="shared" si="3"/>
        <v>46042.25352112676</v>
      </c>
    </row>
    <row r="29" spans="1:11" x14ac:dyDescent="0.25">
      <c r="A29" s="57">
        <f>'A) Base RI'!A28</f>
        <v>5427</v>
      </c>
      <c r="B29" s="40" t="str">
        <f>'A) Base RI'!B28</f>
        <v>Féchy</v>
      </c>
      <c r="C29" s="19">
        <f>'A) Base RI'!U28</f>
        <v>887</v>
      </c>
      <c r="D29" s="14">
        <f t="shared" si="1"/>
        <v>887</v>
      </c>
      <c r="E29" s="19">
        <f t="shared" si="1"/>
        <v>0</v>
      </c>
      <c r="F29" s="14">
        <f t="shared" si="1"/>
        <v>0</v>
      </c>
      <c r="G29" s="19">
        <f t="shared" si="1"/>
        <v>0</v>
      </c>
      <c r="H29" s="49">
        <f t="shared" si="1"/>
        <v>0</v>
      </c>
      <c r="I29" s="14">
        <f t="shared" si="1"/>
        <v>0</v>
      </c>
      <c r="J29" s="14">
        <f t="shared" si="2"/>
        <v>0</v>
      </c>
      <c r="K29" s="130">
        <f t="shared" si="3"/>
        <v>87450.704225352107</v>
      </c>
    </row>
    <row r="30" spans="1:11" x14ac:dyDescent="0.25">
      <c r="A30" s="57">
        <f>'A) Base RI'!A29</f>
        <v>5428</v>
      </c>
      <c r="B30" s="40" t="str">
        <f>'A) Base RI'!B29</f>
        <v>Gimel</v>
      </c>
      <c r="C30" s="19">
        <f>'A) Base RI'!U29</f>
        <v>1948</v>
      </c>
      <c r="D30" s="14">
        <f t="shared" si="1"/>
        <v>1000</v>
      </c>
      <c r="E30" s="19">
        <f t="shared" si="1"/>
        <v>948</v>
      </c>
      <c r="F30" s="14">
        <f t="shared" si="1"/>
        <v>0</v>
      </c>
      <c r="G30" s="19">
        <f t="shared" si="1"/>
        <v>0</v>
      </c>
      <c r="H30" s="49">
        <f t="shared" si="1"/>
        <v>0</v>
      </c>
      <c r="I30" s="14">
        <f t="shared" si="1"/>
        <v>0</v>
      </c>
      <c r="J30" s="14">
        <f t="shared" si="2"/>
        <v>0</v>
      </c>
      <c r="K30" s="130">
        <f t="shared" si="3"/>
        <v>425718.30985915492</v>
      </c>
    </row>
    <row r="31" spans="1:11" x14ac:dyDescent="0.25">
      <c r="A31" s="57">
        <f>'A) Base RI'!A30</f>
        <v>5429</v>
      </c>
      <c r="B31" s="40" t="str">
        <f>'A) Base RI'!B30</f>
        <v>Longirod</v>
      </c>
      <c r="C31" s="19">
        <f>'A) Base RI'!U30</f>
        <v>460</v>
      </c>
      <c r="D31" s="14">
        <f t="shared" si="1"/>
        <v>460</v>
      </c>
      <c r="E31" s="19">
        <f t="shared" si="1"/>
        <v>0</v>
      </c>
      <c r="F31" s="14">
        <f t="shared" si="1"/>
        <v>0</v>
      </c>
      <c r="G31" s="19">
        <f t="shared" si="1"/>
        <v>0</v>
      </c>
      <c r="H31" s="49">
        <f t="shared" si="1"/>
        <v>0</v>
      </c>
      <c r="I31" s="14">
        <f t="shared" si="1"/>
        <v>0</v>
      </c>
      <c r="J31" s="14">
        <f t="shared" si="2"/>
        <v>0</v>
      </c>
      <c r="K31" s="130">
        <f t="shared" si="3"/>
        <v>45352.112676056335</v>
      </c>
    </row>
    <row r="32" spans="1:11" x14ac:dyDescent="0.25">
      <c r="A32" s="57">
        <f>'A) Base RI'!A31</f>
        <v>5430</v>
      </c>
      <c r="B32" s="40" t="str">
        <f>'A) Base RI'!B31</f>
        <v>Marchissy</v>
      </c>
      <c r="C32" s="19">
        <f>'A) Base RI'!U31</f>
        <v>430</v>
      </c>
      <c r="D32" s="14">
        <f t="shared" si="1"/>
        <v>430</v>
      </c>
      <c r="E32" s="19">
        <f t="shared" si="1"/>
        <v>0</v>
      </c>
      <c r="F32" s="14">
        <f t="shared" si="1"/>
        <v>0</v>
      </c>
      <c r="G32" s="19">
        <f t="shared" si="1"/>
        <v>0</v>
      </c>
      <c r="H32" s="49">
        <f t="shared" si="1"/>
        <v>0</v>
      </c>
      <c r="I32" s="14">
        <f t="shared" si="1"/>
        <v>0</v>
      </c>
      <c r="J32" s="14">
        <f t="shared" si="2"/>
        <v>0</v>
      </c>
      <c r="K32" s="130">
        <f t="shared" si="3"/>
        <v>42394.366197183095</v>
      </c>
    </row>
    <row r="33" spans="1:11" x14ac:dyDescent="0.25">
      <c r="A33" s="57">
        <f>'A) Base RI'!A32</f>
        <v>5431</v>
      </c>
      <c r="B33" s="40" t="str">
        <f>'A) Base RI'!B32</f>
        <v>Mollens</v>
      </c>
      <c r="C33" s="19">
        <f>'A) Base RI'!U32</f>
        <v>295</v>
      </c>
      <c r="D33" s="14">
        <f t="shared" si="1"/>
        <v>295</v>
      </c>
      <c r="E33" s="19">
        <f t="shared" si="1"/>
        <v>0</v>
      </c>
      <c r="F33" s="14">
        <f t="shared" si="1"/>
        <v>0</v>
      </c>
      <c r="G33" s="19">
        <f t="shared" si="1"/>
        <v>0</v>
      </c>
      <c r="H33" s="49">
        <f t="shared" si="1"/>
        <v>0</v>
      </c>
      <c r="I33" s="14">
        <f t="shared" si="1"/>
        <v>0</v>
      </c>
      <c r="J33" s="14">
        <f t="shared" si="2"/>
        <v>0</v>
      </c>
      <c r="K33" s="130">
        <f t="shared" si="3"/>
        <v>29084.507042253517</v>
      </c>
    </row>
    <row r="34" spans="1:11" x14ac:dyDescent="0.25">
      <c r="A34" s="57">
        <f>'A) Base RI'!A33</f>
        <v>5432</v>
      </c>
      <c r="B34" s="40" t="str">
        <f>'A) Base RI'!B33</f>
        <v>Montherod</v>
      </c>
      <c r="C34" s="19">
        <f>'A) Base RI'!U33</f>
        <v>522</v>
      </c>
      <c r="D34" s="14">
        <f t="shared" si="1"/>
        <v>522</v>
      </c>
      <c r="E34" s="19">
        <f t="shared" si="1"/>
        <v>0</v>
      </c>
      <c r="F34" s="14">
        <f t="shared" si="1"/>
        <v>0</v>
      </c>
      <c r="G34" s="19">
        <f t="shared" si="1"/>
        <v>0</v>
      </c>
      <c r="H34" s="49">
        <f t="shared" si="1"/>
        <v>0</v>
      </c>
      <c r="I34" s="14">
        <f t="shared" si="1"/>
        <v>0</v>
      </c>
      <c r="J34" s="14">
        <f t="shared" si="2"/>
        <v>0</v>
      </c>
      <c r="K34" s="130">
        <f t="shared" si="3"/>
        <v>51464.788732394365</v>
      </c>
    </row>
    <row r="35" spans="1:11" x14ac:dyDescent="0.25">
      <c r="A35" s="57">
        <f>'A) Base RI'!A34</f>
        <v>5434</v>
      </c>
      <c r="B35" s="40" t="str">
        <f>'A) Base RI'!B34</f>
        <v>Saint-George</v>
      </c>
      <c r="C35" s="19">
        <f>'A) Base RI'!U34</f>
        <v>991</v>
      </c>
      <c r="D35" s="14">
        <f t="shared" si="1"/>
        <v>991</v>
      </c>
      <c r="E35" s="19">
        <f t="shared" si="1"/>
        <v>0</v>
      </c>
      <c r="F35" s="14">
        <f t="shared" si="1"/>
        <v>0</v>
      </c>
      <c r="G35" s="19">
        <f t="shared" si="1"/>
        <v>0</v>
      </c>
      <c r="H35" s="49">
        <f t="shared" si="1"/>
        <v>0</v>
      </c>
      <c r="I35" s="14">
        <f t="shared" si="1"/>
        <v>0</v>
      </c>
      <c r="J35" s="14">
        <f t="shared" si="2"/>
        <v>0</v>
      </c>
      <c r="K35" s="130">
        <f t="shared" si="3"/>
        <v>97704.225352112669</v>
      </c>
    </row>
    <row r="36" spans="1:11" x14ac:dyDescent="0.25">
      <c r="A36" s="57">
        <f>'A) Base RI'!A35</f>
        <v>5435</v>
      </c>
      <c r="B36" s="40" t="str">
        <f>'A) Base RI'!B35</f>
        <v>Saint-Livres</v>
      </c>
      <c r="C36" s="19">
        <f>'A) Base RI'!U35</f>
        <v>689</v>
      </c>
      <c r="D36" s="14">
        <f t="shared" si="1"/>
        <v>689</v>
      </c>
      <c r="E36" s="19">
        <f t="shared" si="1"/>
        <v>0</v>
      </c>
      <c r="F36" s="14">
        <f t="shared" si="1"/>
        <v>0</v>
      </c>
      <c r="G36" s="19">
        <f t="shared" si="1"/>
        <v>0</v>
      </c>
      <c r="H36" s="49">
        <f t="shared" si="1"/>
        <v>0</v>
      </c>
      <c r="I36" s="14">
        <f t="shared" si="1"/>
        <v>0</v>
      </c>
      <c r="J36" s="14">
        <f t="shared" si="2"/>
        <v>0</v>
      </c>
      <c r="K36" s="130">
        <f t="shared" si="3"/>
        <v>67929.57746478873</v>
      </c>
    </row>
    <row r="37" spans="1:11" x14ac:dyDescent="0.25">
      <c r="A37" s="57">
        <f>'A) Base RI'!A36</f>
        <v>5436</v>
      </c>
      <c r="B37" s="40" t="str">
        <f>'A) Base RI'!B36</f>
        <v>Saint-Oyens</v>
      </c>
      <c r="C37" s="19">
        <f>'A) Base RI'!U36</f>
        <v>350</v>
      </c>
      <c r="D37" s="14">
        <f t="shared" si="1"/>
        <v>350</v>
      </c>
      <c r="E37" s="19">
        <f t="shared" si="1"/>
        <v>0</v>
      </c>
      <c r="F37" s="14">
        <f t="shared" si="1"/>
        <v>0</v>
      </c>
      <c r="G37" s="19">
        <f t="shared" si="1"/>
        <v>0</v>
      </c>
      <c r="H37" s="49">
        <f t="shared" si="1"/>
        <v>0</v>
      </c>
      <c r="I37" s="14">
        <f t="shared" si="1"/>
        <v>0</v>
      </c>
      <c r="J37" s="14">
        <f t="shared" si="2"/>
        <v>0</v>
      </c>
      <c r="K37" s="130">
        <f t="shared" si="3"/>
        <v>34507.042253521126</v>
      </c>
    </row>
    <row r="38" spans="1:11" x14ac:dyDescent="0.25">
      <c r="A38" s="57">
        <f>'A) Base RI'!A37</f>
        <v>5437</v>
      </c>
      <c r="B38" s="40" t="str">
        <f>'A) Base RI'!B37</f>
        <v>Saubraz</v>
      </c>
      <c r="C38" s="19">
        <f>'A) Base RI'!U37</f>
        <v>420</v>
      </c>
      <c r="D38" s="14">
        <f t="shared" si="1"/>
        <v>420</v>
      </c>
      <c r="E38" s="19">
        <f t="shared" si="1"/>
        <v>0</v>
      </c>
      <c r="F38" s="14">
        <f t="shared" si="1"/>
        <v>0</v>
      </c>
      <c r="G38" s="19">
        <f t="shared" si="1"/>
        <v>0</v>
      </c>
      <c r="H38" s="49">
        <f t="shared" si="1"/>
        <v>0</v>
      </c>
      <c r="I38" s="14">
        <f t="shared" si="1"/>
        <v>0</v>
      </c>
      <c r="J38" s="14">
        <f t="shared" si="2"/>
        <v>0</v>
      </c>
      <c r="K38" s="130">
        <f t="shared" si="3"/>
        <v>41408.450704225346</v>
      </c>
    </row>
    <row r="39" spans="1:11" x14ac:dyDescent="0.25">
      <c r="A39" s="57">
        <f>'A) Base RI'!A38</f>
        <v>5451</v>
      </c>
      <c r="B39" s="40" t="str">
        <f>'A) Base RI'!B38</f>
        <v>Avenches</v>
      </c>
      <c r="C39" s="19">
        <f>'A) Base RI'!U38</f>
        <v>4129</v>
      </c>
      <c r="D39" s="14">
        <f t="shared" si="1"/>
        <v>1000</v>
      </c>
      <c r="E39" s="19">
        <f t="shared" si="1"/>
        <v>2000</v>
      </c>
      <c r="F39" s="14">
        <f t="shared" si="1"/>
        <v>1129</v>
      </c>
      <c r="G39" s="19">
        <f t="shared" si="1"/>
        <v>0</v>
      </c>
      <c r="H39" s="49">
        <f t="shared" si="1"/>
        <v>0</v>
      </c>
      <c r="I39" s="14">
        <f t="shared" si="1"/>
        <v>0</v>
      </c>
      <c r="J39" s="14">
        <f t="shared" si="2"/>
        <v>0</v>
      </c>
      <c r="K39" s="130">
        <f t="shared" si="3"/>
        <v>1345281.690140845</v>
      </c>
    </row>
    <row r="40" spans="1:11" x14ac:dyDescent="0.25">
      <c r="A40" s="57">
        <f>'A) Base RI'!A39</f>
        <v>5456</v>
      </c>
      <c r="B40" s="40" t="str">
        <f>'A) Base RI'!B39</f>
        <v>Cudrefin</v>
      </c>
      <c r="C40" s="19">
        <f>'A) Base RI'!U39</f>
        <v>1555</v>
      </c>
      <c r="D40" s="14">
        <f t="shared" si="1"/>
        <v>1000</v>
      </c>
      <c r="E40" s="19">
        <f t="shared" si="1"/>
        <v>555</v>
      </c>
      <c r="F40" s="14">
        <f t="shared" si="1"/>
        <v>0</v>
      </c>
      <c r="G40" s="19">
        <f t="shared" si="1"/>
        <v>0</v>
      </c>
      <c r="H40" s="49">
        <f t="shared" si="1"/>
        <v>0</v>
      </c>
      <c r="I40" s="14">
        <f t="shared" si="1"/>
        <v>0</v>
      </c>
      <c r="J40" s="14">
        <f t="shared" si="2"/>
        <v>0</v>
      </c>
      <c r="K40" s="130">
        <f t="shared" si="3"/>
        <v>290105.63380281691</v>
      </c>
    </row>
    <row r="41" spans="1:11" x14ac:dyDescent="0.25">
      <c r="A41" s="57">
        <f>'A) Base RI'!A40</f>
        <v>5458</v>
      </c>
      <c r="B41" s="40" t="str">
        <f>'A) Base RI'!B40</f>
        <v>Faoug</v>
      </c>
      <c r="C41" s="19">
        <f>'A) Base RI'!U40</f>
        <v>870</v>
      </c>
      <c r="D41" s="14">
        <f t="shared" si="1"/>
        <v>870</v>
      </c>
      <c r="E41" s="19">
        <f t="shared" si="1"/>
        <v>0</v>
      </c>
      <c r="F41" s="14">
        <f t="shared" si="1"/>
        <v>0</v>
      </c>
      <c r="G41" s="19">
        <f t="shared" si="1"/>
        <v>0</v>
      </c>
      <c r="H41" s="49">
        <f t="shared" si="1"/>
        <v>0</v>
      </c>
      <c r="I41" s="14">
        <f t="shared" si="1"/>
        <v>0</v>
      </c>
      <c r="J41" s="14">
        <f t="shared" si="2"/>
        <v>0</v>
      </c>
      <c r="K41" s="130">
        <f t="shared" si="3"/>
        <v>85774.647887323939</v>
      </c>
    </row>
    <row r="42" spans="1:11" x14ac:dyDescent="0.25">
      <c r="A42" s="57">
        <f>'A) Base RI'!A41</f>
        <v>5464</v>
      </c>
      <c r="B42" s="40" t="str">
        <f>'A) Base RI'!B41</f>
        <v>Vully-les-Lacs</v>
      </c>
      <c r="C42" s="19">
        <f>'A) Base RI'!U41</f>
        <v>2935</v>
      </c>
      <c r="D42" s="14">
        <f t="shared" si="1"/>
        <v>1000</v>
      </c>
      <c r="E42" s="19">
        <f t="shared" si="1"/>
        <v>1935</v>
      </c>
      <c r="F42" s="14">
        <f t="shared" si="1"/>
        <v>0</v>
      </c>
      <c r="G42" s="19">
        <f t="shared" si="1"/>
        <v>0</v>
      </c>
      <c r="H42" s="49">
        <f t="shared" si="1"/>
        <v>0</v>
      </c>
      <c r="I42" s="14">
        <f t="shared" si="1"/>
        <v>0</v>
      </c>
      <c r="J42" s="14">
        <f t="shared" si="2"/>
        <v>0</v>
      </c>
      <c r="K42" s="130">
        <f t="shared" si="3"/>
        <v>766302.81690140849</v>
      </c>
    </row>
    <row r="43" spans="1:11" x14ac:dyDescent="0.25">
      <c r="A43" s="57">
        <f>'A) Base RI'!A42</f>
        <v>5471</v>
      </c>
      <c r="B43" s="40" t="str">
        <f>'A) Base RI'!B42</f>
        <v>Bettens</v>
      </c>
      <c r="C43" s="19">
        <f>'A) Base RI'!U42</f>
        <v>584</v>
      </c>
      <c r="D43" s="14">
        <f t="shared" si="1"/>
        <v>584</v>
      </c>
      <c r="E43" s="19">
        <f t="shared" si="1"/>
        <v>0</v>
      </c>
      <c r="F43" s="14">
        <f t="shared" si="1"/>
        <v>0</v>
      </c>
      <c r="G43" s="19">
        <f t="shared" si="1"/>
        <v>0</v>
      </c>
      <c r="H43" s="49">
        <f t="shared" si="1"/>
        <v>0</v>
      </c>
      <c r="I43" s="14">
        <f t="shared" si="1"/>
        <v>0</v>
      </c>
      <c r="J43" s="14">
        <f t="shared" si="2"/>
        <v>0</v>
      </c>
      <c r="K43" s="130">
        <f t="shared" si="3"/>
        <v>57577.464788732388</v>
      </c>
    </row>
    <row r="44" spans="1:11" x14ac:dyDescent="0.25">
      <c r="A44" s="57">
        <f>'A) Base RI'!A43</f>
        <v>5472</v>
      </c>
      <c r="B44" s="40" t="str">
        <f>'A) Base RI'!B43</f>
        <v>Bournens</v>
      </c>
      <c r="C44" s="19">
        <f>'A) Base RI'!U43</f>
        <v>370</v>
      </c>
      <c r="D44" s="14">
        <f t="shared" si="1"/>
        <v>370</v>
      </c>
      <c r="E44" s="19">
        <f t="shared" si="1"/>
        <v>0</v>
      </c>
      <c r="F44" s="14">
        <f t="shared" si="1"/>
        <v>0</v>
      </c>
      <c r="G44" s="19">
        <f t="shared" si="1"/>
        <v>0</v>
      </c>
      <c r="H44" s="49">
        <f t="shared" si="1"/>
        <v>0</v>
      </c>
      <c r="I44" s="14">
        <f t="shared" si="1"/>
        <v>0</v>
      </c>
      <c r="J44" s="14">
        <f t="shared" si="2"/>
        <v>0</v>
      </c>
      <c r="K44" s="130">
        <f t="shared" si="3"/>
        <v>36478.873239436616</v>
      </c>
    </row>
    <row r="45" spans="1:11" x14ac:dyDescent="0.25">
      <c r="A45" s="57">
        <f>'A) Base RI'!A44</f>
        <v>5473</v>
      </c>
      <c r="B45" s="40" t="str">
        <f>'A) Base RI'!B44</f>
        <v>Boussens</v>
      </c>
      <c r="C45" s="19">
        <f>'A) Base RI'!U44</f>
        <v>980</v>
      </c>
      <c r="D45" s="14">
        <f t="shared" si="1"/>
        <v>980</v>
      </c>
      <c r="E45" s="19">
        <f t="shared" si="1"/>
        <v>0</v>
      </c>
      <c r="F45" s="14">
        <f t="shared" si="1"/>
        <v>0</v>
      </c>
      <c r="G45" s="19">
        <f t="shared" si="1"/>
        <v>0</v>
      </c>
      <c r="H45" s="49">
        <f t="shared" si="1"/>
        <v>0</v>
      </c>
      <c r="I45" s="14">
        <f t="shared" si="1"/>
        <v>0</v>
      </c>
      <c r="J45" s="14">
        <f t="shared" si="2"/>
        <v>0</v>
      </c>
      <c r="K45" s="130">
        <f t="shared" si="3"/>
        <v>96619.718309859149</v>
      </c>
    </row>
    <row r="46" spans="1:11" x14ac:dyDescent="0.25">
      <c r="A46" s="57">
        <f>'A) Base RI'!A45</f>
        <v>5474</v>
      </c>
      <c r="B46" s="40" t="str">
        <f>'A) Base RI'!B45</f>
        <v>La Chaux (Cossonay)</v>
      </c>
      <c r="C46" s="19">
        <f>'A) Base RI'!U45</f>
        <v>421</v>
      </c>
      <c r="D46" s="14">
        <f t="shared" si="1"/>
        <v>421</v>
      </c>
      <c r="E46" s="19">
        <f t="shared" si="1"/>
        <v>0</v>
      </c>
      <c r="F46" s="14">
        <f t="shared" si="1"/>
        <v>0</v>
      </c>
      <c r="G46" s="19">
        <f t="shared" si="1"/>
        <v>0</v>
      </c>
      <c r="H46" s="49">
        <f t="shared" si="1"/>
        <v>0</v>
      </c>
      <c r="I46" s="14">
        <f t="shared" si="1"/>
        <v>0</v>
      </c>
      <c r="J46" s="14">
        <f t="shared" si="2"/>
        <v>0</v>
      </c>
      <c r="K46" s="130">
        <f t="shared" si="3"/>
        <v>41507.042253521126</v>
      </c>
    </row>
    <row r="47" spans="1:11" x14ac:dyDescent="0.25">
      <c r="A47" s="57">
        <f>'A) Base RI'!A46</f>
        <v>5475</v>
      </c>
      <c r="B47" s="40" t="str">
        <f>'A) Base RI'!B46</f>
        <v>Chavannes-le-Veyron</v>
      </c>
      <c r="C47" s="19">
        <f>'A) Base RI'!U46</f>
        <v>143</v>
      </c>
      <c r="D47" s="14">
        <f t="shared" si="1"/>
        <v>143</v>
      </c>
      <c r="E47" s="19">
        <f t="shared" si="1"/>
        <v>0</v>
      </c>
      <c r="F47" s="14">
        <f t="shared" si="1"/>
        <v>0</v>
      </c>
      <c r="G47" s="19">
        <f t="shared" si="1"/>
        <v>0</v>
      </c>
      <c r="H47" s="49">
        <f t="shared" si="1"/>
        <v>0</v>
      </c>
      <c r="I47" s="14">
        <f t="shared" si="1"/>
        <v>0</v>
      </c>
      <c r="J47" s="14">
        <f t="shared" si="2"/>
        <v>0</v>
      </c>
      <c r="K47" s="130">
        <f t="shared" si="3"/>
        <v>14098.591549295774</v>
      </c>
    </row>
    <row r="48" spans="1:11" x14ac:dyDescent="0.25">
      <c r="A48" s="57">
        <f>'A) Base RI'!A47</f>
        <v>5476</v>
      </c>
      <c r="B48" s="40" t="str">
        <f>'A) Base RI'!B47</f>
        <v>Chevilly</v>
      </c>
      <c r="C48" s="19">
        <f>'A) Base RI'!U47</f>
        <v>299</v>
      </c>
      <c r="D48" s="14">
        <f t="shared" si="1"/>
        <v>299</v>
      </c>
      <c r="E48" s="19">
        <f t="shared" si="1"/>
        <v>0</v>
      </c>
      <c r="F48" s="14">
        <f t="shared" si="1"/>
        <v>0</v>
      </c>
      <c r="G48" s="19">
        <f t="shared" si="1"/>
        <v>0</v>
      </c>
      <c r="H48" s="49">
        <f t="shared" si="1"/>
        <v>0</v>
      </c>
      <c r="I48" s="14">
        <f t="shared" si="1"/>
        <v>0</v>
      </c>
      <c r="J48" s="14">
        <f t="shared" si="2"/>
        <v>0</v>
      </c>
      <c r="K48" s="130">
        <f t="shared" si="3"/>
        <v>29478.873239436616</v>
      </c>
    </row>
    <row r="49" spans="1:11" x14ac:dyDescent="0.25">
      <c r="A49" s="57">
        <f>'A) Base RI'!A48</f>
        <v>5477</v>
      </c>
      <c r="B49" s="40" t="str">
        <f>'A) Base RI'!B48</f>
        <v>Cossonay</v>
      </c>
      <c r="C49" s="19">
        <f>'A) Base RI'!U48</f>
        <v>3632</v>
      </c>
      <c r="D49" s="14">
        <f t="shared" si="1"/>
        <v>1000</v>
      </c>
      <c r="E49" s="19">
        <f t="shared" si="1"/>
        <v>2000</v>
      </c>
      <c r="F49" s="14">
        <f t="shared" si="1"/>
        <v>632</v>
      </c>
      <c r="G49" s="19">
        <f t="shared" si="1"/>
        <v>0</v>
      </c>
      <c r="H49" s="49">
        <f t="shared" si="1"/>
        <v>0</v>
      </c>
      <c r="I49" s="14">
        <f t="shared" si="1"/>
        <v>0</v>
      </c>
      <c r="J49" s="14">
        <f t="shared" si="2"/>
        <v>0</v>
      </c>
      <c r="K49" s="130">
        <f t="shared" si="3"/>
        <v>1100281.690140845</v>
      </c>
    </row>
    <row r="50" spans="1:11" x14ac:dyDescent="0.25">
      <c r="A50" s="57">
        <f>'A) Base RI'!A49</f>
        <v>5478</v>
      </c>
      <c r="B50" s="40" t="str">
        <f>'A) Base RI'!B49</f>
        <v>Cottens</v>
      </c>
      <c r="C50" s="19">
        <f>'A) Base RI'!U49</f>
        <v>483</v>
      </c>
      <c r="D50" s="14">
        <f t="shared" si="1"/>
        <v>483</v>
      </c>
      <c r="E50" s="19">
        <f t="shared" si="1"/>
        <v>0</v>
      </c>
      <c r="F50" s="14">
        <f t="shared" si="1"/>
        <v>0</v>
      </c>
      <c r="G50" s="19">
        <f t="shared" si="1"/>
        <v>0</v>
      </c>
      <c r="H50" s="49">
        <f t="shared" si="1"/>
        <v>0</v>
      </c>
      <c r="I50" s="14">
        <f t="shared" si="1"/>
        <v>0</v>
      </c>
      <c r="J50" s="14">
        <f t="shared" si="2"/>
        <v>0</v>
      </c>
      <c r="K50" s="130">
        <f t="shared" si="3"/>
        <v>47619.718309859149</v>
      </c>
    </row>
    <row r="51" spans="1:11" x14ac:dyDescent="0.25">
      <c r="A51" s="57">
        <f>'A) Base RI'!A50</f>
        <v>5479</v>
      </c>
      <c r="B51" s="40" t="str">
        <f>'A) Base RI'!B50</f>
        <v>Cuarnens</v>
      </c>
      <c r="C51" s="19">
        <f>'A) Base RI'!U50</f>
        <v>481</v>
      </c>
      <c r="D51" s="14">
        <f t="shared" si="1"/>
        <v>481</v>
      </c>
      <c r="E51" s="19">
        <f t="shared" si="1"/>
        <v>0</v>
      </c>
      <c r="F51" s="14">
        <f t="shared" si="1"/>
        <v>0</v>
      </c>
      <c r="G51" s="19">
        <f t="shared" si="1"/>
        <v>0</v>
      </c>
      <c r="H51" s="49">
        <f t="shared" si="1"/>
        <v>0</v>
      </c>
      <c r="I51" s="14">
        <f t="shared" si="1"/>
        <v>0</v>
      </c>
      <c r="J51" s="14">
        <f t="shared" si="2"/>
        <v>0</v>
      </c>
      <c r="K51" s="130">
        <f t="shared" si="3"/>
        <v>47422.535211267605</v>
      </c>
    </row>
    <row r="52" spans="1:11" x14ac:dyDescent="0.25">
      <c r="A52" s="57">
        <f>'A) Base RI'!A51</f>
        <v>5480</v>
      </c>
      <c r="B52" s="40" t="str">
        <f>'A) Base RI'!B51</f>
        <v>Daillens</v>
      </c>
      <c r="C52" s="19">
        <f>'A) Base RI'!U51</f>
        <v>958</v>
      </c>
      <c r="D52" s="14">
        <f t="shared" si="1"/>
        <v>958</v>
      </c>
      <c r="E52" s="19">
        <f t="shared" si="1"/>
        <v>0</v>
      </c>
      <c r="F52" s="14">
        <f t="shared" si="1"/>
        <v>0</v>
      </c>
      <c r="G52" s="19">
        <f t="shared" si="1"/>
        <v>0</v>
      </c>
      <c r="H52" s="49">
        <f t="shared" si="1"/>
        <v>0</v>
      </c>
      <c r="I52" s="14">
        <f t="shared" si="1"/>
        <v>0</v>
      </c>
      <c r="J52" s="14">
        <f t="shared" si="2"/>
        <v>0</v>
      </c>
      <c r="K52" s="130">
        <f t="shared" si="3"/>
        <v>94450.704225352107</v>
      </c>
    </row>
    <row r="53" spans="1:11" x14ac:dyDescent="0.25">
      <c r="A53" s="57">
        <f>'A) Base RI'!A52</f>
        <v>5481</v>
      </c>
      <c r="B53" s="40" t="str">
        <f>'A) Base RI'!B52</f>
        <v>Dizy</v>
      </c>
      <c r="C53" s="19">
        <f>'A) Base RI'!U52</f>
        <v>222</v>
      </c>
      <c r="D53" s="14">
        <f t="shared" si="1"/>
        <v>222</v>
      </c>
      <c r="E53" s="19">
        <f t="shared" si="1"/>
        <v>0</v>
      </c>
      <c r="F53" s="14">
        <f t="shared" si="1"/>
        <v>0</v>
      </c>
      <c r="G53" s="19">
        <f t="shared" si="1"/>
        <v>0</v>
      </c>
      <c r="H53" s="49">
        <f t="shared" si="1"/>
        <v>0</v>
      </c>
      <c r="I53" s="14">
        <f t="shared" si="1"/>
        <v>0</v>
      </c>
      <c r="J53" s="14">
        <f t="shared" si="2"/>
        <v>0</v>
      </c>
      <c r="K53" s="130">
        <f t="shared" si="3"/>
        <v>21887.32394366197</v>
      </c>
    </row>
    <row r="54" spans="1:11" x14ac:dyDescent="0.25">
      <c r="A54" s="57">
        <f>'A) Base RI'!A53</f>
        <v>5482</v>
      </c>
      <c r="B54" s="40" t="str">
        <f>'A) Base RI'!B53</f>
        <v>Eclépens</v>
      </c>
      <c r="C54" s="19">
        <f>'A) Base RI'!U53</f>
        <v>1043</v>
      </c>
      <c r="D54" s="14">
        <f t="shared" si="1"/>
        <v>1000</v>
      </c>
      <c r="E54" s="19">
        <f t="shared" si="1"/>
        <v>43</v>
      </c>
      <c r="F54" s="14">
        <f t="shared" si="1"/>
        <v>0</v>
      </c>
      <c r="G54" s="19">
        <f t="shared" si="1"/>
        <v>0</v>
      </c>
      <c r="H54" s="49">
        <f t="shared" si="1"/>
        <v>0</v>
      </c>
      <c r="I54" s="14">
        <f t="shared" si="1"/>
        <v>0</v>
      </c>
      <c r="J54" s="14">
        <f t="shared" si="2"/>
        <v>0</v>
      </c>
      <c r="K54" s="130">
        <f t="shared" si="3"/>
        <v>113429.57746478873</v>
      </c>
    </row>
    <row r="55" spans="1:11" x14ac:dyDescent="0.25">
      <c r="A55" s="57">
        <f>'A) Base RI'!A54</f>
        <v>5483</v>
      </c>
      <c r="B55" s="40" t="str">
        <f>'A) Base RI'!B54</f>
        <v>Ferreyres</v>
      </c>
      <c r="C55" s="19">
        <f>'A) Base RI'!U54</f>
        <v>316</v>
      </c>
      <c r="D55" s="14">
        <f t="shared" si="1"/>
        <v>316</v>
      </c>
      <c r="E55" s="19">
        <f t="shared" si="1"/>
        <v>0</v>
      </c>
      <c r="F55" s="14">
        <f t="shared" si="1"/>
        <v>0</v>
      </c>
      <c r="G55" s="19">
        <f t="shared" si="1"/>
        <v>0</v>
      </c>
      <c r="H55" s="49">
        <f t="shared" si="1"/>
        <v>0</v>
      </c>
      <c r="I55" s="14">
        <f t="shared" si="1"/>
        <v>0</v>
      </c>
      <c r="J55" s="14">
        <f t="shared" si="2"/>
        <v>0</v>
      </c>
      <c r="K55" s="130">
        <f t="shared" si="3"/>
        <v>31154.929577464787</v>
      </c>
    </row>
    <row r="56" spans="1:11" x14ac:dyDescent="0.25">
      <c r="A56" s="57">
        <f>'A) Base RI'!A55</f>
        <v>5484</v>
      </c>
      <c r="B56" s="40" t="str">
        <f>'A) Base RI'!B55</f>
        <v>Gollion</v>
      </c>
      <c r="C56" s="19">
        <f>'A) Base RI'!U55</f>
        <v>902</v>
      </c>
      <c r="D56" s="14">
        <f t="shared" si="1"/>
        <v>902</v>
      </c>
      <c r="E56" s="19">
        <f t="shared" si="1"/>
        <v>0</v>
      </c>
      <c r="F56" s="14">
        <f t="shared" si="1"/>
        <v>0</v>
      </c>
      <c r="G56" s="19">
        <f t="shared" si="1"/>
        <v>0</v>
      </c>
      <c r="H56" s="49">
        <f t="shared" si="1"/>
        <v>0</v>
      </c>
      <c r="I56" s="14">
        <f t="shared" si="1"/>
        <v>0</v>
      </c>
      <c r="J56" s="14">
        <f t="shared" si="2"/>
        <v>0</v>
      </c>
      <c r="K56" s="130">
        <f t="shared" si="3"/>
        <v>88929.57746478873</v>
      </c>
    </row>
    <row r="57" spans="1:11" x14ac:dyDescent="0.25">
      <c r="A57" s="57">
        <f>'A) Base RI'!A56</f>
        <v>5485</v>
      </c>
      <c r="B57" s="40" t="str">
        <f>'A) Base RI'!B56</f>
        <v>Grancy</v>
      </c>
      <c r="C57" s="19">
        <f>'A) Base RI'!U56</f>
        <v>408</v>
      </c>
      <c r="D57" s="14">
        <f t="shared" si="1"/>
        <v>408</v>
      </c>
      <c r="E57" s="19">
        <f t="shared" si="1"/>
        <v>0</v>
      </c>
      <c r="F57" s="14">
        <f t="shared" si="1"/>
        <v>0</v>
      </c>
      <c r="G57" s="19">
        <f t="shared" si="1"/>
        <v>0</v>
      </c>
      <c r="H57" s="49">
        <f t="shared" si="1"/>
        <v>0</v>
      </c>
      <c r="I57" s="14">
        <f t="shared" si="1"/>
        <v>0</v>
      </c>
      <c r="J57" s="14">
        <f t="shared" si="2"/>
        <v>0</v>
      </c>
      <c r="K57" s="130">
        <f t="shared" si="3"/>
        <v>40225.352112676053</v>
      </c>
    </row>
    <row r="58" spans="1:11" x14ac:dyDescent="0.25">
      <c r="A58" s="57">
        <f>'A) Base RI'!A57</f>
        <v>5486</v>
      </c>
      <c r="B58" s="40" t="str">
        <f>'A) Base RI'!B57</f>
        <v>L'Isle</v>
      </c>
      <c r="C58" s="19">
        <f>'A) Base RI'!U57</f>
        <v>1033</v>
      </c>
      <c r="D58" s="14">
        <f t="shared" si="1"/>
        <v>1000</v>
      </c>
      <c r="E58" s="19">
        <f t="shared" si="1"/>
        <v>33</v>
      </c>
      <c r="F58" s="14">
        <f t="shared" si="1"/>
        <v>0</v>
      </c>
      <c r="G58" s="19">
        <f t="shared" si="1"/>
        <v>0</v>
      </c>
      <c r="H58" s="49">
        <f t="shared" si="1"/>
        <v>0</v>
      </c>
      <c r="I58" s="14">
        <f t="shared" si="1"/>
        <v>0</v>
      </c>
      <c r="J58" s="14">
        <f t="shared" si="2"/>
        <v>0</v>
      </c>
      <c r="K58" s="130">
        <f t="shared" si="3"/>
        <v>109978.87323943662</v>
      </c>
    </row>
    <row r="59" spans="1:11" x14ac:dyDescent="0.25">
      <c r="A59" s="57">
        <f>'A) Base RI'!A58</f>
        <v>5487</v>
      </c>
      <c r="B59" s="40" t="str">
        <f>'A) Base RI'!B58</f>
        <v>Lussery-Villars</v>
      </c>
      <c r="C59" s="19">
        <f>'A) Base RI'!U58</f>
        <v>462</v>
      </c>
      <c r="D59" s="14">
        <f t="shared" si="1"/>
        <v>462</v>
      </c>
      <c r="E59" s="19">
        <f t="shared" si="1"/>
        <v>0</v>
      </c>
      <c r="F59" s="14">
        <f t="shared" si="1"/>
        <v>0</v>
      </c>
      <c r="G59" s="19">
        <f t="shared" si="1"/>
        <v>0</v>
      </c>
      <c r="H59" s="49">
        <f t="shared" si="1"/>
        <v>0</v>
      </c>
      <c r="I59" s="14">
        <f t="shared" si="1"/>
        <v>0</v>
      </c>
      <c r="J59" s="14">
        <f t="shared" si="2"/>
        <v>0</v>
      </c>
      <c r="K59" s="130">
        <f t="shared" si="3"/>
        <v>45549.295774647886</v>
      </c>
    </row>
    <row r="60" spans="1:11" x14ac:dyDescent="0.25">
      <c r="A60" s="57">
        <f>'A) Base RI'!A59</f>
        <v>5488</v>
      </c>
      <c r="B60" s="40" t="str">
        <f>'A) Base RI'!B59</f>
        <v>Mauraz</v>
      </c>
      <c r="C60" s="19">
        <f>'A) Base RI'!U59</f>
        <v>53</v>
      </c>
      <c r="D60" s="14">
        <f t="shared" si="1"/>
        <v>53</v>
      </c>
      <c r="E60" s="19">
        <f t="shared" si="1"/>
        <v>0</v>
      </c>
      <c r="F60" s="14">
        <f t="shared" si="1"/>
        <v>0</v>
      </c>
      <c r="G60" s="19">
        <f t="shared" si="1"/>
        <v>0</v>
      </c>
      <c r="H60" s="49">
        <f t="shared" si="1"/>
        <v>0</v>
      </c>
      <c r="I60" s="14">
        <f t="shared" si="1"/>
        <v>0</v>
      </c>
      <c r="J60" s="14">
        <f t="shared" si="2"/>
        <v>0</v>
      </c>
      <c r="K60" s="130">
        <f t="shared" si="3"/>
        <v>5225.3521126760561</v>
      </c>
    </row>
    <row r="61" spans="1:11" x14ac:dyDescent="0.25">
      <c r="A61" s="57">
        <f>'A) Base RI'!A60</f>
        <v>5489</v>
      </c>
      <c r="B61" s="40" t="str">
        <f>'A) Base RI'!B60</f>
        <v>Mex</v>
      </c>
      <c r="C61" s="19">
        <f>'A) Base RI'!U60</f>
        <v>710</v>
      </c>
      <c r="D61" s="14">
        <f t="shared" si="1"/>
        <v>710</v>
      </c>
      <c r="E61" s="19">
        <f t="shared" si="1"/>
        <v>0</v>
      </c>
      <c r="F61" s="14">
        <f t="shared" si="1"/>
        <v>0</v>
      </c>
      <c r="G61" s="19">
        <f t="shared" si="1"/>
        <v>0</v>
      </c>
      <c r="H61" s="49">
        <f t="shared" si="1"/>
        <v>0</v>
      </c>
      <c r="I61" s="14">
        <f t="shared" si="1"/>
        <v>0</v>
      </c>
      <c r="J61" s="14">
        <f t="shared" si="2"/>
        <v>0</v>
      </c>
      <c r="K61" s="130">
        <f t="shared" si="3"/>
        <v>70000</v>
      </c>
    </row>
    <row r="62" spans="1:11" x14ac:dyDescent="0.25">
      <c r="A62" s="57">
        <f>'A) Base RI'!A61</f>
        <v>5490</v>
      </c>
      <c r="B62" s="40" t="str">
        <f>'A) Base RI'!B61</f>
        <v>Moiry</v>
      </c>
      <c r="C62" s="19">
        <f>'A) Base RI'!U61</f>
        <v>304</v>
      </c>
      <c r="D62" s="14">
        <f t="shared" si="1"/>
        <v>304</v>
      </c>
      <c r="E62" s="19">
        <f t="shared" si="1"/>
        <v>0</v>
      </c>
      <c r="F62" s="14">
        <f t="shared" si="1"/>
        <v>0</v>
      </c>
      <c r="G62" s="19">
        <f t="shared" si="1"/>
        <v>0</v>
      </c>
      <c r="H62" s="49">
        <f t="shared" si="1"/>
        <v>0</v>
      </c>
      <c r="I62" s="14">
        <f t="shared" si="1"/>
        <v>0</v>
      </c>
      <c r="J62" s="14">
        <f t="shared" si="2"/>
        <v>0</v>
      </c>
      <c r="K62" s="130">
        <f t="shared" si="3"/>
        <v>29971.830985915491</v>
      </c>
    </row>
    <row r="63" spans="1:11" x14ac:dyDescent="0.25">
      <c r="A63" s="57">
        <f>'A) Base RI'!A62</f>
        <v>5491</v>
      </c>
      <c r="B63" s="40" t="str">
        <f>'A) Base RI'!B62</f>
        <v>Mont-la-Ville</v>
      </c>
      <c r="C63" s="19">
        <f>'A) Base RI'!U62</f>
        <v>402</v>
      </c>
      <c r="D63" s="14">
        <f t="shared" si="1"/>
        <v>402</v>
      </c>
      <c r="E63" s="19">
        <f t="shared" si="1"/>
        <v>0</v>
      </c>
      <c r="F63" s="14">
        <f t="shared" si="1"/>
        <v>0</v>
      </c>
      <c r="G63" s="19">
        <f t="shared" si="1"/>
        <v>0</v>
      </c>
      <c r="H63" s="49">
        <f t="shared" si="1"/>
        <v>0</v>
      </c>
      <c r="I63" s="14">
        <f t="shared" si="1"/>
        <v>0</v>
      </c>
      <c r="J63" s="14">
        <f t="shared" si="2"/>
        <v>0</v>
      </c>
      <c r="K63" s="130">
        <f t="shared" si="3"/>
        <v>39633.802816901407</v>
      </c>
    </row>
    <row r="64" spans="1:11" x14ac:dyDescent="0.25">
      <c r="A64" s="57">
        <f>'A) Base RI'!A63</f>
        <v>5492</v>
      </c>
      <c r="B64" s="40" t="str">
        <f>'A) Base RI'!B63</f>
        <v>Montricher</v>
      </c>
      <c r="C64" s="19">
        <f>'A) Base RI'!U63</f>
        <v>951</v>
      </c>
      <c r="D64" s="14">
        <f t="shared" ref="D64:I106" si="4">IF($C64&gt;D$4,IF($C64&lt;D$5,$C64-D$4,D$5-D$4),0)</f>
        <v>951</v>
      </c>
      <c r="E64" s="19">
        <f t="shared" si="4"/>
        <v>0</v>
      </c>
      <c r="F64" s="14">
        <f t="shared" si="4"/>
        <v>0</v>
      </c>
      <c r="G64" s="19">
        <f t="shared" si="4"/>
        <v>0</v>
      </c>
      <c r="H64" s="49">
        <f t="shared" si="4"/>
        <v>0</v>
      </c>
      <c r="I64" s="14">
        <f t="shared" si="4"/>
        <v>0</v>
      </c>
      <c r="J64" s="14">
        <f t="shared" si="2"/>
        <v>0</v>
      </c>
      <c r="K64" s="130">
        <f t="shared" si="3"/>
        <v>93760.563380281688</v>
      </c>
    </row>
    <row r="65" spans="1:11" x14ac:dyDescent="0.25">
      <c r="A65" s="57">
        <f>'A) Base RI'!A64</f>
        <v>5493</v>
      </c>
      <c r="B65" s="40" t="str">
        <f>'A) Base RI'!B64</f>
        <v>Orny</v>
      </c>
      <c r="C65" s="19">
        <f>'A) Base RI'!U64</f>
        <v>371</v>
      </c>
      <c r="D65" s="14">
        <f t="shared" si="4"/>
        <v>371</v>
      </c>
      <c r="E65" s="19">
        <f t="shared" si="4"/>
        <v>0</v>
      </c>
      <c r="F65" s="14">
        <f t="shared" si="4"/>
        <v>0</v>
      </c>
      <c r="G65" s="19">
        <f t="shared" si="4"/>
        <v>0</v>
      </c>
      <c r="H65" s="49">
        <f t="shared" si="4"/>
        <v>0</v>
      </c>
      <c r="I65" s="14">
        <f t="shared" si="4"/>
        <v>0</v>
      </c>
      <c r="J65" s="14">
        <f t="shared" si="2"/>
        <v>0</v>
      </c>
      <c r="K65" s="130">
        <f t="shared" si="3"/>
        <v>36577.464788732395</v>
      </c>
    </row>
    <row r="66" spans="1:11" x14ac:dyDescent="0.25">
      <c r="A66" s="57">
        <f>'A) Base RI'!A65</f>
        <v>5494</v>
      </c>
      <c r="B66" s="40" t="str">
        <f>'A) Base RI'!B65</f>
        <v>Pampigny</v>
      </c>
      <c r="C66" s="19">
        <f>'A) Base RI'!U65</f>
        <v>1116</v>
      </c>
      <c r="D66" s="14">
        <f t="shared" si="4"/>
        <v>1000</v>
      </c>
      <c r="E66" s="19">
        <f t="shared" si="4"/>
        <v>116</v>
      </c>
      <c r="F66" s="14">
        <f t="shared" si="4"/>
        <v>0</v>
      </c>
      <c r="G66" s="19">
        <f t="shared" si="4"/>
        <v>0</v>
      </c>
      <c r="H66" s="49">
        <f t="shared" si="4"/>
        <v>0</v>
      </c>
      <c r="I66" s="14">
        <f t="shared" si="4"/>
        <v>0</v>
      </c>
      <c r="J66" s="14">
        <f t="shared" si="2"/>
        <v>0</v>
      </c>
      <c r="K66" s="130">
        <f t="shared" si="3"/>
        <v>138619.71830985916</v>
      </c>
    </row>
    <row r="67" spans="1:11" x14ac:dyDescent="0.25">
      <c r="A67" s="57">
        <f>'A) Base RI'!A66</f>
        <v>5495</v>
      </c>
      <c r="B67" s="40" t="str">
        <f>'A) Base RI'!B66</f>
        <v>Penthalaz</v>
      </c>
      <c r="C67" s="19">
        <f>'A) Base RI'!U66</f>
        <v>3252</v>
      </c>
      <c r="D67" s="14">
        <f t="shared" si="4"/>
        <v>1000</v>
      </c>
      <c r="E67" s="19">
        <f t="shared" si="4"/>
        <v>2000</v>
      </c>
      <c r="F67" s="14">
        <f t="shared" si="4"/>
        <v>252</v>
      </c>
      <c r="G67" s="19">
        <f t="shared" si="4"/>
        <v>0</v>
      </c>
      <c r="H67" s="49">
        <f t="shared" si="4"/>
        <v>0</v>
      </c>
      <c r="I67" s="14">
        <f t="shared" si="4"/>
        <v>0</v>
      </c>
      <c r="J67" s="14">
        <f t="shared" si="2"/>
        <v>0</v>
      </c>
      <c r="K67" s="130">
        <f t="shared" si="3"/>
        <v>912957.74647887319</v>
      </c>
    </row>
    <row r="68" spans="1:11" x14ac:dyDescent="0.25">
      <c r="A68" s="57">
        <f>'A) Base RI'!A67</f>
        <v>5496</v>
      </c>
      <c r="B68" s="40" t="str">
        <f>'A) Base RI'!B67</f>
        <v>Penthaz</v>
      </c>
      <c r="C68" s="19">
        <f>'A) Base RI'!U67</f>
        <v>1703</v>
      </c>
      <c r="D68" s="14">
        <f t="shared" si="4"/>
        <v>1000</v>
      </c>
      <c r="E68" s="19">
        <f t="shared" si="4"/>
        <v>703</v>
      </c>
      <c r="F68" s="14">
        <f t="shared" si="4"/>
        <v>0</v>
      </c>
      <c r="G68" s="19">
        <f t="shared" si="4"/>
        <v>0</v>
      </c>
      <c r="H68" s="49">
        <f t="shared" si="4"/>
        <v>0</v>
      </c>
      <c r="I68" s="14">
        <f t="shared" si="4"/>
        <v>0</v>
      </c>
      <c r="J68" s="14">
        <f t="shared" si="2"/>
        <v>0</v>
      </c>
      <c r="K68" s="130">
        <f t="shared" si="3"/>
        <v>341176.05633802817</v>
      </c>
    </row>
    <row r="69" spans="1:11" x14ac:dyDescent="0.25">
      <c r="A69" s="57">
        <f>'A) Base RI'!A68</f>
        <v>5497</v>
      </c>
      <c r="B69" s="40" t="str">
        <f>'A) Base RI'!B68</f>
        <v>Pompaples</v>
      </c>
      <c r="C69" s="19">
        <f>'A) Base RI'!U68</f>
        <v>859</v>
      </c>
      <c r="D69" s="14">
        <f t="shared" si="4"/>
        <v>859</v>
      </c>
      <c r="E69" s="19">
        <f t="shared" si="4"/>
        <v>0</v>
      </c>
      <c r="F69" s="14">
        <f t="shared" si="4"/>
        <v>0</v>
      </c>
      <c r="G69" s="19">
        <f t="shared" si="4"/>
        <v>0</v>
      </c>
      <c r="H69" s="49">
        <f t="shared" si="4"/>
        <v>0</v>
      </c>
      <c r="I69" s="14">
        <f t="shared" si="4"/>
        <v>0</v>
      </c>
      <c r="J69" s="14">
        <f t="shared" si="2"/>
        <v>0</v>
      </c>
      <c r="K69" s="130">
        <f t="shared" si="3"/>
        <v>84690.140845070418</v>
      </c>
    </row>
    <row r="70" spans="1:11" x14ac:dyDescent="0.25">
      <c r="A70" s="57">
        <f>'A) Base RI'!A69</f>
        <v>5498</v>
      </c>
      <c r="B70" s="40" t="str">
        <f>'A) Base RI'!B69</f>
        <v>La Sarraz</v>
      </c>
      <c r="C70" s="19">
        <f>'A) Base RI'!U69</f>
        <v>2567</v>
      </c>
      <c r="D70" s="14">
        <f t="shared" si="4"/>
        <v>1000</v>
      </c>
      <c r="E70" s="19">
        <f t="shared" si="4"/>
        <v>1567</v>
      </c>
      <c r="F70" s="14">
        <f t="shared" si="4"/>
        <v>0</v>
      </c>
      <c r="G70" s="19">
        <f t="shared" si="4"/>
        <v>0</v>
      </c>
      <c r="H70" s="49">
        <f t="shared" si="4"/>
        <v>0</v>
      </c>
      <c r="I70" s="14">
        <f t="shared" si="4"/>
        <v>0</v>
      </c>
      <c r="J70" s="14">
        <f t="shared" si="2"/>
        <v>0</v>
      </c>
      <c r="K70" s="130">
        <f t="shared" si="3"/>
        <v>639316.90140845068</v>
      </c>
    </row>
    <row r="71" spans="1:11" x14ac:dyDescent="0.25">
      <c r="A71" s="57">
        <f>'A) Base RI'!A70</f>
        <v>5499</v>
      </c>
      <c r="B71" s="40" t="str">
        <f>'A) Base RI'!B70</f>
        <v>Senarclens</v>
      </c>
      <c r="C71" s="19">
        <f>'A) Base RI'!U70</f>
        <v>459</v>
      </c>
      <c r="D71" s="14">
        <f t="shared" si="4"/>
        <v>459</v>
      </c>
      <c r="E71" s="19">
        <f t="shared" si="4"/>
        <v>0</v>
      </c>
      <c r="F71" s="14">
        <f t="shared" si="4"/>
        <v>0</v>
      </c>
      <c r="G71" s="19">
        <f t="shared" si="4"/>
        <v>0</v>
      </c>
      <c r="H71" s="49">
        <f t="shared" si="4"/>
        <v>0</v>
      </c>
      <c r="I71" s="14">
        <f t="shared" si="4"/>
        <v>0</v>
      </c>
      <c r="J71" s="14">
        <f t="shared" si="2"/>
        <v>0</v>
      </c>
      <c r="K71" s="130">
        <f t="shared" si="3"/>
        <v>45253.521126760563</v>
      </c>
    </row>
    <row r="72" spans="1:11" x14ac:dyDescent="0.25">
      <c r="A72" s="57">
        <f>'A) Base RI'!A71</f>
        <v>5500</v>
      </c>
      <c r="B72" s="40" t="str">
        <f>'A) Base RI'!B71</f>
        <v>Sévery</v>
      </c>
      <c r="C72" s="19">
        <f>'A) Base RI'!U71</f>
        <v>243</v>
      </c>
      <c r="D72" s="14">
        <f t="shared" si="4"/>
        <v>243</v>
      </c>
      <c r="E72" s="19">
        <f t="shared" si="4"/>
        <v>0</v>
      </c>
      <c r="F72" s="14">
        <f t="shared" si="4"/>
        <v>0</v>
      </c>
      <c r="G72" s="19">
        <f t="shared" si="4"/>
        <v>0</v>
      </c>
      <c r="H72" s="49">
        <f t="shared" si="4"/>
        <v>0</v>
      </c>
      <c r="I72" s="14">
        <f t="shared" si="4"/>
        <v>0</v>
      </c>
      <c r="J72" s="14">
        <f t="shared" si="2"/>
        <v>0</v>
      </c>
      <c r="K72" s="130">
        <f t="shared" si="3"/>
        <v>23957.74647887324</v>
      </c>
    </row>
    <row r="73" spans="1:11" x14ac:dyDescent="0.25">
      <c r="A73" s="57">
        <f>'A) Base RI'!A72</f>
        <v>5501</v>
      </c>
      <c r="B73" s="40" t="str">
        <f>'A) Base RI'!B72</f>
        <v>Sullens</v>
      </c>
      <c r="C73" s="19">
        <f>'A) Base RI'!U72</f>
        <v>978</v>
      </c>
      <c r="D73" s="14">
        <f t="shared" si="4"/>
        <v>978</v>
      </c>
      <c r="E73" s="19">
        <f t="shared" si="4"/>
        <v>0</v>
      </c>
      <c r="F73" s="14">
        <f t="shared" si="4"/>
        <v>0</v>
      </c>
      <c r="G73" s="19">
        <f t="shared" si="4"/>
        <v>0</v>
      </c>
      <c r="H73" s="49">
        <f t="shared" si="4"/>
        <v>0</v>
      </c>
      <c r="I73" s="14">
        <f t="shared" si="4"/>
        <v>0</v>
      </c>
      <c r="J73" s="14">
        <f t="shared" ref="J73:J136" si="5">IF(C73&gt;$J$4,C73-$J$4,0)</f>
        <v>0</v>
      </c>
      <c r="K73" s="130">
        <f t="shared" ref="K73:K136" si="6">(D73*D$7)+(E73*E$7)+(F73*F$7)+(G73*G$7)+(H73*H$7)+(I73*I$7)+(J73*J$7)</f>
        <v>96422.535211267605</v>
      </c>
    </row>
    <row r="74" spans="1:11" x14ac:dyDescent="0.25">
      <c r="A74" s="57">
        <f>'A) Base RI'!A73</f>
        <v>5503</v>
      </c>
      <c r="B74" s="40" t="str">
        <f>'A) Base RI'!B73</f>
        <v>Vufflens-la-Ville</v>
      </c>
      <c r="C74" s="19">
        <f>'A) Base RI'!U73</f>
        <v>1252</v>
      </c>
      <c r="D74" s="14">
        <f t="shared" si="4"/>
        <v>1000</v>
      </c>
      <c r="E74" s="19">
        <f t="shared" si="4"/>
        <v>252</v>
      </c>
      <c r="F74" s="14">
        <f t="shared" si="4"/>
        <v>0</v>
      </c>
      <c r="G74" s="19">
        <f t="shared" si="4"/>
        <v>0</v>
      </c>
      <c r="H74" s="49">
        <f t="shared" si="4"/>
        <v>0</v>
      </c>
      <c r="I74" s="14">
        <f t="shared" si="4"/>
        <v>0</v>
      </c>
      <c r="J74" s="14">
        <f t="shared" si="5"/>
        <v>0</v>
      </c>
      <c r="K74" s="130">
        <f t="shared" si="6"/>
        <v>185549.29577464788</v>
      </c>
    </row>
    <row r="75" spans="1:11" x14ac:dyDescent="0.25">
      <c r="A75" s="57">
        <f>'A) Base RI'!A74</f>
        <v>5511</v>
      </c>
      <c r="B75" s="40" t="str">
        <f>'A) Base RI'!B74</f>
        <v>Assens</v>
      </c>
      <c r="C75" s="19">
        <f>'A) Base RI'!U74</f>
        <v>1060</v>
      </c>
      <c r="D75" s="14">
        <f t="shared" si="4"/>
        <v>1000</v>
      </c>
      <c r="E75" s="19">
        <f t="shared" si="4"/>
        <v>60</v>
      </c>
      <c r="F75" s="14">
        <f t="shared" si="4"/>
        <v>0</v>
      </c>
      <c r="G75" s="19">
        <f t="shared" si="4"/>
        <v>0</v>
      </c>
      <c r="H75" s="49">
        <f t="shared" si="4"/>
        <v>0</v>
      </c>
      <c r="I75" s="14">
        <f t="shared" si="4"/>
        <v>0</v>
      </c>
      <c r="J75" s="14">
        <f t="shared" si="5"/>
        <v>0</v>
      </c>
      <c r="K75" s="130">
        <f t="shared" si="6"/>
        <v>119295.77464788733</v>
      </c>
    </row>
    <row r="76" spans="1:11" x14ac:dyDescent="0.25">
      <c r="A76" s="57">
        <f>'A) Base RI'!A75</f>
        <v>5512</v>
      </c>
      <c r="B76" s="40" t="str">
        <f>'A) Base RI'!B75</f>
        <v>Bercher</v>
      </c>
      <c r="C76" s="19">
        <f>'A) Base RI'!U75</f>
        <v>1157</v>
      </c>
      <c r="D76" s="14">
        <f t="shared" si="4"/>
        <v>1000</v>
      </c>
      <c r="E76" s="19">
        <f t="shared" si="4"/>
        <v>157</v>
      </c>
      <c r="F76" s="14">
        <f t="shared" si="4"/>
        <v>0</v>
      </c>
      <c r="G76" s="19">
        <f t="shared" si="4"/>
        <v>0</v>
      </c>
      <c r="H76" s="49">
        <f t="shared" si="4"/>
        <v>0</v>
      </c>
      <c r="I76" s="14">
        <f t="shared" si="4"/>
        <v>0</v>
      </c>
      <c r="J76" s="14">
        <f t="shared" si="5"/>
        <v>0</v>
      </c>
      <c r="K76" s="130">
        <f t="shared" si="6"/>
        <v>152767.60563380283</v>
      </c>
    </row>
    <row r="77" spans="1:11" x14ac:dyDescent="0.25">
      <c r="A77" s="57">
        <f>'A) Base RI'!A76</f>
        <v>5513</v>
      </c>
      <c r="B77" s="40" t="str">
        <f>'A) Base RI'!B76</f>
        <v>Bioley-Orjulaz</v>
      </c>
      <c r="C77" s="19">
        <f>'A) Base RI'!U76</f>
        <v>483</v>
      </c>
      <c r="D77" s="14">
        <f t="shared" si="4"/>
        <v>483</v>
      </c>
      <c r="E77" s="19">
        <f t="shared" si="4"/>
        <v>0</v>
      </c>
      <c r="F77" s="14">
        <f t="shared" si="4"/>
        <v>0</v>
      </c>
      <c r="G77" s="19">
        <f t="shared" si="4"/>
        <v>0</v>
      </c>
      <c r="H77" s="49">
        <f t="shared" si="4"/>
        <v>0</v>
      </c>
      <c r="I77" s="14">
        <f t="shared" si="4"/>
        <v>0</v>
      </c>
      <c r="J77" s="14">
        <f t="shared" si="5"/>
        <v>0</v>
      </c>
      <c r="K77" s="130">
        <f t="shared" si="6"/>
        <v>47619.718309859149</v>
      </c>
    </row>
    <row r="78" spans="1:11" x14ac:dyDescent="0.25">
      <c r="A78" s="57">
        <f>'A) Base RI'!A77</f>
        <v>5514</v>
      </c>
      <c r="B78" s="40" t="str">
        <f>'A) Base RI'!B77</f>
        <v>Bottens</v>
      </c>
      <c r="C78" s="19">
        <f>'A) Base RI'!U77</f>
        <v>1240</v>
      </c>
      <c r="D78" s="14">
        <f t="shared" si="4"/>
        <v>1000</v>
      </c>
      <c r="E78" s="19">
        <f t="shared" si="4"/>
        <v>240</v>
      </c>
      <c r="F78" s="14">
        <f t="shared" si="4"/>
        <v>0</v>
      </c>
      <c r="G78" s="19">
        <f t="shared" si="4"/>
        <v>0</v>
      </c>
      <c r="H78" s="49">
        <f t="shared" si="4"/>
        <v>0</v>
      </c>
      <c r="I78" s="14">
        <f t="shared" si="4"/>
        <v>0</v>
      </c>
      <c r="J78" s="14">
        <f t="shared" si="5"/>
        <v>0</v>
      </c>
      <c r="K78" s="130">
        <f t="shared" si="6"/>
        <v>181408.45070422534</v>
      </c>
    </row>
    <row r="79" spans="1:11" x14ac:dyDescent="0.25">
      <c r="A79" s="57">
        <f>'A) Base RI'!A78</f>
        <v>5515</v>
      </c>
      <c r="B79" s="40" t="str">
        <f>'A) Base RI'!B78</f>
        <v>Bretigny-sur-Morrens</v>
      </c>
      <c r="C79" s="19">
        <f>'A) Base RI'!U78</f>
        <v>817</v>
      </c>
      <c r="D79" s="14">
        <f t="shared" si="4"/>
        <v>817</v>
      </c>
      <c r="E79" s="19">
        <f t="shared" si="4"/>
        <v>0</v>
      </c>
      <c r="F79" s="14">
        <f t="shared" si="4"/>
        <v>0</v>
      </c>
      <c r="G79" s="19">
        <f t="shared" si="4"/>
        <v>0</v>
      </c>
      <c r="H79" s="49">
        <f t="shared" si="4"/>
        <v>0</v>
      </c>
      <c r="I79" s="14">
        <f t="shared" si="4"/>
        <v>0</v>
      </c>
      <c r="J79" s="14">
        <f t="shared" si="5"/>
        <v>0</v>
      </c>
      <c r="K79" s="130">
        <f t="shared" si="6"/>
        <v>80549.295774647879</v>
      </c>
    </row>
    <row r="80" spans="1:11" x14ac:dyDescent="0.25">
      <c r="A80" s="57">
        <f>'A) Base RI'!A79</f>
        <v>5516</v>
      </c>
      <c r="B80" s="40" t="str">
        <f>'A) Base RI'!B79</f>
        <v>Cugy</v>
      </c>
      <c r="C80" s="19">
        <f>'A) Base RI'!U79</f>
        <v>2739</v>
      </c>
      <c r="D80" s="14">
        <f t="shared" si="4"/>
        <v>1000</v>
      </c>
      <c r="E80" s="19">
        <f t="shared" si="4"/>
        <v>1739</v>
      </c>
      <c r="F80" s="14">
        <f t="shared" si="4"/>
        <v>0</v>
      </c>
      <c r="G80" s="19">
        <f t="shared" si="4"/>
        <v>0</v>
      </c>
      <c r="H80" s="49">
        <f t="shared" si="4"/>
        <v>0</v>
      </c>
      <c r="I80" s="14">
        <f t="shared" si="4"/>
        <v>0</v>
      </c>
      <c r="J80" s="14">
        <f t="shared" si="5"/>
        <v>0</v>
      </c>
      <c r="K80" s="130">
        <f t="shared" si="6"/>
        <v>698669.01408450701</v>
      </c>
    </row>
    <row r="81" spans="1:11" x14ac:dyDescent="0.25">
      <c r="A81" s="57">
        <f>'A) Base RI'!A80</f>
        <v>5518</v>
      </c>
      <c r="B81" s="40" t="str">
        <f>'A) Base RI'!B80</f>
        <v>Echallens</v>
      </c>
      <c r="C81" s="19">
        <f>'A) Base RI'!U80</f>
        <v>5677</v>
      </c>
      <c r="D81" s="14">
        <f t="shared" si="4"/>
        <v>1000</v>
      </c>
      <c r="E81" s="19">
        <f t="shared" si="4"/>
        <v>2000</v>
      </c>
      <c r="F81" s="14">
        <f t="shared" si="4"/>
        <v>2000</v>
      </c>
      <c r="G81" s="19">
        <f t="shared" si="4"/>
        <v>677</v>
      </c>
      <c r="H81" s="49">
        <f t="shared" si="4"/>
        <v>0</v>
      </c>
      <c r="I81" s="14">
        <f t="shared" si="4"/>
        <v>0</v>
      </c>
      <c r="J81" s="14">
        <f t="shared" si="5"/>
        <v>0</v>
      </c>
      <c r="K81" s="130">
        <f t="shared" si="6"/>
        <v>2175126.7605633801</v>
      </c>
    </row>
    <row r="82" spans="1:11" x14ac:dyDescent="0.25">
      <c r="A82" s="57">
        <f>'A) Base RI'!A81</f>
        <v>5520</v>
      </c>
      <c r="B82" s="40" t="str">
        <f>'A) Base RI'!B81</f>
        <v>Essertines-sur-Yverdon</v>
      </c>
      <c r="C82" s="19">
        <f>'A) Base RI'!U81</f>
        <v>943</v>
      </c>
      <c r="D82" s="14">
        <f t="shared" si="4"/>
        <v>943</v>
      </c>
      <c r="E82" s="19">
        <f t="shared" si="4"/>
        <v>0</v>
      </c>
      <c r="F82" s="14">
        <f t="shared" si="4"/>
        <v>0</v>
      </c>
      <c r="G82" s="19">
        <f t="shared" si="4"/>
        <v>0</v>
      </c>
      <c r="H82" s="49">
        <f t="shared" si="4"/>
        <v>0</v>
      </c>
      <c r="I82" s="14">
        <f t="shared" si="4"/>
        <v>0</v>
      </c>
      <c r="J82" s="14">
        <f t="shared" si="5"/>
        <v>0</v>
      </c>
      <c r="K82" s="130">
        <f t="shared" si="6"/>
        <v>92971.830985915483</v>
      </c>
    </row>
    <row r="83" spans="1:11" x14ac:dyDescent="0.25">
      <c r="A83" s="57">
        <f>'A) Base RI'!A82</f>
        <v>5521</v>
      </c>
      <c r="B83" s="40" t="str">
        <f>'A) Base RI'!B82</f>
        <v>Etagnières</v>
      </c>
      <c r="C83" s="19">
        <f>'A) Base RI'!U82</f>
        <v>1118</v>
      </c>
      <c r="D83" s="14">
        <f t="shared" si="4"/>
        <v>1000</v>
      </c>
      <c r="E83" s="19">
        <f t="shared" si="4"/>
        <v>118</v>
      </c>
      <c r="F83" s="14">
        <f t="shared" si="4"/>
        <v>0</v>
      </c>
      <c r="G83" s="19">
        <f t="shared" si="4"/>
        <v>0</v>
      </c>
      <c r="H83" s="49">
        <f t="shared" si="4"/>
        <v>0</v>
      </c>
      <c r="I83" s="14">
        <f t="shared" si="4"/>
        <v>0</v>
      </c>
      <c r="J83" s="14">
        <f t="shared" si="5"/>
        <v>0</v>
      </c>
      <c r="K83" s="130">
        <f t="shared" si="6"/>
        <v>139309.85915492958</v>
      </c>
    </row>
    <row r="84" spans="1:11" x14ac:dyDescent="0.25">
      <c r="A84" s="57">
        <f>'A) Base RI'!A83</f>
        <v>5522</v>
      </c>
      <c r="B84" s="40" t="str">
        <f>'A) Base RI'!B83</f>
        <v>Fey</v>
      </c>
      <c r="C84" s="19">
        <f>'A) Base RI'!U83</f>
        <v>696</v>
      </c>
      <c r="D84" s="14">
        <f t="shared" si="4"/>
        <v>696</v>
      </c>
      <c r="E84" s="19">
        <f t="shared" si="4"/>
        <v>0</v>
      </c>
      <c r="F84" s="14">
        <f t="shared" si="4"/>
        <v>0</v>
      </c>
      <c r="G84" s="19">
        <f t="shared" si="4"/>
        <v>0</v>
      </c>
      <c r="H84" s="49">
        <f t="shared" si="4"/>
        <v>0</v>
      </c>
      <c r="I84" s="14">
        <f t="shared" si="4"/>
        <v>0</v>
      </c>
      <c r="J84" s="14">
        <f t="shared" si="5"/>
        <v>0</v>
      </c>
      <c r="K84" s="130">
        <f t="shared" si="6"/>
        <v>68619.718309859149</v>
      </c>
    </row>
    <row r="85" spans="1:11" x14ac:dyDescent="0.25">
      <c r="A85" s="57">
        <f>'A) Base RI'!A84</f>
        <v>5523</v>
      </c>
      <c r="B85" s="40" t="str">
        <f>'A) Base RI'!B84</f>
        <v>Froideville</v>
      </c>
      <c r="C85" s="19">
        <f>'A) Base RI'!U84</f>
        <v>2459</v>
      </c>
      <c r="D85" s="14">
        <f t="shared" si="4"/>
        <v>1000</v>
      </c>
      <c r="E85" s="19">
        <f t="shared" si="4"/>
        <v>1459</v>
      </c>
      <c r="F85" s="14">
        <f t="shared" si="4"/>
        <v>0</v>
      </c>
      <c r="G85" s="19">
        <f t="shared" si="4"/>
        <v>0</v>
      </c>
      <c r="H85" s="49">
        <f t="shared" si="4"/>
        <v>0</v>
      </c>
      <c r="I85" s="14">
        <f t="shared" si="4"/>
        <v>0</v>
      </c>
      <c r="J85" s="14">
        <f t="shared" si="5"/>
        <v>0</v>
      </c>
      <c r="K85" s="130">
        <f t="shared" si="6"/>
        <v>602049.29577464785</v>
      </c>
    </row>
    <row r="86" spans="1:11" x14ac:dyDescent="0.25">
      <c r="A86" s="57">
        <f>'A) Base RI'!A85</f>
        <v>5527</v>
      </c>
      <c r="B86" s="40" t="str">
        <f>'A) Base RI'!B85</f>
        <v>Morrens</v>
      </c>
      <c r="C86" s="19">
        <f>'A) Base RI'!U85</f>
        <v>1074</v>
      </c>
      <c r="D86" s="14">
        <f t="shared" si="4"/>
        <v>1000</v>
      </c>
      <c r="E86" s="19">
        <f t="shared" si="4"/>
        <v>74</v>
      </c>
      <c r="F86" s="14">
        <f t="shared" si="4"/>
        <v>0</v>
      </c>
      <c r="G86" s="19">
        <f t="shared" si="4"/>
        <v>0</v>
      </c>
      <c r="H86" s="49">
        <f t="shared" si="4"/>
        <v>0</v>
      </c>
      <c r="I86" s="14">
        <f t="shared" si="4"/>
        <v>0</v>
      </c>
      <c r="J86" s="14">
        <f t="shared" si="5"/>
        <v>0</v>
      </c>
      <c r="K86" s="130">
        <f t="shared" si="6"/>
        <v>124126.76056338029</v>
      </c>
    </row>
    <row r="87" spans="1:11" x14ac:dyDescent="0.25">
      <c r="A87" s="57">
        <f>'A) Base RI'!A86</f>
        <v>5529</v>
      </c>
      <c r="B87" s="40" t="str">
        <f>'A) Base RI'!B86</f>
        <v>Oulens-sous-Echallens</v>
      </c>
      <c r="C87" s="19">
        <f>'A) Base RI'!U86</f>
        <v>560</v>
      </c>
      <c r="D87" s="14">
        <f t="shared" si="4"/>
        <v>560</v>
      </c>
      <c r="E87" s="19">
        <f t="shared" si="4"/>
        <v>0</v>
      </c>
      <c r="F87" s="14">
        <f t="shared" si="4"/>
        <v>0</v>
      </c>
      <c r="G87" s="19">
        <f t="shared" si="4"/>
        <v>0</v>
      </c>
      <c r="H87" s="49">
        <f t="shared" si="4"/>
        <v>0</v>
      </c>
      <c r="I87" s="14">
        <f t="shared" si="4"/>
        <v>0</v>
      </c>
      <c r="J87" s="14">
        <f t="shared" si="5"/>
        <v>0</v>
      </c>
      <c r="K87" s="130">
        <f t="shared" si="6"/>
        <v>55211.267605633802</v>
      </c>
    </row>
    <row r="88" spans="1:11" x14ac:dyDescent="0.25">
      <c r="A88" s="57">
        <f>'A) Base RI'!A87</f>
        <v>5530</v>
      </c>
      <c r="B88" s="40" t="str">
        <f>'A) Base RI'!B87</f>
        <v>Pailly</v>
      </c>
      <c r="C88" s="19">
        <f>'A) Base RI'!U87</f>
        <v>534</v>
      </c>
      <c r="D88" s="14">
        <f t="shared" si="4"/>
        <v>534</v>
      </c>
      <c r="E88" s="19">
        <f t="shared" si="4"/>
        <v>0</v>
      </c>
      <c r="F88" s="14">
        <f t="shared" si="4"/>
        <v>0</v>
      </c>
      <c r="G88" s="19">
        <f t="shared" si="4"/>
        <v>0</v>
      </c>
      <c r="H88" s="49">
        <f t="shared" si="4"/>
        <v>0</v>
      </c>
      <c r="I88" s="14">
        <f t="shared" si="4"/>
        <v>0</v>
      </c>
      <c r="J88" s="14">
        <f t="shared" si="5"/>
        <v>0</v>
      </c>
      <c r="K88" s="130">
        <f t="shared" si="6"/>
        <v>52647.887323943658</v>
      </c>
    </row>
    <row r="89" spans="1:11" x14ac:dyDescent="0.25">
      <c r="A89" s="57">
        <f>'A) Base RI'!A88</f>
        <v>5531</v>
      </c>
      <c r="B89" s="40" t="str">
        <f>'A) Base RI'!B88</f>
        <v>Penthéréaz</v>
      </c>
      <c r="C89" s="19">
        <f>'A) Base RI'!U88</f>
        <v>411</v>
      </c>
      <c r="D89" s="14">
        <f t="shared" si="4"/>
        <v>411</v>
      </c>
      <c r="E89" s="19">
        <f t="shared" si="4"/>
        <v>0</v>
      </c>
      <c r="F89" s="14">
        <f t="shared" si="4"/>
        <v>0</v>
      </c>
      <c r="G89" s="19">
        <f t="shared" si="4"/>
        <v>0</v>
      </c>
      <c r="H89" s="49">
        <f t="shared" si="4"/>
        <v>0</v>
      </c>
      <c r="I89" s="14">
        <f t="shared" si="4"/>
        <v>0</v>
      </c>
      <c r="J89" s="14">
        <f t="shared" si="5"/>
        <v>0</v>
      </c>
      <c r="K89" s="130">
        <f t="shared" si="6"/>
        <v>40521.126760563377</v>
      </c>
    </row>
    <row r="90" spans="1:11" x14ac:dyDescent="0.25">
      <c r="A90" s="57">
        <f>'A) Base RI'!A89</f>
        <v>5533</v>
      </c>
      <c r="B90" s="40" t="str">
        <f>'A) Base RI'!B89</f>
        <v>Poliez-Pittet</v>
      </c>
      <c r="C90" s="19">
        <f>'A) Base RI'!U89</f>
        <v>844</v>
      </c>
      <c r="D90" s="14">
        <f t="shared" si="4"/>
        <v>844</v>
      </c>
      <c r="E90" s="19">
        <f t="shared" si="4"/>
        <v>0</v>
      </c>
      <c r="F90" s="14">
        <f t="shared" si="4"/>
        <v>0</v>
      </c>
      <c r="G90" s="19">
        <f t="shared" si="4"/>
        <v>0</v>
      </c>
      <c r="H90" s="49">
        <f t="shared" si="4"/>
        <v>0</v>
      </c>
      <c r="I90" s="14">
        <f t="shared" si="4"/>
        <v>0</v>
      </c>
      <c r="J90" s="14">
        <f t="shared" si="5"/>
        <v>0</v>
      </c>
      <c r="K90" s="130">
        <f t="shared" si="6"/>
        <v>83211.267605633795</v>
      </c>
    </row>
    <row r="91" spans="1:11" x14ac:dyDescent="0.25">
      <c r="A91" s="57">
        <f>'A) Base RI'!A90</f>
        <v>5534</v>
      </c>
      <c r="B91" s="40" t="str">
        <f>'A) Base RI'!B90</f>
        <v>Rueyres</v>
      </c>
      <c r="C91" s="19">
        <f>'A) Base RI'!U90</f>
        <v>271</v>
      </c>
      <c r="D91" s="14">
        <f t="shared" si="4"/>
        <v>271</v>
      </c>
      <c r="E91" s="19">
        <f t="shared" si="4"/>
        <v>0</v>
      </c>
      <c r="F91" s="14">
        <f t="shared" si="4"/>
        <v>0</v>
      </c>
      <c r="G91" s="19">
        <f t="shared" si="4"/>
        <v>0</v>
      </c>
      <c r="H91" s="49">
        <f t="shared" si="4"/>
        <v>0</v>
      </c>
      <c r="I91" s="14">
        <f t="shared" si="4"/>
        <v>0</v>
      </c>
      <c r="J91" s="14">
        <f t="shared" si="5"/>
        <v>0</v>
      </c>
      <c r="K91" s="130">
        <f t="shared" si="6"/>
        <v>26718.309859154928</v>
      </c>
    </row>
    <row r="92" spans="1:11" x14ac:dyDescent="0.25">
      <c r="A92" s="57">
        <f>'A) Base RI'!A91</f>
        <v>5535</v>
      </c>
      <c r="B92" s="40" t="str">
        <f>'A) Base RI'!B91</f>
        <v>Saint-Barthélemy</v>
      </c>
      <c r="C92" s="19">
        <f>'A) Base RI'!U91</f>
        <v>777</v>
      </c>
      <c r="D92" s="14">
        <f t="shared" si="4"/>
        <v>777</v>
      </c>
      <c r="E92" s="19">
        <f t="shared" si="4"/>
        <v>0</v>
      </c>
      <c r="F92" s="14">
        <f t="shared" si="4"/>
        <v>0</v>
      </c>
      <c r="G92" s="19">
        <f t="shared" si="4"/>
        <v>0</v>
      </c>
      <c r="H92" s="49">
        <f t="shared" si="4"/>
        <v>0</v>
      </c>
      <c r="I92" s="14">
        <f t="shared" si="4"/>
        <v>0</v>
      </c>
      <c r="J92" s="14">
        <f t="shared" si="5"/>
        <v>0</v>
      </c>
      <c r="K92" s="130">
        <f t="shared" si="6"/>
        <v>76605.633802816898</v>
      </c>
    </row>
    <row r="93" spans="1:11" x14ac:dyDescent="0.25">
      <c r="A93" s="57">
        <f>'A) Base RI'!A92</f>
        <v>5537</v>
      </c>
      <c r="B93" s="40" t="str">
        <f>'A) Base RI'!B92</f>
        <v>Villars-le-Terroir</v>
      </c>
      <c r="C93" s="19">
        <f>'A) Base RI'!U92</f>
        <v>1066</v>
      </c>
      <c r="D93" s="14">
        <f t="shared" si="4"/>
        <v>1000</v>
      </c>
      <c r="E93" s="19">
        <f t="shared" si="4"/>
        <v>66</v>
      </c>
      <c r="F93" s="14">
        <f t="shared" si="4"/>
        <v>0</v>
      </c>
      <c r="G93" s="19">
        <f t="shared" si="4"/>
        <v>0</v>
      </c>
      <c r="H93" s="49">
        <f t="shared" si="4"/>
        <v>0</v>
      </c>
      <c r="I93" s="14">
        <f t="shared" si="4"/>
        <v>0</v>
      </c>
      <c r="J93" s="14">
        <f t="shared" si="5"/>
        <v>0</v>
      </c>
      <c r="K93" s="130">
        <f t="shared" si="6"/>
        <v>121366.19718309859</v>
      </c>
    </row>
    <row r="94" spans="1:11" x14ac:dyDescent="0.25">
      <c r="A94" s="57">
        <f>'A) Base RI'!A93</f>
        <v>5539</v>
      </c>
      <c r="B94" s="40" t="str">
        <f>'A) Base RI'!B93</f>
        <v>Vuarrens</v>
      </c>
      <c r="C94" s="19">
        <f>'A) Base RI'!U93</f>
        <v>993</v>
      </c>
      <c r="D94" s="14">
        <f t="shared" si="4"/>
        <v>993</v>
      </c>
      <c r="E94" s="19">
        <f t="shared" si="4"/>
        <v>0</v>
      </c>
      <c r="F94" s="14">
        <f t="shared" si="4"/>
        <v>0</v>
      </c>
      <c r="G94" s="19">
        <f t="shared" si="4"/>
        <v>0</v>
      </c>
      <c r="H94" s="49">
        <f t="shared" si="4"/>
        <v>0</v>
      </c>
      <c r="I94" s="14">
        <f t="shared" si="4"/>
        <v>0</v>
      </c>
      <c r="J94" s="14">
        <f t="shared" si="5"/>
        <v>0</v>
      </c>
      <c r="K94" s="130">
        <f t="shared" si="6"/>
        <v>97901.408450704213</v>
      </c>
    </row>
    <row r="95" spans="1:11" x14ac:dyDescent="0.25">
      <c r="A95" s="57">
        <f>'A) Base RI'!A94</f>
        <v>5540</v>
      </c>
      <c r="B95" s="40" t="str">
        <f>'A) Base RI'!B94</f>
        <v>Montilliez</v>
      </c>
      <c r="C95" s="19">
        <f>'A) Base RI'!U94</f>
        <v>1698</v>
      </c>
      <c r="D95" s="14">
        <f t="shared" si="4"/>
        <v>1000</v>
      </c>
      <c r="E95" s="19">
        <f t="shared" si="4"/>
        <v>698</v>
      </c>
      <c r="F95" s="14">
        <f t="shared" si="4"/>
        <v>0</v>
      </c>
      <c r="G95" s="19">
        <f t="shared" si="4"/>
        <v>0</v>
      </c>
      <c r="H95" s="49">
        <f t="shared" si="4"/>
        <v>0</v>
      </c>
      <c r="I95" s="14">
        <f t="shared" si="4"/>
        <v>0</v>
      </c>
      <c r="J95" s="14">
        <f t="shared" si="5"/>
        <v>0</v>
      </c>
      <c r="K95" s="130">
        <f t="shared" si="6"/>
        <v>339450.70422535209</v>
      </c>
    </row>
    <row r="96" spans="1:11" x14ac:dyDescent="0.25">
      <c r="A96" s="57">
        <f>'A) Base RI'!A95</f>
        <v>5541</v>
      </c>
      <c r="B96" s="40" t="str">
        <f>'A) Base RI'!B95</f>
        <v>Goumoëns</v>
      </c>
      <c r="C96" s="19">
        <f>'A) Base RI'!U95</f>
        <v>1051</v>
      </c>
      <c r="D96" s="14">
        <f t="shared" si="4"/>
        <v>1000</v>
      </c>
      <c r="E96" s="19">
        <f t="shared" si="4"/>
        <v>51</v>
      </c>
      <c r="F96" s="14">
        <f t="shared" si="4"/>
        <v>0</v>
      </c>
      <c r="G96" s="19">
        <f t="shared" si="4"/>
        <v>0</v>
      </c>
      <c r="H96" s="49">
        <f t="shared" si="4"/>
        <v>0</v>
      </c>
      <c r="I96" s="14">
        <f t="shared" si="4"/>
        <v>0</v>
      </c>
      <c r="J96" s="14">
        <f t="shared" si="5"/>
        <v>0</v>
      </c>
      <c r="K96" s="130">
        <f t="shared" si="6"/>
        <v>116190.14084507042</v>
      </c>
    </row>
    <row r="97" spans="1:11" x14ac:dyDescent="0.25">
      <c r="A97" s="57">
        <f>'A) Base RI'!A96</f>
        <v>5551</v>
      </c>
      <c r="B97" s="40" t="str">
        <f>'A) Base RI'!B96</f>
        <v>Bonvillars</v>
      </c>
      <c r="C97" s="19">
        <f>'A) Base RI'!U96</f>
        <v>495</v>
      </c>
      <c r="D97" s="14">
        <f t="shared" si="4"/>
        <v>495</v>
      </c>
      <c r="E97" s="19">
        <f t="shared" si="4"/>
        <v>0</v>
      </c>
      <c r="F97" s="14">
        <f t="shared" si="4"/>
        <v>0</v>
      </c>
      <c r="G97" s="19">
        <f t="shared" si="4"/>
        <v>0</v>
      </c>
      <c r="H97" s="49">
        <f t="shared" si="4"/>
        <v>0</v>
      </c>
      <c r="I97" s="14">
        <f t="shared" si="4"/>
        <v>0</v>
      </c>
      <c r="J97" s="14">
        <f t="shared" si="5"/>
        <v>0</v>
      </c>
      <c r="K97" s="130">
        <f t="shared" si="6"/>
        <v>48802.816901408449</v>
      </c>
    </row>
    <row r="98" spans="1:11" x14ac:dyDescent="0.25">
      <c r="A98" s="57">
        <f>'A) Base RI'!A97</f>
        <v>5552</v>
      </c>
      <c r="B98" s="40" t="str">
        <f>'A) Base RI'!B97</f>
        <v>Bullet</v>
      </c>
      <c r="C98" s="19">
        <f>'A) Base RI'!U97</f>
        <v>629</v>
      </c>
      <c r="D98" s="14">
        <f t="shared" si="4"/>
        <v>629</v>
      </c>
      <c r="E98" s="19">
        <f t="shared" si="4"/>
        <v>0</v>
      </c>
      <c r="F98" s="14">
        <f t="shared" si="4"/>
        <v>0</v>
      </c>
      <c r="G98" s="19">
        <f t="shared" si="4"/>
        <v>0</v>
      </c>
      <c r="H98" s="49">
        <f t="shared" si="4"/>
        <v>0</v>
      </c>
      <c r="I98" s="14">
        <f t="shared" si="4"/>
        <v>0</v>
      </c>
      <c r="J98" s="14">
        <f t="shared" si="5"/>
        <v>0</v>
      </c>
      <c r="K98" s="130">
        <f t="shared" si="6"/>
        <v>62014.084507042251</v>
      </c>
    </row>
    <row r="99" spans="1:11" x14ac:dyDescent="0.25">
      <c r="A99" s="57">
        <f>'A) Base RI'!A98</f>
        <v>5553</v>
      </c>
      <c r="B99" s="40" t="str">
        <f>'A) Base RI'!B98</f>
        <v>Champagne</v>
      </c>
      <c r="C99" s="19">
        <f>'A) Base RI'!U98</f>
        <v>1027</v>
      </c>
      <c r="D99" s="14">
        <f t="shared" si="4"/>
        <v>1000</v>
      </c>
      <c r="E99" s="19">
        <f t="shared" si="4"/>
        <v>27</v>
      </c>
      <c r="F99" s="14">
        <f t="shared" si="4"/>
        <v>0</v>
      </c>
      <c r="G99" s="19">
        <f t="shared" si="4"/>
        <v>0</v>
      </c>
      <c r="H99" s="49">
        <f t="shared" si="4"/>
        <v>0</v>
      </c>
      <c r="I99" s="14">
        <f t="shared" si="4"/>
        <v>0</v>
      </c>
      <c r="J99" s="14">
        <f t="shared" si="5"/>
        <v>0</v>
      </c>
      <c r="K99" s="130">
        <f t="shared" si="6"/>
        <v>107908.45070422535</v>
      </c>
    </row>
    <row r="100" spans="1:11" x14ac:dyDescent="0.25">
      <c r="A100" s="57">
        <f>'A) Base RI'!A99</f>
        <v>5554</v>
      </c>
      <c r="B100" s="40" t="str">
        <f>'A) Base RI'!B99</f>
        <v>Concise</v>
      </c>
      <c r="C100" s="19">
        <f>'A) Base RI'!U99</f>
        <v>960</v>
      </c>
      <c r="D100" s="14">
        <f t="shared" si="4"/>
        <v>960</v>
      </c>
      <c r="E100" s="19">
        <f t="shared" si="4"/>
        <v>0</v>
      </c>
      <c r="F100" s="14">
        <f t="shared" si="4"/>
        <v>0</v>
      </c>
      <c r="G100" s="19">
        <f t="shared" si="4"/>
        <v>0</v>
      </c>
      <c r="H100" s="49">
        <f t="shared" si="4"/>
        <v>0</v>
      </c>
      <c r="I100" s="14">
        <f t="shared" si="4"/>
        <v>0</v>
      </c>
      <c r="J100" s="14">
        <f t="shared" si="5"/>
        <v>0</v>
      </c>
      <c r="K100" s="130">
        <f t="shared" si="6"/>
        <v>94647.887323943651</v>
      </c>
    </row>
    <row r="101" spans="1:11" x14ac:dyDescent="0.25">
      <c r="A101" s="57">
        <f>'A) Base RI'!A100</f>
        <v>5555</v>
      </c>
      <c r="B101" s="40" t="str">
        <f>'A) Base RI'!B100</f>
        <v>Corcelles-près-Concise</v>
      </c>
      <c r="C101" s="19">
        <f>'A) Base RI'!U100</f>
        <v>379</v>
      </c>
      <c r="D101" s="14">
        <f t="shared" si="4"/>
        <v>379</v>
      </c>
      <c r="E101" s="19">
        <f t="shared" si="4"/>
        <v>0</v>
      </c>
      <c r="F101" s="14">
        <f t="shared" si="4"/>
        <v>0</v>
      </c>
      <c r="G101" s="19">
        <f t="shared" si="4"/>
        <v>0</v>
      </c>
      <c r="H101" s="49">
        <f t="shared" si="4"/>
        <v>0</v>
      </c>
      <c r="I101" s="14">
        <f t="shared" si="4"/>
        <v>0</v>
      </c>
      <c r="J101" s="14">
        <f t="shared" si="5"/>
        <v>0</v>
      </c>
      <c r="K101" s="130">
        <f t="shared" si="6"/>
        <v>37366.197183098586</v>
      </c>
    </row>
    <row r="102" spans="1:11" x14ac:dyDescent="0.25">
      <c r="A102" s="57">
        <f>'A) Base RI'!A101</f>
        <v>5556</v>
      </c>
      <c r="B102" s="40" t="str">
        <f>'A) Base RI'!B101</f>
        <v>Fiez</v>
      </c>
      <c r="C102" s="19">
        <f>'A) Base RI'!U101</f>
        <v>427</v>
      </c>
      <c r="D102" s="14">
        <f t="shared" si="4"/>
        <v>427</v>
      </c>
      <c r="E102" s="19">
        <f t="shared" si="4"/>
        <v>0</v>
      </c>
      <c r="F102" s="14">
        <f t="shared" si="4"/>
        <v>0</v>
      </c>
      <c r="G102" s="19">
        <f t="shared" si="4"/>
        <v>0</v>
      </c>
      <c r="H102" s="49">
        <f t="shared" si="4"/>
        <v>0</v>
      </c>
      <c r="I102" s="14">
        <f t="shared" si="4"/>
        <v>0</v>
      </c>
      <c r="J102" s="14">
        <f t="shared" si="5"/>
        <v>0</v>
      </c>
      <c r="K102" s="130">
        <f t="shared" si="6"/>
        <v>42098.591549295772</v>
      </c>
    </row>
    <row r="103" spans="1:11" x14ac:dyDescent="0.25">
      <c r="A103" s="57">
        <f>'A) Base RI'!A102</f>
        <v>5557</v>
      </c>
      <c r="B103" s="40" t="str">
        <f>'A) Base RI'!B102</f>
        <v>Fontaines-sur-Grandson</v>
      </c>
      <c r="C103" s="19">
        <f>'A) Base RI'!U102</f>
        <v>200</v>
      </c>
      <c r="D103" s="14">
        <f t="shared" si="4"/>
        <v>200</v>
      </c>
      <c r="E103" s="19">
        <f t="shared" si="4"/>
        <v>0</v>
      </c>
      <c r="F103" s="14">
        <f t="shared" si="4"/>
        <v>0</v>
      </c>
      <c r="G103" s="19">
        <f t="shared" si="4"/>
        <v>0</v>
      </c>
      <c r="H103" s="49">
        <f t="shared" si="4"/>
        <v>0</v>
      </c>
      <c r="I103" s="14">
        <f t="shared" si="4"/>
        <v>0</v>
      </c>
      <c r="J103" s="14">
        <f t="shared" si="5"/>
        <v>0</v>
      </c>
      <c r="K103" s="130">
        <f t="shared" si="6"/>
        <v>19718.309859154928</v>
      </c>
    </row>
    <row r="104" spans="1:11" x14ac:dyDescent="0.25">
      <c r="A104" s="57">
        <f>'A) Base RI'!A103</f>
        <v>5559</v>
      </c>
      <c r="B104" s="40" t="str">
        <f>'A) Base RI'!B103</f>
        <v>Giez</v>
      </c>
      <c r="C104" s="19">
        <f>'A) Base RI'!U103</f>
        <v>408</v>
      </c>
      <c r="D104" s="14">
        <f t="shared" si="4"/>
        <v>408</v>
      </c>
      <c r="E104" s="19">
        <f t="shared" si="4"/>
        <v>0</v>
      </c>
      <c r="F104" s="14">
        <f t="shared" si="4"/>
        <v>0</v>
      </c>
      <c r="G104" s="19">
        <f t="shared" si="4"/>
        <v>0</v>
      </c>
      <c r="H104" s="49">
        <f t="shared" si="4"/>
        <v>0</v>
      </c>
      <c r="I104" s="14">
        <f t="shared" si="4"/>
        <v>0</v>
      </c>
      <c r="J104" s="14">
        <f t="shared" si="5"/>
        <v>0</v>
      </c>
      <c r="K104" s="130">
        <f t="shared" si="6"/>
        <v>40225.352112676053</v>
      </c>
    </row>
    <row r="105" spans="1:11" x14ac:dyDescent="0.25">
      <c r="A105" s="57">
        <f>'A) Base RI'!A104</f>
        <v>5560</v>
      </c>
      <c r="B105" s="40" t="str">
        <f>'A) Base RI'!B104</f>
        <v>Grandevent</v>
      </c>
      <c r="C105" s="19">
        <f>'A) Base RI'!U104</f>
        <v>232</v>
      </c>
      <c r="D105" s="14">
        <f t="shared" si="4"/>
        <v>232</v>
      </c>
      <c r="E105" s="19">
        <f t="shared" si="4"/>
        <v>0</v>
      </c>
      <c r="F105" s="14">
        <f t="shared" si="4"/>
        <v>0</v>
      </c>
      <c r="G105" s="19">
        <f t="shared" si="4"/>
        <v>0</v>
      </c>
      <c r="H105" s="49">
        <f t="shared" si="4"/>
        <v>0</v>
      </c>
      <c r="I105" s="14">
        <f t="shared" si="4"/>
        <v>0</v>
      </c>
      <c r="J105" s="14">
        <f t="shared" si="5"/>
        <v>0</v>
      </c>
      <c r="K105" s="130">
        <f t="shared" si="6"/>
        <v>22873.239436619715</v>
      </c>
    </row>
    <row r="106" spans="1:11" x14ac:dyDescent="0.25">
      <c r="A106" s="57">
        <f>'A) Base RI'!A105</f>
        <v>5561</v>
      </c>
      <c r="B106" s="40" t="str">
        <f>'A) Base RI'!B105</f>
        <v>Grandson</v>
      </c>
      <c r="C106" s="19">
        <f>'A) Base RI'!U105</f>
        <v>3313</v>
      </c>
      <c r="D106" s="14">
        <f t="shared" si="4"/>
        <v>1000</v>
      </c>
      <c r="E106" s="19">
        <f t="shared" si="4"/>
        <v>2000</v>
      </c>
      <c r="F106" s="14">
        <f t="shared" si="4"/>
        <v>313</v>
      </c>
      <c r="G106" s="19">
        <f t="shared" ref="E106:I157" si="7">IF($C106&gt;G$4,IF($C106&lt;G$5,$C106-G$4,G$5-G$4),0)</f>
        <v>0</v>
      </c>
      <c r="H106" s="49">
        <f t="shared" si="7"/>
        <v>0</v>
      </c>
      <c r="I106" s="14">
        <f t="shared" si="7"/>
        <v>0</v>
      </c>
      <c r="J106" s="14">
        <f t="shared" si="5"/>
        <v>0</v>
      </c>
      <c r="K106" s="130">
        <f t="shared" si="6"/>
        <v>943028.1690140845</v>
      </c>
    </row>
    <row r="107" spans="1:11" x14ac:dyDescent="0.25">
      <c r="A107" s="57">
        <f>'A) Base RI'!A106</f>
        <v>5562</v>
      </c>
      <c r="B107" s="40" t="str">
        <f>'A) Base RI'!B106</f>
        <v>Mauborget</v>
      </c>
      <c r="C107" s="19">
        <f>'A) Base RI'!U106</f>
        <v>123</v>
      </c>
      <c r="D107" s="14">
        <f t="shared" ref="D107:D170" si="8">IF($C107&gt;D$4,IF($C107&lt;D$5,$C107-D$4,D$5-D$4),0)</f>
        <v>123</v>
      </c>
      <c r="E107" s="19">
        <f t="shared" si="7"/>
        <v>0</v>
      </c>
      <c r="F107" s="14">
        <f t="shared" si="7"/>
        <v>0</v>
      </c>
      <c r="G107" s="19">
        <f t="shared" si="7"/>
        <v>0</v>
      </c>
      <c r="H107" s="49">
        <f t="shared" si="7"/>
        <v>0</v>
      </c>
      <c r="I107" s="14">
        <f t="shared" si="7"/>
        <v>0</v>
      </c>
      <c r="J107" s="14">
        <f t="shared" si="5"/>
        <v>0</v>
      </c>
      <c r="K107" s="130">
        <f t="shared" si="6"/>
        <v>12126.760563380281</v>
      </c>
    </row>
    <row r="108" spans="1:11" x14ac:dyDescent="0.25">
      <c r="A108" s="57">
        <f>'A) Base RI'!A107</f>
        <v>5563</v>
      </c>
      <c r="B108" s="40" t="str">
        <f>'A) Base RI'!B107</f>
        <v>Mutrux</v>
      </c>
      <c r="C108" s="19">
        <f>'A) Base RI'!U107</f>
        <v>162</v>
      </c>
      <c r="D108" s="14">
        <f t="shared" si="8"/>
        <v>162</v>
      </c>
      <c r="E108" s="19">
        <f t="shared" si="7"/>
        <v>0</v>
      </c>
      <c r="F108" s="14">
        <f t="shared" si="7"/>
        <v>0</v>
      </c>
      <c r="G108" s="19">
        <f t="shared" si="7"/>
        <v>0</v>
      </c>
      <c r="H108" s="49">
        <f t="shared" si="7"/>
        <v>0</v>
      </c>
      <c r="I108" s="14">
        <f t="shared" si="7"/>
        <v>0</v>
      </c>
      <c r="J108" s="14">
        <f t="shared" si="5"/>
        <v>0</v>
      </c>
      <c r="K108" s="130">
        <f t="shared" si="6"/>
        <v>15971.830985915492</v>
      </c>
    </row>
    <row r="109" spans="1:11" x14ac:dyDescent="0.25">
      <c r="A109" s="57">
        <f>'A) Base RI'!A108</f>
        <v>5564</v>
      </c>
      <c r="B109" s="40" t="str">
        <f>'A) Base RI'!B108</f>
        <v>Novalles</v>
      </c>
      <c r="C109" s="19">
        <f>'A) Base RI'!U108</f>
        <v>101</v>
      </c>
      <c r="D109" s="14">
        <f t="shared" si="8"/>
        <v>101</v>
      </c>
      <c r="E109" s="19">
        <f t="shared" si="7"/>
        <v>0</v>
      </c>
      <c r="F109" s="14">
        <f t="shared" si="7"/>
        <v>0</v>
      </c>
      <c r="G109" s="19">
        <f t="shared" si="7"/>
        <v>0</v>
      </c>
      <c r="H109" s="49">
        <f t="shared" si="7"/>
        <v>0</v>
      </c>
      <c r="I109" s="14">
        <f t="shared" si="7"/>
        <v>0</v>
      </c>
      <c r="J109" s="14">
        <f t="shared" si="5"/>
        <v>0</v>
      </c>
      <c r="K109" s="130">
        <f t="shared" si="6"/>
        <v>9957.7464788732395</v>
      </c>
    </row>
    <row r="110" spans="1:11" x14ac:dyDescent="0.25">
      <c r="A110" s="57">
        <f>'A) Base RI'!A109</f>
        <v>5565</v>
      </c>
      <c r="B110" s="40" t="str">
        <f>'A) Base RI'!B109</f>
        <v>Onnens</v>
      </c>
      <c r="C110" s="19">
        <f>'A) Base RI'!U109</f>
        <v>500</v>
      </c>
      <c r="D110" s="14">
        <f t="shared" si="8"/>
        <v>500</v>
      </c>
      <c r="E110" s="19">
        <f t="shared" si="7"/>
        <v>0</v>
      </c>
      <c r="F110" s="14">
        <f t="shared" si="7"/>
        <v>0</v>
      </c>
      <c r="G110" s="19">
        <f t="shared" si="7"/>
        <v>0</v>
      </c>
      <c r="H110" s="49">
        <f t="shared" si="7"/>
        <v>0</v>
      </c>
      <c r="I110" s="14">
        <f t="shared" si="7"/>
        <v>0</v>
      </c>
      <c r="J110" s="14">
        <f t="shared" si="5"/>
        <v>0</v>
      </c>
      <c r="K110" s="130">
        <f t="shared" si="6"/>
        <v>49295.774647887323</v>
      </c>
    </row>
    <row r="111" spans="1:11" x14ac:dyDescent="0.25">
      <c r="A111" s="57">
        <f>'A) Base RI'!A110</f>
        <v>5566</v>
      </c>
      <c r="B111" s="40" t="str">
        <f>'A) Base RI'!B110</f>
        <v>Provence</v>
      </c>
      <c r="C111" s="19">
        <f>'A) Base RI'!U110</f>
        <v>390</v>
      </c>
      <c r="D111" s="14">
        <f t="shared" si="8"/>
        <v>390</v>
      </c>
      <c r="E111" s="19">
        <f t="shared" si="7"/>
        <v>0</v>
      </c>
      <c r="F111" s="14">
        <f t="shared" si="7"/>
        <v>0</v>
      </c>
      <c r="G111" s="19">
        <f t="shared" si="7"/>
        <v>0</v>
      </c>
      <c r="H111" s="49">
        <f t="shared" si="7"/>
        <v>0</v>
      </c>
      <c r="I111" s="14">
        <f t="shared" si="7"/>
        <v>0</v>
      </c>
      <c r="J111" s="14">
        <f t="shared" si="5"/>
        <v>0</v>
      </c>
      <c r="K111" s="130">
        <f t="shared" si="6"/>
        <v>38450.704225352107</v>
      </c>
    </row>
    <row r="112" spans="1:11" x14ac:dyDescent="0.25">
      <c r="A112" s="57">
        <f>'A) Base RI'!A111</f>
        <v>5568</v>
      </c>
      <c r="B112" s="40" t="str">
        <f>'A) Base RI'!B111</f>
        <v>Sainte-Croix</v>
      </c>
      <c r="C112" s="19">
        <f>'A) Base RI'!U111</f>
        <v>4851</v>
      </c>
      <c r="D112" s="14">
        <f t="shared" si="8"/>
        <v>1000</v>
      </c>
      <c r="E112" s="19">
        <f t="shared" si="7"/>
        <v>2000</v>
      </c>
      <c r="F112" s="14">
        <f t="shared" si="7"/>
        <v>1851</v>
      </c>
      <c r="G112" s="19">
        <f t="shared" si="7"/>
        <v>0</v>
      </c>
      <c r="H112" s="49">
        <f t="shared" si="7"/>
        <v>0</v>
      </c>
      <c r="I112" s="14">
        <f t="shared" si="7"/>
        <v>0</v>
      </c>
      <c r="J112" s="14">
        <f t="shared" si="5"/>
        <v>0</v>
      </c>
      <c r="K112" s="130">
        <f t="shared" si="6"/>
        <v>1701197.1830985914</v>
      </c>
    </row>
    <row r="113" spans="1:11" x14ac:dyDescent="0.25">
      <c r="A113" s="57">
        <f>'A) Base RI'!A112</f>
        <v>5571</v>
      </c>
      <c r="B113" s="40" t="str">
        <f>'A) Base RI'!B112</f>
        <v>Tévenon</v>
      </c>
      <c r="C113" s="19">
        <f>'A) Base RI'!U112</f>
        <v>791</v>
      </c>
      <c r="D113" s="14">
        <f t="shared" si="8"/>
        <v>791</v>
      </c>
      <c r="E113" s="19">
        <f t="shared" si="7"/>
        <v>0</v>
      </c>
      <c r="F113" s="14">
        <f t="shared" si="7"/>
        <v>0</v>
      </c>
      <c r="G113" s="19">
        <f t="shared" si="7"/>
        <v>0</v>
      </c>
      <c r="H113" s="49">
        <f t="shared" si="7"/>
        <v>0</v>
      </c>
      <c r="I113" s="14">
        <f t="shared" si="7"/>
        <v>0</v>
      </c>
      <c r="J113" s="14">
        <f t="shared" si="5"/>
        <v>0</v>
      </c>
      <c r="K113" s="130">
        <f t="shared" si="6"/>
        <v>77985.915492957734</v>
      </c>
    </row>
    <row r="114" spans="1:11" x14ac:dyDescent="0.25">
      <c r="A114" s="57">
        <f>'A) Base RI'!A113</f>
        <v>5581</v>
      </c>
      <c r="B114" s="40" t="str">
        <f>'A) Base RI'!B113</f>
        <v>Belmont-sur-Lausanne</v>
      </c>
      <c r="C114" s="19">
        <f>'A) Base RI'!U113</f>
        <v>3564</v>
      </c>
      <c r="D114" s="14">
        <f t="shared" si="8"/>
        <v>1000</v>
      </c>
      <c r="E114" s="19">
        <f t="shared" si="7"/>
        <v>2000</v>
      </c>
      <c r="F114" s="14">
        <f t="shared" si="7"/>
        <v>564</v>
      </c>
      <c r="G114" s="19">
        <f t="shared" si="7"/>
        <v>0</v>
      </c>
      <c r="H114" s="49">
        <f t="shared" si="7"/>
        <v>0</v>
      </c>
      <c r="I114" s="14">
        <f t="shared" si="7"/>
        <v>0</v>
      </c>
      <c r="J114" s="14">
        <f t="shared" si="5"/>
        <v>0</v>
      </c>
      <c r="K114" s="130">
        <f t="shared" si="6"/>
        <v>1066760.5633802817</v>
      </c>
    </row>
    <row r="115" spans="1:11" x14ac:dyDescent="0.25">
      <c r="A115" s="57">
        <f>'A) Base RI'!A114</f>
        <v>5582</v>
      </c>
      <c r="B115" s="40" t="str">
        <f>'A) Base RI'!B114</f>
        <v>Cheseaux-sur-Lausanne</v>
      </c>
      <c r="C115" s="19">
        <f>'A) Base RI'!U114</f>
        <v>4347</v>
      </c>
      <c r="D115" s="14">
        <f t="shared" si="8"/>
        <v>1000</v>
      </c>
      <c r="E115" s="19">
        <f t="shared" si="7"/>
        <v>2000</v>
      </c>
      <c r="F115" s="14">
        <f t="shared" si="7"/>
        <v>1347</v>
      </c>
      <c r="G115" s="19">
        <f t="shared" si="7"/>
        <v>0</v>
      </c>
      <c r="H115" s="49">
        <f t="shared" si="7"/>
        <v>0</v>
      </c>
      <c r="I115" s="14">
        <f t="shared" si="7"/>
        <v>0</v>
      </c>
      <c r="J115" s="14">
        <f t="shared" si="5"/>
        <v>0</v>
      </c>
      <c r="K115" s="130">
        <f t="shared" si="6"/>
        <v>1452746.4788732394</v>
      </c>
    </row>
    <row r="116" spans="1:11" x14ac:dyDescent="0.25">
      <c r="A116" s="57">
        <f>'A) Base RI'!A115</f>
        <v>5583</v>
      </c>
      <c r="B116" s="40" t="str">
        <f>'A) Base RI'!B115</f>
        <v>Crissier</v>
      </c>
      <c r="C116" s="19">
        <f>'A) Base RI'!U115</f>
        <v>7636</v>
      </c>
      <c r="D116" s="14">
        <f t="shared" si="8"/>
        <v>1000</v>
      </c>
      <c r="E116" s="19">
        <f t="shared" si="7"/>
        <v>2000</v>
      </c>
      <c r="F116" s="14">
        <f t="shared" si="7"/>
        <v>2000</v>
      </c>
      <c r="G116" s="19">
        <f t="shared" si="7"/>
        <v>2636</v>
      </c>
      <c r="H116" s="49">
        <f t="shared" si="7"/>
        <v>0</v>
      </c>
      <c r="I116" s="14">
        <f t="shared" si="7"/>
        <v>0</v>
      </c>
      <c r="J116" s="14">
        <f t="shared" si="5"/>
        <v>0</v>
      </c>
      <c r="K116" s="130">
        <f t="shared" si="6"/>
        <v>3333971.8309859154</v>
      </c>
    </row>
    <row r="117" spans="1:11" x14ac:dyDescent="0.25">
      <c r="A117" s="57">
        <f>'A) Base RI'!A116</f>
        <v>5584</v>
      </c>
      <c r="B117" s="40" t="str">
        <f>'A) Base RI'!B116</f>
        <v>Epalinges</v>
      </c>
      <c r="C117" s="19">
        <f>'A) Base RI'!U116</f>
        <v>9297</v>
      </c>
      <c r="D117" s="14">
        <f t="shared" si="8"/>
        <v>1000</v>
      </c>
      <c r="E117" s="19">
        <f t="shared" si="7"/>
        <v>2000</v>
      </c>
      <c r="F117" s="14">
        <f t="shared" si="7"/>
        <v>2000</v>
      </c>
      <c r="G117" s="19">
        <f t="shared" si="7"/>
        <v>4000</v>
      </c>
      <c r="H117" s="49">
        <f t="shared" si="7"/>
        <v>297</v>
      </c>
      <c r="I117" s="14">
        <f t="shared" si="7"/>
        <v>0</v>
      </c>
      <c r="J117" s="14">
        <f t="shared" si="5"/>
        <v>0</v>
      </c>
      <c r="K117" s="130">
        <f t="shared" si="6"/>
        <v>4389739.4366197176</v>
      </c>
    </row>
    <row r="118" spans="1:11" x14ac:dyDescent="0.25">
      <c r="A118" s="57">
        <f>'A) Base RI'!A117</f>
        <v>5585</v>
      </c>
      <c r="B118" s="40" t="str">
        <f>'A) Base RI'!B117</f>
        <v>Jouxtens-Mézery</v>
      </c>
      <c r="C118" s="19">
        <f>'A) Base RI'!U117</f>
        <v>1448</v>
      </c>
      <c r="D118" s="14">
        <f t="shared" si="8"/>
        <v>1000</v>
      </c>
      <c r="E118" s="19">
        <f t="shared" si="7"/>
        <v>448</v>
      </c>
      <c r="F118" s="14">
        <f t="shared" si="7"/>
        <v>0</v>
      </c>
      <c r="G118" s="19">
        <f t="shared" si="7"/>
        <v>0</v>
      </c>
      <c r="H118" s="49">
        <f t="shared" si="7"/>
        <v>0</v>
      </c>
      <c r="I118" s="14">
        <f t="shared" si="7"/>
        <v>0</v>
      </c>
      <c r="J118" s="14">
        <f t="shared" si="5"/>
        <v>0</v>
      </c>
      <c r="K118" s="130">
        <f t="shared" si="6"/>
        <v>253183.09859154932</v>
      </c>
    </row>
    <row r="119" spans="1:11" x14ac:dyDescent="0.25">
      <c r="A119" s="57">
        <f>'A) Base RI'!A118</f>
        <v>5586</v>
      </c>
      <c r="B119" s="40" t="str">
        <f>'A) Base RI'!B118</f>
        <v>Lausanne</v>
      </c>
      <c r="C119" s="19">
        <f>'A) Base RI'!U118</f>
        <v>137053</v>
      </c>
      <c r="D119" s="14">
        <f t="shared" si="8"/>
        <v>1000</v>
      </c>
      <c r="E119" s="19">
        <f t="shared" si="7"/>
        <v>2000</v>
      </c>
      <c r="F119" s="14">
        <f t="shared" si="7"/>
        <v>2000</v>
      </c>
      <c r="G119" s="19">
        <f t="shared" si="7"/>
        <v>4000</v>
      </c>
      <c r="H119" s="49">
        <f t="shared" si="7"/>
        <v>3000</v>
      </c>
      <c r="I119" s="14">
        <f t="shared" si="7"/>
        <v>3000</v>
      </c>
      <c r="J119" s="14">
        <f t="shared" si="5"/>
        <v>122053</v>
      </c>
      <c r="K119" s="130">
        <f t="shared" si="6"/>
        <v>135963316.90140843</v>
      </c>
    </row>
    <row r="120" spans="1:11" x14ac:dyDescent="0.25">
      <c r="A120" s="57">
        <f>'A) Base RI'!A119</f>
        <v>5587</v>
      </c>
      <c r="B120" s="40" t="str">
        <f>'A) Base RI'!B119</f>
        <v>Le Mont-sur-Lausanne</v>
      </c>
      <c r="C120" s="19">
        <f>'A) Base RI'!U119</f>
        <v>7881</v>
      </c>
      <c r="D120" s="14">
        <f t="shared" si="8"/>
        <v>1000</v>
      </c>
      <c r="E120" s="19">
        <f t="shared" si="7"/>
        <v>2000</v>
      </c>
      <c r="F120" s="14">
        <f t="shared" si="7"/>
        <v>2000</v>
      </c>
      <c r="G120" s="19">
        <f t="shared" si="7"/>
        <v>2881</v>
      </c>
      <c r="H120" s="49">
        <f t="shared" si="7"/>
        <v>0</v>
      </c>
      <c r="I120" s="14">
        <f t="shared" si="7"/>
        <v>0</v>
      </c>
      <c r="J120" s="14">
        <f t="shared" si="5"/>
        <v>0</v>
      </c>
      <c r="K120" s="130">
        <f t="shared" si="6"/>
        <v>3478901.4084507041</v>
      </c>
    </row>
    <row r="121" spans="1:11" x14ac:dyDescent="0.25">
      <c r="A121" s="57">
        <f>'A) Base RI'!A120</f>
        <v>5588</v>
      </c>
      <c r="B121" s="40" t="str">
        <f>'A) Base RI'!B120</f>
        <v>Paudex</v>
      </c>
      <c r="C121" s="19">
        <f>'A) Base RI'!U120</f>
        <v>1473</v>
      </c>
      <c r="D121" s="14">
        <f t="shared" si="8"/>
        <v>1000</v>
      </c>
      <c r="E121" s="19">
        <f t="shared" si="7"/>
        <v>473</v>
      </c>
      <c r="F121" s="14">
        <f t="shared" si="7"/>
        <v>0</v>
      </c>
      <c r="G121" s="19">
        <f t="shared" si="7"/>
        <v>0</v>
      </c>
      <c r="H121" s="49">
        <f t="shared" si="7"/>
        <v>0</v>
      </c>
      <c r="I121" s="14">
        <f t="shared" si="7"/>
        <v>0</v>
      </c>
      <c r="J121" s="14">
        <f t="shared" si="5"/>
        <v>0</v>
      </c>
      <c r="K121" s="130">
        <f t="shared" si="6"/>
        <v>261809.85915492958</v>
      </c>
    </row>
    <row r="122" spans="1:11" x14ac:dyDescent="0.25">
      <c r="A122" s="57">
        <f>'A) Base RI'!A121</f>
        <v>5589</v>
      </c>
      <c r="B122" s="40" t="str">
        <f>'A) Base RI'!B121</f>
        <v>Prilly</v>
      </c>
      <c r="C122" s="19">
        <f>'A) Base RI'!U121</f>
        <v>11871</v>
      </c>
      <c r="D122" s="14">
        <f t="shared" si="8"/>
        <v>1000</v>
      </c>
      <c r="E122" s="19">
        <f t="shared" si="7"/>
        <v>2000</v>
      </c>
      <c r="F122" s="14">
        <f t="shared" si="7"/>
        <v>2000</v>
      </c>
      <c r="G122" s="19">
        <f t="shared" si="7"/>
        <v>4000</v>
      </c>
      <c r="H122" s="49">
        <f t="shared" si="7"/>
        <v>2871</v>
      </c>
      <c r="I122" s="14">
        <f t="shared" si="7"/>
        <v>0</v>
      </c>
      <c r="J122" s="14">
        <f t="shared" si="5"/>
        <v>0</v>
      </c>
      <c r="K122" s="130">
        <f t="shared" si="6"/>
        <v>6546823.943661971</v>
      </c>
    </row>
    <row r="123" spans="1:11" x14ac:dyDescent="0.25">
      <c r="A123" s="57">
        <f>'A) Base RI'!A122</f>
        <v>5590</v>
      </c>
      <c r="B123" s="40" t="str">
        <f>'A) Base RI'!B122</f>
        <v>Pully</v>
      </c>
      <c r="C123" s="19">
        <f>'A) Base RI'!U122</f>
        <v>17979</v>
      </c>
      <c r="D123" s="14">
        <f t="shared" si="8"/>
        <v>1000</v>
      </c>
      <c r="E123" s="19">
        <f t="shared" si="7"/>
        <v>2000</v>
      </c>
      <c r="F123" s="14">
        <f t="shared" si="7"/>
        <v>2000</v>
      </c>
      <c r="G123" s="19">
        <f t="shared" si="7"/>
        <v>4000</v>
      </c>
      <c r="H123" s="49">
        <f t="shared" si="7"/>
        <v>3000</v>
      </c>
      <c r="I123" s="14">
        <f t="shared" si="7"/>
        <v>3000</v>
      </c>
      <c r="J123" s="14">
        <f t="shared" si="5"/>
        <v>2979</v>
      </c>
      <c r="K123" s="130">
        <f t="shared" si="6"/>
        <v>12696570.422535211</v>
      </c>
    </row>
    <row r="124" spans="1:11" x14ac:dyDescent="0.25">
      <c r="A124" s="57">
        <f>'A) Base RI'!A123</f>
        <v>5591</v>
      </c>
      <c r="B124" s="40" t="str">
        <f>'A) Base RI'!B123</f>
        <v>Renens</v>
      </c>
      <c r="C124" s="19">
        <f>'A) Base RI'!U123</f>
        <v>20323</v>
      </c>
      <c r="D124" s="14">
        <f t="shared" si="8"/>
        <v>1000</v>
      </c>
      <c r="E124" s="19">
        <f t="shared" si="7"/>
        <v>2000</v>
      </c>
      <c r="F124" s="14">
        <f t="shared" si="7"/>
        <v>2000</v>
      </c>
      <c r="G124" s="19">
        <f t="shared" si="7"/>
        <v>4000</v>
      </c>
      <c r="H124" s="49">
        <f t="shared" si="7"/>
        <v>3000</v>
      </c>
      <c r="I124" s="14">
        <f t="shared" si="7"/>
        <v>3000</v>
      </c>
      <c r="J124" s="14">
        <f t="shared" si="5"/>
        <v>5323</v>
      </c>
      <c r="K124" s="130">
        <f t="shared" si="6"/>
        <v>15123105.633802816</v>
      </c>
    </row>
    <row r="125" spans="1:11" x14ac:dyDescent="0.25">
      <c r="A125" s="57">
        <f>'A) Base RI'!A124</f>
        <v>5592</v>
      </c>
      <c r="B125" s="40" t="str">
        <f>'A) Base RI'!B124</f>
        <v>Romanel-sur-Lausanne</v>
      </c>
      <c r="C125" s="19">
        <f>'A) Base RI'!U124</f>
        <v>3352</v>
      </c>
      <c r="D125" s="14">
        <f t="shared" si="8"/>
        <v>1000</v>
      </c>
      <c r="E125" s="19">
        <f t="shared" si="7"/>
        <v>2000</v>
      </c>
      <c r="F125" s="14">
        <f t="shared" si="7"/>
        <v>352</v>
      </c>
      <c r="G125" s="19">
        <f t="shared" si="7"/>
        <v>0</v>
      </c>
      <c r="H125" s="49">
        <f t="shared" si="7"/>
        <v>0</v>
      </c>
      <c r="I125" s="14">
        <f t="shared" si="7"/>
        <v>0</v>
      </c>
      <c r="J125" s="14">
        <f t="shared" si="5"/>
        <v>0</v>
      </c>
      <c r="K125" s="130">
        <f t="shared" si="6"/>
        <v>962253.52112676052</v>
      </c>
    </row>
    <row r="126" spans="1:11" x14ac:dyDescent="0.25">
      <c r="A126" s="57">
        <f>'A) Base RI'!A125</f>
        <v>5601</v>
      </c>
      <c r="B126" s="40" t="str">
        <f>'A) Base RI'!B125</f>
        <v>Chexbres</v>
      </c>
      <c r="C126" s="19">
        <f>'A) Base RI'!U125</f>
        <v>2235</v>
      </c>
      <c r="D126" s="14">
        <f t="shared" si="8"/>
        <v>1000</v>
      </c>
      <c r="E126" s="19">
        <f t="shared" si="7"/>
        <v>1235</v>
      </c>
      <c r="F126" s="14">
        <f t="shared" si="7"/>
        <v>0</v>
      </c>
      <c r="G126" s="19">
        <f t="shared" si="7"/>
        <v>0</v>
      </c>
      <c r="H126" s="49">
        <f t="shared" si="7"/>
        <v>0</v>
      </c>
      <c r="I126" s="14">
        <f t="shared" si="7"/>
        <v>0</v>
      </c>
      <c r="J126" s="14">
        <f t="shared" si="5"/>
        <v>0</v>
      </c>
      <c r="K126" s="130">
        <f t="shared" si="6"/>
        <v>524753.52112676052</v>
      </c>
    </row>
    <row r="127" spans="1:11" x14ac:dyDescent="0.25">
      <c r="A127" s="57">
        <f>'A) Base RI'!A126</f>
        <v>5604</v>
      </c>
      <c r="B127" s="40" t="str">
        <f>'A) Base RI'!B126</f>
        <v>Forel (Lavaux)</v>
      </c>
      <c r="C127" s="19">
        <f>'A) Base RI'!U126</f>
        <v>2066</v>
      </c>
      <c r="D127" s="14">
        <f t="shared" si="8"/>
        <v>1000</v>
      </c>
      <c r="E127" s="19">
        <f t="shared" si="7"/>
        <v>1066</v>
      </c>
      <c r="F127" s="14">
        <f t="shared" si="7"/>
        <v>0</v>
      </c>
      <c r="G127" s="19">
        <f t="shared" si="7"/>
        <v>0</v>
      </c>
      <c r="H127" s="49">
        <f t="shared" si="7"/>
        <v>0</v>
      </c>
      <c r="I127" s="14">
        <f t="shared" si="7"/>
        <v>0</v>
      </c>
      <c r="J127" s="14">
        <f t="shared" si="5"/>
        <v>0</v>
      </c>
      <c r="K127" s="130">
        <f t="shared" si="6"/>
        <v>466436.61971830984</v>
      </c>
    </row>
    <row r="128" spans="1:11" x14ac:dyDescent="0.25">
      <c r="A128" s="57">
        <f>'A) Base RI'!A127</f>
        <v>5606</v>
      </c>
      <c r="B128" s="40" t="str">
        <f>'A) Base RI'!B127</f>
        <v>Lutry</v>
      </c>
      <c r="C128" s="19">
        <f>'A) Base RI'!U127</f>
        <v>9888</v>
      </c>
      <c r="D128" s="14">
        <f t="shared" si="8"/>
        <v>1000</v>
      </c>
      <c r="E128" s="19">
        <f t="shared" si="7"/>
        <v>2000</v>
      </c>
      <c r="F128" s="14">
        <f t="shared" si="7"/>
        <v>2000</v>
      </c>
      <c r="G128" s="19">
        <f t="shared" si="7"/>
        <v>4000</v>
      </c>
      <c r="H128" s="49">
        <f t="shared" si="7"/>
        <v>888</v>
      </c>
      <c r="I128" s="14">
        <f t="shared" si="7"/>
        <v>0</v>
      </c>
      <c r="J128" s="14">
        <f t="shared" si="5"/>
        <v>0</v>
      </c>
      <c r="K128" s="130">
        <f t="shared" si="6"/>
        <v>4885014.0845070416</v>
      </c>
    </row>
    <row r="129" spans="1:11" x14ac:dyDescent="0.25">
      <c r="A129" s="57">
        <f>'A) Base RI'!A128</f>
        <v>5607</v>
      </c>
      <c r="B129" s="40" t="str">
        <f>'A) Base RI'!B128</f>
        <v>Puidoux</v>
      </c>
      <c r="C129" s="19">
        <f>'A) Base RI'!U128</f>
        <v>2874</v>
      </c>
      <c r="D129" s="14">
        <f t="shared" si="8"/>
        <v>1000</v>
      </c>
      <c r="E129" s="19">
        <f t="shared" si="7"/>
        <v>1874</v>
      </c>
      <c r="F129" s="14">
        <f t="shared" si="7"/>
        <v>0</v>
      </c>
      <c r="G129" s="19">
        <f t="shared" si="7"/>
        <v>0</v>
      </c>
      <c r="H129" s="49">
        <f t="shared" si="7"/>
        <v>0</v>
      </c>
      <c r="I129" s="14">
        <f t="shared" si="7"/>
        <v>0</v>
      </c>
      <c r="J129" s="14">
        <f t="shared" si="5"/>
        <v>0</v>
      </c>
      <c r="K129" s="130">
        <f t="shared" si="6"/>
        <v>745253.52112676052</v>
      </c>
    </row>
    <row r="130" spans="1:11" x14ac:dyDescent="0.25">
      <c r="A130" s="57">
        <f>'A) Base RI'!A129</f>
        <v>5609</v>
      </c>
      <c r="B130" s="40" t="str">
        <f>'A) Base RI'!B129</f>
        <v>Rivaz</v>
      </c>
      <c r="C130" s="19">
        <f>'A) Base RI'!U129</f>
        <v>357</v>
      </c>
      <c r="D130" s="14">
        <f t="shared" si="8"/>
        <v>357</v>
      </c>
      <c r="E130" s="19">
        <f t="shared" si="7"/>
        <v>0</v>
      </c>
      <c r="F130" s="14">
        <f t="shared" si="7"/>
        <v>0</v>
      </c>
      <c r="G130" s="19">
        <f t="shared" si="7"/>
        <v>0</v>
      </c>
      <c r="H130" s="49">
        <f t="shared" si="7"/>
        <v>0</v>
      </c>
      <c r="I130" s="14">
        <f t="shared" si="7"/>
        <v>0</v>
      </c>
      <c r="J130" s="14">
        <f t="shared" si="5"/>
        <v>0</v>
      </c>
      <c r="K130" s="130">
        <f t="shared" si="6"/>
        <v>35197.183098591544</v>
      </c>
    </row>
    <row r="131" spans="1:11" x14ac:dyDescent="0.25">
      <c r="A131" s="57">
        <f>'A) Base RI'!A130</f>
        <v>5610</v>
      </c>
      <c r="B131" s="40" t="str">
        <f>'A) Base RI'!B130</f>
        <v>St-Saphorin (Lavaux)</v>
      </c>
      <c r="C131" s="19">
        <f>'A) Base RI'!U130</f>
        <v>398</v>
      </c>
      <c r="D131" s="14">
        <f t="shared" si="8"/>
        <v>398</v>
      </c>
      <c r="E131" s="19">
        <f t="shared" si="7"/>
        <v>0</v>
      </c>
      <c r="F131" s="14">
        <f t="shared" si="7"/>
        <v>0</v>
      </c>
      <c r="G131" s="19">
        <f t="shared" si="7"/>
        <v>0</v>
      </c>
      <c r="H131" s="49">
        <f t="shared" si="7"/>
        <v>0</v>
      </c>
      <c r="I131" s="14">
        <f t="shared" si="7"/>
        <v>0</v>
      </c>
      <c r="J131" s="14">
        <f t="shared" si="5"/>
        <v>0</v>
      </c>
      <c r="K131" s="130">
        <f t="shared" si="6"/>
        <v>39239.436619718304</v>
      </c>
    </row>
    <row r="132" spans="1:11" x14ac:dyDescent="0.25">
      <c r="A132" s="57">
        <f>'A) Base RI'!A131</f>
        <v>5611</v>
      </c>
      <c r="B132" s="40" t="str">
        <f>'A) Base RI'!B131</f>
        <v>Savigny</v>
      </c>
      <c r="C132" s="19">
        <f>'A) Base RI'!U131</f>
        <v>3276</v>
      </c>
      <c r="D132" s="14">
        <f t="shared" si="8"/>
        <v>1000</v>
      </c>
      <c r="E132" s="19">
        <f t="shared" si="7"/>
        <v>2000</v>
      </c>
      <c r="F132" s="14">
        <f t="shared" si="7"/>
        <v>276</v>
      </c>
      <c r="G132" s="19">
        <f t="shared" si="7"/>
        <v>0</v>
      </c>
      <c r="H132" s="49">
        <f t="shared" si="7"/>
        <v>0</v>
      </c>
      <c r="I132" s="14">
        <f t="shared" si="7"/>
        <v>0</v>
      </c>
      <c r="J132" s="14">
        <f t="shared" si="5"/>
        <v>0</v>
      </c>
      <c r="K132" s="130">
        <f t="shared" si="6"/>
        <v>924788.73239436618</v>
      </c>
    </row>
    <row r="133" spans="1:11" x14ac:dyDescent="0.25">
      <c r="A133" s="57">
        <f>'A) Base RI'!A132</f>
        <v>5613</v>
      </c>
      <c r="B133" s="40" t="str">
        <f>'A) Base RI'!B132</f>
        <v>Bourg-en-Lavaux</v>
      </c>
      <c r="C133" s="19">
        <f>'A) Base RI'!U132</f>
        <v>5296</v>
      </c>
      <c r="D133" s="14">
        <f t="shared" si="8"/>
        <v>1000</v>
      </c>
      <c r="E133" s="19">
        <f t="shared" si="7"/>
        <v>2000</v>
      </c>
      <c r="F133" s="14">
        <f t="shared" si="7"/>
        <v>2000</v>
      </c>
      <c r="G133" s="19">
        <f t="shared" si="7"/>
        <v>296</v>
      </c>
      <c r="H133" s="49">
        <f t="shared" si="7"/>
        <v>0</v>
      </c>
      <c r="I133" s="14">
        <f t="shared" si="7"/>
        <v>0</v>
      </c>
      <c r="J133" s="14">
        <f t="shared" si="5"/>
        <v>0</v>
      </c>
      <c r="K133" s="130">
        <f t="shared" si="6"/>
        <v>1949746.4788732394</v>
      </c>
    </row>
    <row r="134" spans="1:11" x14ac:dyDescent="0.25">
      <c r="A134" s="57">
        <f>'A) Base RI'!A133</f>
        <v>5621</v>
      </c>
      <c r="B134" s="40" t="str">
        <f>'A) Base RI'!B133</f>
        <v>Aclens</v>
      </c>
      <c r="C134" s="19">
        <f>'A) Base RI'!U133</f>
        <v>521</v>
      </c>
      <c r="D134" s="14">
        <f t="shared" si="8"/>
        <v>521</v>
      </c>
      <c r="E134" s="19">
        <f t="shared" si="7"/>
        <v>0</v>
      </c>
      <c r="F134" s="14">
        <f t="shared" si="7"/>
        <v>0</v>
      </c>
      <c r="G134" s="19">
        <f t="shared" si="7"/>
        <v>0</v>
      </c>
      <c r="H134" s="49">
        <f t="shared" si="7"/>
        <v>0</v>
      </c>
      <c r="I134" s="14">
        <f t="shared" si="7"/>
        <v>0</v>
      </c>
      <c r="J134" s="14">
        <f t="shared" si="5"/>
        <v>0</v>
      </c>
      <c r="K134" s="130">
        <f t="shared" si="6"/>
        <v>51366.197183098586</v>
      </c>
    </row>
    <row r="135" spans="1:11" x14ac:dyDescent="0.25">
      <c r="A135" s="57">
        <f>'A) Base RI'!A134</f>
        <v>5622</v>
      </c>
      <c r="B135" s="40" t="str">
        <f>'A) Base RI'!B134</f>
        <v>Bremblens</v>
      </c>
      <c r="C135" s="19">
        <f>'A) Base RI'!U134</f>
        <v>516</v>
      </c>
      <c r="D135" s="14">
        <f t="shared" si="8"/>
        <v>516</v>
      </c>
      <c r="E135" s="19">
        <f t="shared" si="7"/>
        <v>0</v>
      </c>
      <c r="F135" s="14">
        <f t="shared" si="7"/>
        <v>0</v>
      </c>
      <c r="G135" s="19">
        <f t="shared" si="7"/>
        <v>0</v>
      </c>
      <c r="H135" s="49">
        <f t="shared" si="7"/>
        <v>0</v>
      </c>
      <c r="I135" s="14">
        <f t="shared" si="7"/>
        <v>0</v>
      </c>
      <c r="J135" s="14">
        <f t="shared" si="5"/>
        <v>0</v>
      </c>
      <c r="K135" s="130">
        <f t="shared" si="6"/>
        <v>50873.239436619711</v>
      </c>
    </row>
    <row r="136" spans="1:11" x14ac:dyDescent="0.25">
      <c r="A136" s="57">
        <f>'A) Base RI'!A135</f>
        <v>5623</v>
      </c>
      <c r="B136" s="40" t="str">
        <f>'A) Base RI'!B135</f>
        <v>Buchillon</v>
      </c>
      <c r="C136" s="19">
        <f>'A) Base RI'!U135</f>
        <v>609</v>
      </c>
      <c r="D136" s="14">
        <f t="shared" si="8"/>
        <v>609</v>
      </c>
      <c r="E136" s="19">
        <f t="shared" si="7"/>
        <v>0</v>
      </c>
      <c r="F136" s="14">
        <f t="shared" si="7"/>
        <v>0</v>
      </c>
      <c r="G136" s="19">
        <f t="shared" si="7"/>
        <v>0</v>
      </c>
      <c r="H136" s="49">
        <f t="shared" si="7"/>
        <v>0</v>
      </c>
      <c r="I136" s="14">
        <f t="shared" si="7"/>
        <v>0</v>
      </c>
      <c r="J136" s="14">
        <f t="shared" si="5"/>
        <v>0</v>
      </c>
      <c r="K136" s="130">
        <f t="shared" si="6"/>
        <v>60042.253521126753</v>
      </c>
    </row>
    <row r="137" spans="1:11" x14ac:dyDescent="0.25">
      <c r="A137" s="57">
        <f>'A) Base RI'!A136</f>
        <v>5624</v>
      </c>
      <c r="B137" s="40" t="str">
        <f>'A) Base RI'!B136</f>
        <v>Bussigny</v>
      </c>
      <c r="C137" s="19">
        <f>'A) Base RI'!U136</f>
        <v>8227</v>
      </c>
      <c r="D137" s="14">
        <f t="shared" si="8"/>
        <v>1000</v>
      </c>
      <c r="E137" s="19">
        <f t="shared" si="7"/>
        <v>2000</v>
      </c>
      <c r="F137" s="14">
        <f t="shared" si="7"/>
        <v>2000</v>
      </c>
      <c r="G137" s="19">
        <f t="shared" si="7"/>
        <v>3227</v>
      </c>
      <c r="H137" s="49">
        <f t="shared" si="7"/>
        <v>0</v>
      </c>
      <c r="I137" s="14">
        <f t="shared" si="7"/>
        <v>0</v>
      </c>
      <c r="J137" s="14">
        <f t="shared" ref="J137:J200" si="9">IF(C137&gt;$J$4,C137-$J$4,0)</f>
        <v>0</v>
      </c>
      <c r="K137" s="130">
        <f t="shared" ref="K137:K200" si="10">(D137*D$7)+(E137*E$7)+(F137*F$7)+(G137*G$7)+(H137*H$7)+(I137*I$7)+(J137*J$7)</f>
        <v>3683577.4647887321</v>
      </c>
    </row>
    <row r="138" spans="1:11" x14ac:dyDescent="0.25">
      <c r="A138" s="57">
        <f>'A) Base RI'!A137</f>
        <v>5625</v>
      </c>
      <c r="B138" s="40" t="str">
        <f>'A) Base RI'!B137</f>
        <v>Bussy-Chardonney</v>
      </c>
      <c r="C138" s="19">
        <f>'A) Base RI'!U137</f>
        <v>369</v>
      </c>
      <c r="D138" s="14">
        <f t="shared" si="8"/>
        <v>369</v>
      </c>
      <c r="E138" s="19">
        <f t="shared" si="7"/>
        <v>0</v>
      </c>
      <c r="F138" s="14">
        <f t="shared" si="7"/>
        <v>0</v>
      </c>
      <c r="G138" s="19">
        <f t="shared" si="7"/>
        <v>0</v>
      </c>
      <c r="H138" s="49">
        <f t="shared" si="7"/>
        <v>0</v>
      </c>
      <c r="I138" s="14">
        <f t="shared" si="7"/>
        <v>0</v>
      </c>
      <c r="J138" s="14">
        <f t="shared" si="9"/>
        <v>0</v>
      </c>
      <c r="K138" s="130">
        <f t="shared" si="10"/>
        <v>36380.281690140844</v>
      </c>
    </row>
    <row r="139" spans="1:11" x14ac:dyDescent="0.25">
      <c r="A139" s="57">
        <f>'A) Base RI'!A138</f>
        <v>5627</v>
      </c>
      <c r="B139" s="40" t="str">
        <f>'A) Base RI'!B138</f>
        <v>Chavannes-près-Renens</v>
      </c>
      <c r="C139" s="19">
        <f>'A) Base RI'!U138</f>
        <v>7543</v>
      </c>
      <c r="D139" s="14">
        <f t="shared" si="8"/>
        <v>1000</v>
      </c>
      <c r="E139" s="19">
        <f t="shared" si="7"/>
        <v>2000</v>
      </c>
      <c r="F139" s="14">
        <f t="shared" si="7"/>
        <v>2000</v>
      </c>
      <c r="G139" s="19">
        <f t="shared" si="7"/>
        <v>2543</v>
      </c>
      <c r="H139" s="49">
        <f t="shared" si="7"/>
        <v>0</v>
      </c>
      <c r="I139" s="14">
        <f t="shared" si="7"/>
        <v>0</v>
      </c>
      <c r="J139" s="14">
        <f t="shared" si="9"/>
        <v>0</v>
      </c>
      <c r="K139" s="130">
        <f t="shared" si="10"/>
        <v>3278957.7464788733</v>
      </c>
    </row>
    <row r="140" spans="1:11" x14ac:dyDescent="0.25">
      <c r="A140" s="57">
        <f>'A) Base RI'!A139</f>
        <v>5628</v>
      </c>
      <c r="B140" s="40" t="str">
        <f>'A) Base RI'!B139</f>
        <v>Chigny</v>
      </c>
      <c r="C140" s="19">
        <f>'A) Base RI'!U139</f>
        <v>343</v>
      </c>
      <c r="D140" s="14">
        <f t="shared" si="8"/>
        <v>343</v>
      </c>
      <c r="E140" s="19">
        <f t="shared" si="7"/>
        <v>0</v>
      </c>
      <c r="F140" s="14">
        <f t="shared" si="7"/>
        <v>0</v>
      </c>
      <c r="G140" s="19">
        <f t="shared" si="7"/>
        <v>0</v>
      </c>
      <c r="H140" s="49">
        <f t="shared" si="7"/>
        <v>0</v>
      </c>
      <c r="I140" s="14">
        <f t="shared" si="7"/>
        <v>0</v>
      </c>
      <c r="J140" s="14">
        <f t="shared" si="9"/>
        <v>0</v>
      </c>
      <c r="K140" s="130">
        <f t="shared" si="10"/>
        <v>33816.9014084507</v>
      </c>
    </row>
    <row r="141" spans="1:11" x14ac:dyDescent="0.25">
      <c r="A141" s="57">
        <f>'A) Base RI'!A140</f>
        <v>5629</v>
      </c>
      <c r="B141" s="40" t="str">
        <f>'A) Base RI'!B140</f>
        <v>Clarmont</v>
      </c>
      <c r="C141" s="19">
        <f>'A) Base RI'!U140</f>
        <v>175</v>
      </c>
      <c r="D141" s="14">
        <f t="shared" si="8"/>
        <v>175</v>
      </c>
      <c r="E141" s="19">
        <f t="shared" si="7"/>
        <v>0</v>
      </c>
      <c r="F141" s="14">
        <f t="shared" si="7"/>
        <v>0</v>
      </c>
      <c r="G141" s="19">
        <f t="shared" si="7"/>
        <v>0</v>
      </c>
      <c r="H141" s="49">
        <f t="shared" si="7"/>
        <v>0</v>
      </c>
      <c r="I141" s="14">
        <f t="shared" si="7"/>
        <v>0</v>
      </c>
      <c r="J141" s="14">
        <f t="shared" si="9"/>
        <v>0</v>
      </c>
      <c r="K141" s="130">
        <f t="shared" si="10"/>
        <v>17253.521126760563</v>
      </c>
    </row>
    <row r="142" spans="1:11" x14ac:dyDescent="0.25">
      <c r="A142" s="57">
        <f>'A) Base RI'!A141</f>
        <v>5631</v>
      </c>
      <c r="B142" s="40" t="str">
        <f>'A) Base RI'!B141</f>
        <v>Denens</v>
      </c>
      <c r="C142" s="19">
        <f>'A) Base RI'!U141</f>
        <v>769</v>
      </c>
      <c r="D142" s="14">
        <f t="shared" si="8"/>
        <v>769</v>
      </c>
      <c r="E142" s="19">
        <f t="shared" si="7"/>
        <v>0</v>
      </c>
      <c r="F142" s="14">
        <f t="shared" si="7"/>
        <v>0</v>
      </c>
      <c r="G142" s="19">
        <f t="shared" si="7"/>
        <v>0</v>
      </c>
      <c r="H142" s="49">
        <f t="shared" si="7"/>
        <v>0</v>
      </c>
      <c r="I142" s="14">
        <f t="shared" si="7"/>
        <v>0</v>
      </c>
      <c r="J142" s="14">
        <f t="shared" si="9"/>
        <v>0</v>
      </c>
      <c r="K142" s="130">
        <f t="shared" si="10"/>
        <v>75816.901408450693</v>
      </c>
    </row>
    <row r="143" spans="1:11" x14ac:dyDescent="0.25">
      <c r="A143" s="57">
        <f>'A) Base RI'!A142</f>
        <v>5632</v>
      </c>
      <c r="B143" s="40" t="str">
        <f>'A) Base RI'!B142</f>
        <v>Denges</v>
      </c>
      <c r="C143" s="19">
        <f>'A) Base RI'!U142</f>
        <v>1624</v>
      </c>
      <c r="D143" s="14">
        <f t="shared" si="8"/>
        <v>1000</v>
      </c>
      <c r="E143" s="19">
        <f t="shared" si="7"/>
        <v>624</v>
      </c>
      <c r="F143" s="14">
        <f t="shared" si="7"/>
        <v>0</v>
      </c>
      <c r="G143" s="19">
        <f t="shared" si="7"/>
        <v>0</v>
      </c>
      <c r="H143" s="49">
        <f t="shared" si="7"/>
        <v>0</v>
      </c>
      <c r="I143" s="14">
        <f t="shared" si="7"/>
        <v>0</v>
      </c>
      <c r="J143" s="14">
        <f t="shared" si="9"/>
        <v>0</v>
      </c>
      <c r="K143" s="130">
        <f t="shared" si="10"/>
        <v>313915.49295774649</v>
      </c>
    </row>
    <row r="144" spans="1:11" x14ac:dyDescent="0.25">
      <c r="A144" s="57">
        <f>'A) Base RI'!A143</f>
        <v>5633</v>
      </c>
      <c r="B144" s="40" t="str">
        <f>'A) Base RI'!B143</f>
        <v>Echandens</v>
      </c>
      <c r="C144" s="19">
        <f>'A) Base RI'!U143</f>
        <v>2731</v>
      </c>
      <c r="D144" s="14">
        <f t="shared" si="8"/>
        <v>1000</v>
      </c>
      <c r="E144" s="19">
        <f t="shared" si="7"/>
        <v>1731</v>
      </c>
      <c r="F144" s="14">
        <f t="shared" si="7"/>
        <v>0</v>
      </c>
      <c r="G144" s="19">
        <f t="shared" si="7"/>
        <v>0</v>
      </c>
      <c r="H144" s="49">
        <f t="shared" si="7"/>
        <v>0</v>
      </c>
      <c r="I144" s="14">
        <f t="shared" si="7"/>
        <v>0</v>
      </c>
      <c r="J144" s="14">
        <f t="shared" si="9"/>
        <v>0</v>
      </c>
      <c r="K144" s="130">
        <f t="shared" si="10"/>
        <v>695908.45070422534</v>
      </c>
    </row>
    <row r="145" spans="1:11" x14ac:dyDescent="0.25">
      <c r="A145" s="57">
        <f>'A) Base RI'!A144</f>
        <v>5634</v>
      </c>
      <c r="B145" s="40" t="str">
        <f>'A) Base RI'!B144</f>
        <v>Echichens</v>
      </c>
      <c r="C145" s="19">
        <f>'A) Base RI'!U144</f>
        <v>2639</v>
      </c>
      <c r="D145" s="14">
        <f t="shared" si="8"/>
        <v>1000</v>
      </c>
      <c r="E145" s="19">
        <f t="shared" si="7"/>
        <v>1639</v>
      </c>
      <c r="F145" s="14">
        <f t="shared" si="7"/>
        <v>0</v>
      </c>
      <c r="G145" s="19">
        <f t="shared" si="7"/>
        <v>0</v>
      </c>
      <c r="H145" s="49">
        <f t="shared" si="7"/>
        <v>0</v>
      </c>
      <c r="I145" s="14">
        <f t="shared" si="7"/>
        <v>0</v>
      </c>
      <c r="J145" s="14">
        <f t="shared" si="9"/>
        <v>0</v>
      </c>
      <c r="K145" s="130">
        <f t="shared" si="10"/>
        <v>664161.97183098597</v>
      </c>
    </row>
    <row r="146" spans="1:11" x14ac:dyDescent="0.25">
      <c r="A146" s="57">
        <f>'A) Base RI'!A145</f>
        <v>5635</v>
      </c>
      <c r="B146" s="40" t="str">
        <f>'A) Base RI'!B145</f>
        <v>Ecublens</v>
      </c>
      <c r="C146" s="19">
        <f>'A) Base RI'!U145</f>
        <v>12340</v>
      </c>
      <c r="D146" s="14">
        <f t="shared" si="8"/>
        <v>1000</v>
      </c>
      <c r="E146" s="19">
        <f t="shared" si="7"/>
        <v>2000</v>
      </c>
      <c r="F146" s="14">
        <f t="shared" si="7"/>
        <v>2000</v>
      </c>
      <c r="G146" s="19">
        <f t="shared" si="7"/>
        <v>4000</v>
      </c>
      <c r="H146" s="49">
        <f t="shared" si="7"/>
        <v>3000</v>
      </c>
      <c r="I146" s="14">
        <f t="shared" si="7"/>
        <v>340</v>
      </c>
      <c r="J146" s="14">
        <f t="shared" si="9"/>
        <v>0</v>
      </c>
      <c r="K146" s="130">
        <f t="shared" si="10"/>
        <v>6990140.8450704217</v>
      </c>
    </row>
    <row r="147" spans="1:11" x14ac:dyDescent="0.25">
      <c r="A147" s="57">
        <f>'A) Base RI'!A146</f>
        <v>5636</v>
      </c>
      <c r="B147" s="40" t="str">
        <f>'A) Base RI'!B146</f>
        <v>Etoy</v>
      </c>
      <c r="C147" s="19">
        <f>'A) Base RI'!U146</f>
        <v>2906</v>
      </c>
      <c r="D147" s="14">
        <f t="shared" si="8"/>
        <v>1000</v>
      </c>
      <c r="E147" s="19">
        <f t="shared" si="7"/>
        <v>1906</v>
      </c>
      <c r="F147" s="14">
        <f t="shared" si="7"/>
        <v>0</v>
      </c>
      <c r="G147" s="19">
        <f t="shared" si="7"/>
        <v>0</v>
      </c>
      <c r="H147" s="49">
        <f t="shared" si="7"/>
        <v>0</v>
      </c>
      <c r="I147" s="14">
        <f t="shared" si="7"/>
        <v>0</v>
      </c>
      <c r="J147" s="14">
        <f t="shared" si="9"/>
        <v>0</v>
      </c>
      <c r="K147" s="130">
        <f t="shared" si="10"/>
        <v>756295.77464788733</v>
      </c>
    </row>
    <row r="148" spans="1:11" x14ac:dyDescent="0.25">
      <c r="A148" s="57">
        <f>'A) Base RI'!A147</f>
        <v>5637</v>
      </c>
      <c r="B148" s="40" t="str">
        <f>'A) Base RI'!B147</f>
        <v>Lavigny</v>
      </c>
      <c r="C148" s="19">
        <f>'A) Base RI'!U147</f>
        <v>1006</v>
      </c>
      <c r="D148" s="14">
        <f t="shared" si="8"/>
        <v>1000</v>
      </c>
      <c r="E148" s="19">
        <f t="shared" si="7"/>
        <v>6</v>
      </c>
      <c r="F148" s="14">
        <f t="shared" si="7"/>
        <v>0</v>
      </c>
      <c r="G148" s="19">
        <f t="shared" si="7"/>
        <v>0</v>
      </c>
      <c r="H148" s="49">
        <f t="shared" si="7"/>
        <v>0</v>
      </c>
      <c r="I148" s="14">
        <f t="shared" si="7"/>
        <v>0</v>
      </c>
      <c r="J148" s="14">
        <f t="shared" si="9"/>
        <v>0</v>
      </c>
      <c r="K148" s="130">
        <f t="shared" si="10"/>
        <v>100661.97183098592</v>
      </c>
    </row>
    <row r="149" spans="1:11" x14ac:dyDescent="0.25">
      <c r="A149" s="57">
        <f>'A) Base RI'!A148</f>
        <v>5638</v>
      </c>
      <c r="B149" s="40" t="str">
        <f>'A) Base RI'!B148</f>
        <v>Lonay</v>
      </c>
      <c r="C149" s="19">
        <f>'A) Base RI'!U148</f>
        <v>2530</v>
      </c>
      <c r="D149" s="14">
        <f t="shared" si="8"/>
        <v>1000</v>
      </c>
      <c r="E149" s="19">
        <f t="shared" si="7"/>
        <v>1530</v>
      </c>
      <c r="F149" s="14">
        <f t="shared" si="7"/>
        <v>0</v>
      </c>
      <c r="G149" s="19">
        <f t="shared" si="7"/>
        <v>0</v>
      </c>
      <c r="H149" s="49">
        <f t="shared" si="7"/>
        <v>0</v>
      </c>
      <c r="I149" s="14">
        <f t="shared" si="7"/>
        <v>0</v>
      </c>
      <c r="J149" s="14">
        <f t="shared" si="9"/>
        <v>0</v>
      </c>
      <c r="K149" s="130">
        <f t="shared" si="10"/>
        <v>626549.29577464785</v>
      </c>
    </row>
    <row r="150" spans="1:11" x14ac:dyDescent="0.25">
      <c r="A150" s="57">
        <f>'A) Base RI'!A149</f>
        <v>5639</v>
      </c>
      <c r="B150" s="40" t="str">
        <f>'A) Base RI'!B149</f>
        <v>Lully</v>
      </c>
      <c r="C150" s="19">
        <f>'A) Base RI'!U149</f>
        <v>785</v>
      </c>
      <c r="D150" s="14">
        <f t="shared" si="8"/>
        <v>785</v>
      </c>
      <c r="E150" s="19">
        <f t="shared" si="7"/>
        <v>0</v>
      </c>
      <c r="F150" s="14">
        <f t="shared" si="7"/>
        <v>0</v>
      </c>
      <c r="G150" s="19">
        <f t="shared" si="7"/>
        <v>0</v>
      </c>
      <c r="H150" s="49">
        <f t="shared" si="7"/>
        <v>0</v>
      </c>
      <c r="I150" s="14">
        <f t="shared" si="7"/>
        <v>0</v>
      </c>
      <c r="J150" s="14">
        <f t="shared" si="9"/>
        <v>0</v>
      </c>
      <c r="K150" s="130">
        <f t="shared" si="10"/>
        <v>77394.366197183088</v>
      </c>
    </row>
    <row r="151" spans="1:11" x14ac:dyDescent="0.25">
      <c r="A151" s="57">
        <f>'A) Base RI'!A150</f>
        <v>5640</v>
      </c>
      <c r="B151" s="40" t="str">
        <f>'A) Base RI'!B150</f>
        <v>Lussy-sur-Morges</v>
      </c>
      <c r="C151" s="19">
        <f>'A) Base RI'!U150</f>
        <v>644</v>
      </c>
      <c r="D151" s="14">
        <f t="shared" si="8"/>
        <v>644</v>
      </c>
      <c r="E151" s="19">
        <f t="shared" si="7"/>
        <v>0</v>
      </c>
      <c r="F151" s="14">
        <f t="shared" si="7"/>
        <v>0</v>
      </c>
      <c r="G151" s="19">
        <f t="shared" si="7"/>
        <v>0</v>
      </c>
      <c r="H151" s="49">
        <f t="shared" si="7"/>
        <v>0</v>
      </c>
      <c r="I151" s="14">
        <f t="shared" si="7"/>
        <v>0</v>
      </c>
      <c r="J151" s="14">
        <f t="shared" si="9"/>
        <v>0</v>
      </c>
      <c r="K151" s="130">
        <f t="shared" si="10"/>
        <v>63492.957746478867</v>
      </c>
    </row>
    <row r="152" spans="1:11" x14ac:dyDescent="0.25">
      <c r="A152" s="57">
        <f>'A) Base RI'!A151</f>
        <v>5642</v>
      </c>
      <c r="B152" s="40" t="str">
        <f>'A) Base RI'!B151</f>
        <v>Morges</v>
      </c>
      <c r="C152" s="19">
        <f>'A) Base RI'!U151</f>
        <v>15819</v>
      </c>
      <c r="D152" s="14">
        <f t="shared" si="8"/>
        <v>1000</v>
      </c>
      <c r="E152" s="19">
        <f t="shared" si="7"/>
        <v>2000</v>
      </c>
      <c r="F152" s="14">
        <f t="shared" si="7"/>
        <v>2000</v>
      </c>
      <c r="G152" s="19">
        <f t="shared" si="7"/>
        <v>4000</v>
      </c>
      <c r="H152" s="49">
        <f t="shared" si="7"/>
        <v>3000</v>
      </c>
      <c r="I152" s="14">
        <f t="shared" si="7"/>
        <v>3000</v>
      </c>
      <c r="J152" s="14">
        <f t="shared" si="9"/>
        <v>819</v>
      </c>
      <c r="K152" s="130">
        <f t="shared" si="10"/>
        <v>10460514.084507041</v>
      </c>
    </row>
    <row r="153" spans="1:11" x14ac:dyDescent="0.25">
      <c r="A153" s="57">
        <f>'A) Base RI'!A152</f>
        <v>5643</v>
      </c>
      <c r="B153" s="40" t="str">
        <f>'A) Base RI'!B152</f>
        <v>Préverenges</v>
      </c>
      <c r="C153" s="19">
        <f>'A) Base RI'!U152</f>
        <v>5276</v>
      </c>
      <c r="D153" s="14">
        <f t="shared" si="8"/>
        <v>1000</v>
      </c>
      <c r="E153" s="19">
        <f t="shared" si="7"/>
        <v>2000</v>
      </c>
      <c r="F153" s="14">
        <f t="shared" si="7"/>
        <v>2000</v>
      </c>
      <c r="G153" s="19">
        <f t="shared" si="7"/>
        <v>276</v>
      </c>
      <c r="H153" s="49">
        <f t="shared" si="7"/>
        <v>0</v>
      </c>
      <c r="I153" s="14">
        <f t="shared" si="7"/>
        <v>0</v>
      </c>
      <c r="J153" s="14">
        <f t="shared" si="9"/>
        <v>0</v>
      </c>
      <c r="K153" s="130">
        <f t="shared" si="10"/>
        <v>1937915.4929577464</v>
      </c>
    </row>
    <row r="154" spans="1:11" x14ac:dyDescent="0.25">
      <c r="A154" s="57">
        <f>'A) Base RI'!A153</f>
        <v>5644</v>
      </c>
      <c r="B154" s="40" t="str">
        <f>'A) Base RI'!B153</f>
        <v>Reverolle</v>
      </c>
      <c r="C154" s="19">
        <f>'A) Base RI'!U153</f>
        <v>368</v>
      </c>
      <c r="D154" s="14">
        <f t="shared" si="8"/>
        <v>368</v>
      </c>
      <c r="E154" s="19">
        <f t="shared" si="7"/>
        <v>0</v>
      </c>
      <c r="F154" s="14">
        <f t="shared" si="7"/>
        <v>0</v>
      </c>
      <c r="G154" s="19">
        <f t="shared" si="7"/>
        <v>0</v>
      </c>
      <c r="H154" s="49">
        <f t="shared" si="7"/>
        <v>0</v>
      </c>
      <c r="I154" s="14">
        <f t="shared" si="7"/>
        <v>0</v>
      </c>
      <c r="J154" s="14">
        <f t="shared" si="9"/>
        <v>0</v>
      </c>
      <c r="K154" s="130">
        <f t="shared" si="10"/>
        <v>36281.690140845065</v>
      </c>
    </row>
    <row r="155" spans="1:11" x14ac:dyDescent="0.25">
      <c r="A155" s="57">
        <f>'A) Base RI'!A154</f>
        <v>5645</v>
      </c>
      <c r="B155" s="40" t="str">
        <f>'A) Base RI'!B154</f>
        <v>Romanel-sur-Morges</v>
      </c>
      <c r="C155" s="19">
        <f>'A) Base RI'!U154</f>
        <v>477</v>
      </c>
      <c r="D155" s="14">
        <f t="shared" si="8"/>
        <v>477</v>
      </c>
      <c r="E155" s="19">
        <f t="shared" si="7"/>
        <v>0</v>
      </c>
      <c r="F155" s="14">
        <f t="shared" si="7"/>
        <v>0</v>
      </c>
      <c r="G155" s="19">
        <f t="shared" si="7"/>
        <v>0</v>
      </c>
      <c r="H155" s="49">
        <f t="shared" si="7"/>
        <v>0</v>
      </c>
      <c r="I155" s="14">
        <f t="shared" si="7"/>
        <v>0</v>
      </c>
      <c r="J155" s="14">
        <f t="shared" si="9"/>
        <v>0</v>
      </c>
      <c r="K155" s="130">
        <f t="shared" si="10"/>
        <v>47028.169014084502</v>
      </c>
    </row>
    <row r="156" spans="1:11" x14ac:dyDescent="0.25">
      <c r="A156" s="57">
        <f>'A) Base RI'!A155</f>
        <v>5646</v>
      </c>
      <c r="B156" s="40" t="str">
        <f>'A) Base RI'!B155</f>
        <v>Saint-Prex</v>
      </c>
      <c r="C156" s="19">
        <f>'A) Base RI'!U155</f>
        <v>5661</v>
      </c>
      <c r="D156" s="14">
        <f t="shared" si="8"/>
        <v>1000</v>
      </c>
      <c r="E156" s="19">
        <f t="shared" si="7"/>
        <v>2000</v>
      </c>
      <c r="F156" s="14">
        <f t="shared" si="7"/>
        <v>2000</v>
      </c>
      <c r="G156" s="19">
        <f t="shared" si="7"/>
        <v>661</v>
      </c>
      <c r="H156" s="49">
        <f t="shared" si="7"/>
        <v>0</v>
      </c>
      <c r="I156" s="14">
        <f t="shared" si="7"/>
        <v>0</v>
      </c>
      <c r="J156" s="14">
        <f t="shared" si="9"/>
        <v>0</v>
      </c>
      <c r="K156" s="130">
        <f t="shared" si="10"/>
        <v>2165661.971830986</v>
      </c>
    </row>
    <row r="157" spans="1:11" x14ac:dyDescent="0.25">
      <c r="A157" s="57">
        <f>'A) Base RI'!A156</f>
        <v>5648</v>
      </c>
      <c r="B157" s="40" t="str">
        <f>'A) Base RI'!B156</f>
        <v>Saint-Sulpice</v>
      </c>
      <c r="C157" s="19">
        <f>'A) Base RI'!U156</f>
        <v>4148</v>
      </c>
      <c r="D157" s="14">
        <f t="shared" si="8"/>
        <v>1000</v>
      </c>
      <c r="E157" s="19">
        <f t="shared" si="7"/>
        <v>2000</v>
      </c>
      <c r="F157" s="14">
        <f t="shared" si="7"/>
        <v>1148</v>
      </c>
      <c r="G157" s="19">
        <f t="shared" ref="E157:I208" si="11">IF($C157&gt;G$4,IF($C157&lt;G$5,$C157-G$4,G$5-G$4),0)</f>
        <v>0</v>
      </c>
      <c r="H157" s="49">
        <f t="shared" si="11"/>
        <v>0</v>
      </c>
      <c r="I157" s="14">
        <f t="shared" si="11"/>
        <v>0</v>
      </c>
      <c r="J157" s="14">
        <f t="shared" si="9"/>
        <v>0</v>
      </c>
      <c r="K157" s="130">
        <f t="shared" si="10"/>
        <v>1354647.8873239437</v>
      </c>
    </row>
    <row r="158" spans="1:11" x14ac:dyDescent="0.25">
      <c r="A158" s="57">
        <f>'A) Base RI'!A157</f>
        <v>5649</v>
      </c>
      <c r="B158" s="40" t="str">
        <f>'A) Base RI'!B157</f>
        <v>Tolochenaz</v>
      </c>
      <c r="C158" s="19">
        <f>'A) Base RI'!U157</f>
        <v>1865</v>
      </c>
      <c r="D158" s="14">
        <f t="shared" si="8"/>
        <v>1000</v>
      </c>
      <c r="E158" s="19">
        <f t="shared" si="11"/>
        <v>865</v>
      </c>
      <c r="F158" s="14">
        <f t="shared" si="11"/>
        <v>0</v>
      </c>
      <c r="G158" s="19">
        <f t="shared" si="11"/>
        <v>0</v>
      </c>
      <c r="H158" s="49">
        <f t="shared" si="11"/>
        <v>0</v>
      </c>
      <c r="I158" s="14">
        <f t="shared" si="11"/>
        <v>0</v>
      </c>
      <c r="J158" s="14">
        <f t="shared" si="9"/>
        <v>0</v>
      </c>
      <c r="K158" s="130">
        <f t="shared" si="10"/>
        <v>397077.46478873241</v>
      </c>
    </row>
    <row r="159" spans="1:11" x14ac:dyDescent="0.25">
      <c r="A159" s="57">
        <f>'A) Base RI'!A158</f>
        <v>5650</v>
      </c>
      <c r="B159" s="40" t="str">
        <f>'A) Base RI'!B158</f>
        <v>Vaux-sur-Morges</v>
      </c>
      <c r="C159" s="19">
        <f>'A) Base RI'!U158</f>
        <v>200</v>
      </c>
      <c r="D159" s="14">
        <f t="shared" si="8"/>
        <v>200</v>
      </c>
      <c r="E159" s="19">
        <f t="shared" si="11"/>
        <v>0</v>
      </c>
      <c r="F159" s="14">
        <f t="shared" si="11"/>
        <v>0</v>
      </c>
      <c r="G159" s="19">
        <f t="shared" si="11"/>
        <v>0</v>
      </c>
      <c r="H159" s="49">
        <f t="shared" si="11"/>
        <v>0</v>
      </c>
      <c r="I159" s="14">
        <f t="shared" si="11"/>
        <v>0</v>
      </c>
      <c r="J159" s="14">
        <f t="shared" si="9"/>
        <v>0</v>
      </c>
      <c r="K159" s="130">
        <f t="shared" si="10"/>
        <v>19718.309859154928</v>
      </c>
    </row>
    <row r="160" spans="1:11" x14ac:dyDescent="0.25">
      <c r="A160" s="57">
        <f>'A) Base RI'!A159</f>
        <v>5651</v>
      </c>
      <c r="B160" s="40" t="str">
        <f>'A) Base RI'!B159</f>
        <v>Villars-Sainte-Croix</v>
      </c>
      <c r="C160" s="19">
        <f>'A) Base RI'!U159</f>
        <v>841</v>
      </c>
      <c r="D160" s="14">
        <f t="shared" si="8"/>
        <v>841</v>
      </c>
      <c r="E160" s="19">
        <f t="shared" si="11"/>
        <v>0</v>
      </c>
      <c r="F160" s="14">
        <f t="shared" si="11"/>
        <v>0</v>
      </c>
      <c r="G160" s="19">
        <f t="shared" si="11"/>
        <v>0</v>
      </c>
      <c r="H160" s="49">
        <f t="shared" si="11"/>
        <v>0</v>
      </c>
      <c r="I160" s="14">
        <f t="shared" si="11"/>
        <v>0</v>
      </c>
      <c r="J160" s="14">
        <f t="shared" si="9"/>
        <v>0</v>
      </c>
      <c r="K160" s="130">
        <f t="shared" si="10"/>
        <v>82915.492957746479</v>
      </c>
    </row>
    <row r="161" spans="1:11" x14ac:dyDescent="0.25">
      <c r="A161" s="57">
        <f>'A) Base RI'!A160</f>
        <v>5652</v>
      </c>
      <c r="B161" s="40" t="str">
        <f>'A) Base RI'!B160</f>
        <v>Villars-sous-Yens</v>
      </c>
      <c r="C161" s="19">
        <f>'A) Base RI'!U160</f>
        <v>598</v>
      </c>
      <c r="D161" s="14">
        <f t="shared" si="8"/>
        <v>598</v>
      </c>
      <c r="E161" s="19">
        <f t="shared" si="11"/>
        <v>0</v>
      </c>
      <c r="F161" s="14">
        <f t="shared" si="11"/>
        <v>0</v>
      </c>
      <c r="G161" s="19">
        <f t="shared" si="11"/>
        <v>0</v>
      </c>
      <c r="H161" s="49">
        <f t="shared" si="11"/>
        <v>0</v>
      </c>
      <c r="I161" s="14">
        <f t="shared" si="11"/>
        <v>0</v>
      </c>
      <c r="J161" s="14">
        <f t="shared" si="9"/>
        <v>0</v>
      </c>
      <c r="K161" s="130">
        <f t="shared" si="10"/>
        <v>58957.746478873232</v>
      </c>
    </row>
    <row r="162" spans="1:11" x14ac:dyDescent="0.25">
      <c r="A162" s="57">
        <f>'A) Base RI'!A161</f>
        <v>5653</v>
      </c>
      <c r="B162" s="40" t="str">
        <f>'A) Base RI'!B161</f>
        <v>Vufflens-le-Château</v>
      </c>
      <c r="C162" s="19">
        <f>'A) Base RI'!U161</f>
        <v>841</v>
      </c>
      <c r="D162" s="14">
        <f t="shared" si="8"/>
        <v>841</v>
      </c>
      <c r="E162" s="19">
        <f t="shared" si="11"/>
        <v>0</v>
      </c>
      <c r="F162" s="14">
        <f t="shared" si="11"/>
        <v>0</v>
      </c>
      <c r="G162" s="19">
        <f t="shared" si="11"/>
        <v>0</v>
      </c>
      <c r="H162" s="49">
        <f t="shared" si="11"/>
        <v>0</v>
      </c>
      <c r="I162" s="14">
        <f t="shared" si="11"/>
        <v>0</v>
      </c>
      <c r="J162" s="14">
        <f t="shared" si="9"/>
        <v>0</v>
      </c>
      <c r="K162" s="130">
        <f t="shared" si="10"/>
        <v>82915.492957746479</v>
      </c>
    </row>
    <row r="163" spans="1:11" x14ac:dyDescent="0.25">
      <c r="A163" s="57">
        <f>'A) Base RI'!A162</f>
        <v>5654</v>
      </c>
      <c r="B163" s="40" t="str">
        <f>'A) Base RI'!B162</f>
        <v>Vullierens</v>
      </c>
      <c r="C163" s="19">
        <f>'A) Base RI'!U162</f>
        <v>461</v>
      </c>
      <c r="D163" s="14">
        <f t="shared" si="8"/>
        <v>461</v>
      </c>
      <c r="E163" s="19">
        <f t="shared" si="11"/>
        <v>0</v>
      </c>
      <c r="F163" s="14">
        <f t="shared" si="11"/>
        <v>0</v>
      </c>
      <c r="G163" s="19">
        <f t="shared" si="11"/>
        <v>0</v>
      </c>
      <c r="H163" s="49">
        <f t="shared" si="11"/>
        <v>0</v>
      </c>
      <c r="I163" s="14">
        <f t="shared" si="11"/>
        <v>0</v>
      </c>
      <c r="J163" s="14">
        <f t="shared" si="9"/>
        <v>0</v>
      </c>
      <c r="K163" s="130">
        <f t="shared" si="10"/>
        <v>45450.704225352107</v>
      </c>
    </row>
    <row r="164" spans="1:11" x14ac:dyDescent="0.25">
      <c r="A164" s="57">
        <f>'A) Base RI'!A163</f>
        <v>5655</v>
      </c>
      <c r="B164" s="40" t="str">
        <f>'A) Base RI'!B163</f>
        <v>Yens</v>
      </c>
      <c r="C164" s="19">
        <f>'A) Base RI'!U163</f>
        <v>1388</v>
      </c>
      <c r="D164" s="14">
        <f t="shared" si="8"/>
        <v>1000</v>
      </c>
      <c r="E164" s="19">
        <f t="shared" si="11"/>
        <v>388</v>
      </c>
      <c r="F164" s="14">
        <f t="shared" si="11"/>
        <v>0</v>
      </c>
      <c r="G164" s="19">
        <f t="shared" si="11"/>
        <v>0</v>
      </c>
      <c r="H164" s="49">
        <f t="shared" si="11"/>
        <v>0</v>
      </c>
      <c r="I164" s="14">
        <f t="shared" si="11"/>
        <v>0</v>
      </c>
      <c r="J164" s="14">
        <f t="shared" si="9"/>
        <v>0</v>
      </c>
      <c r="K164" s="130">
        <f t="shared" si="10"/>
        <v>232478.87323943659</v>
      </c>
    </row>
    <row r="165" spans="1:11" x14ac:dyDescent="0.25">
      <c r="A165" s="57">
        <f>'A) Base RI'!A164</f>
        <v>5661</v>
      </c>
      <c r="B165" s="40" t="str">
        <f>'A) Base RI'!B164</f>
        <v>Boulens</v>
      </c>
      <c r="C165" s="19">
        <f>'A) Base RI'!U164</f>
        <v>368</v>
      </c>
      <c r="D165" s="14">
        <f t="shared" si="8"/>
        <v>368</v>
      </c>
      <c r="E165" s="19">
        <f t="shared" si="11"/>
        <v>0</v>
      </c>
      <c r="F165" s="14">
        <f t="shared" si="11"/>
        <v>0</v>
      </c>
      <c r="G165" s="19">
        <f t="shared" si="11"/>
        <v>0</v>
      </c>
      <c r="H165" s="49">
        <f t="shared" si="11"/>
        <v>0</v>
      </c>
      <c r="I165" s="14">
        <f t="shared" si="11"/>
        <v>0</v>
      </c>
      <c r="J165" s="14">
        <f t="shared" si="9"/>
        <v>0</v>
      </c>
      <c r="K165" s="130">
        <f t="shared" si="10"/>
        <v>36281.690140845065</v>
      </c>
    </row>
    <row r="166" spans="1:11" x14ac:dyDescent="0.25">
      <c r="A166" s="57">
        <f>'A) Base RI'!A165</f>
        <v>5663</v>
      </c>
      <c r="B166" s="40" t="str">
        <f>'A) Base RI'!B165</f>
        <v>Bussy-sur-Moudon</v>
      </c>
      <c r="C166" s="19">
        <f>'A) Base RI'!U165</f>
        <v>208</v>
      </c>
      <c r="D166" s="14">
        <f t="shared" si="8"/>
        <v>208</v>
      </c>
      <c r="E166" s="19">
        <f t="shared" si="11"/>
        <v>0</v>
      </c>
      <c r="F166" s="14">
        <f t="shared" si="11"/>
        <v>0</v>
      </c>
      <c r="G166" s="19">
        <f t="shared" si="11"/>
        <v>0</v>
      </c>
      <c r="H166" s="49">
        <f t="shared" si="11"/>
        <v>0</v>
      </c>
      <c r="I166" s="14">
        <f t="shared" si="11"/>
        <v>0</v>
      </c>
      <c r="J166" s="14">
        <f t="shared" si="9"/>
        <v>0</v>
      </c>
      <c r="K166" s="130">
        <f t="shared" si="10"/>
        <v>20507.042253521126</v>
      </c>
    </row>
    <row r="167" spans="1:11" x14ac:dyDescent="0.25">
      <c r="A167" s="57">
        <f>'A) Base RI'!A166</f>
        <v>5665</v>
      </c>
      <c r="B167" s="40" t="str">
        <f>'A) Base RI'!B166</f>
        <v>Chavannes-sur-Moudon</v>
      </c>
      <c r="C167" s="19">
        <f>'A) Base RI'!U166</f>
        <v>224</v>
      </c>
      <c r="D167" s="14">
        <f t="shared" si="8"/>
        <v>224</v>
      </c>
      <c r="E167" s="19">
        <f t="shared" si="11"/>
        <v>0</v>
      </c>
      <c r="F167" s="14">
        <f t="shared" si="11"/>
        <v>0</v>
      </c>
      <c r="G167" s="19">
        <f t="shared" si="11"/>
        <v>0</v>
      </c>
      <c r="H167" s="49">
        <f t="shared" si="11"/>
        <v>0</v>
      </c>
      <c r="I167" s="14">
        <f t="shared" si="11"/>
        <v>0</v>
      </c>
      <c r="J167" s="14">
        <f t="shared" si="9"/>
        <v>0</v>
      </c>
      <c r="K167" s="130">
        <f t="shared" si="10"/>
        <v>22084.507042253521</v>
      </c>
    </row>
    <row r="168" spans="1:11" x14ac:dyDescent="0.25">
      <c r="A168" s="57">
        <f>'A) Base RI'!A167</f>
        <v>5669</v>
      </c>
      <c r="B168" s="40" t="str">
        <f>'A) Base RI'!B167</f>
        <v>Curtilles</v>
      </c>
      <c r="C168" s="19">
        <f>'A) Base RI'!U167</f>
        <v>309</v>
      </c>
      <c r="D168" s="14">
        <f t="shared" si="8"/>
        <v>309</v>
      </c>
      <c r="E168" s="19">
        <f t="shared" si="11"/>
        <v>0</v>
      </c>
      <c r="F168" s="14">
        <f t="shared" si="11"/>
        <v>0</v>
      </c>
      <c r="G168" s="19">
        <f t="shared" si="11"/>
        <v>0</v>
      </c>
      <c r="H168" s="49">
        <f t="shared" si="11"/>
        <v>0</v>
      </c>
      <c r="I168" s="14">
        <f t="shared" si="11"/>
        <v>0</v>
      </c>
      <c r="J168" s="14">
        <f t="shared" si="9"/>
        <v>0</v>
      </c>
      <c r="K168" s="130">
        <f t="shared" si="10"/>
        <v>30464.788732394365</v>
      </c>
    </row>
    <row r="169" spans="1:11" x14ac:dyDescent="0.25">
      <c r="A169" s="57">
        <f>'A) Base RI'!A168</f>
        <v>5671</v>
      </c>
      <c r="B169" s="40" t="str">
        <f>'A) Base RI'!B168</f>
        <v>Dompierre</v>
      </c>
      <c r="C169" s="19">
        <f>'A) Base RI'!U168</f>
        <v>242</v>
      </c>
      <c r="D169" s="14">
        <f t="shared" si="8"/>
        <v>242</v>
      </c>
      <c r="E169" s="19">
        <f t="shared" si="11"/>
        <v>0</v>
      </c>
      <c r="F169" s="14">
        <f t="shared" si="11"/>
        <v>0</v>
      </c>
      <c r="G169" s="19">
        <f t="shared" si="11"/>
        <v>0</v>
      </c>
      <c r="H169" s="49">
        <f t="shared" si="11"/>
        <v>0</v>
      </c>
      <c r="I169" s="14">
        <f t="shared" si="11"/>
        <v>0</v>
      </c>
      <c r="J169" s="14">
        <f t="shared" si="9"/>
        <v>0</v>
      </c>
      <c r="K169" s="130">
        <f t="shared" si="10"/>
        <v>23859.154929577464</v>
      </c>
    </row>
    <row r="170" spans="1:11" x14ac:dyDescent="0.25">
      <c r="A170" s="57">
        <f>'A) Base RI'!A169</f>
        <v>5673</v>
      </c>
      <c r="B170" s="40" t="str">
        <f>'A) Base RI'!B169</f>
        <v>Hermenches</v>
      </c>
      <c r="C170" s="19">
        <f>'A) Base RI'!U169</f>
        <v>379</v>
      </c>
      <c r="D170" s="14">
        <f t="shared" si="8"/>
        <v>379</v>
      </c>
      <c r="E170" s="19">
        <f t="shared" si="11"/>
        <v>0</v>
      </c>
      <c r="F170" s="14">
        <f t="shared" si="11"/>
        <v>0</v>
      </c>
      <c r="G170" s="19">
        <f t="shared" si="11"/>
        <v>0</v>
      </c>
      <c r="H170" s="49">
        <f t="shared" si="11"/>
        <v>0</v>
      </c>
      <c r="I170" s="14">
        <f t="shared" si="11"/>
        <v>0</v>
      </c>
      <c r="J170" s="14">
        <f t="shared" si="9"/>
        <v>0</v>
      </c>
      <c r="K170" s="130">
        <f t="shared" si="10"/>
        <v>37366.197183098586</v>
      </c>
    </row>
    <row r="171" spans="1:11" x14ac:dyDescent="0.25">
      <c r="A171" s="57">
        <f>'A) Base RI'!A170</f>
        <v>5674</v>
      </c>
      <c r="B171" s="40" t="str">
        <f>'A) Base RI'!B170</f>
        <v>Lovatens</v>
      </c>
      <c r="C171" s="19">
        <f>'A) Base RI'!U170</f>
        <v>143</v>
      </c>
      <c r="D171" s="14">
        <f t="shared" ref="D171:D234" si="12">IF($C171&gt;D$4,IF($C171&lt;D$5,$C171-D$4,D$5-D$4),0)</f>
        <v>143</v>
      </c>
      <c r="E171" s="19">
        <f t="shared" si="11"/>
        <v>0</v>
      </c>
      <c r="F171" s="14">
        <f t="shared" si="11"/>
        <v>0</v>
      </c>
      <c r="G171" s="19">
        <f t="shared" si="11"/>
        <v>0</v>
      </c>
      <c r="H171" s="49">
        <f t="shared" si="11"/>
        <v>0</v>
      </c>
      <c r="I171" s="14">
        <f t="shared" si="11"/>
        <v>0</v>
      </c>
      <c r="J171" s="14">
        <f t="shared" si="9"/>
        <v>0</v>
      </c>
      <c r="K171" s="130">
        <f t="shared" si="10"/>
        <v>14098.591549295774</v>
      </c>
    </row>
    <row r="172" spans="1:11" x14ac:dyDescent="0.25">
      <c r="A172" s="57">
        <f>'A) Base RI'!A171</f>
        <v>5675</v>
      </c>
      <c r="B172" s="40" t="str">
        <f>'A) Base RI'!B171</f>
        <v>Lucens</v>
      </c>
      <c r="C172" s="19">
        <f>'A) Base RI'!U171</f>
        <v>4009</v>
      </c>
      <c r="D172" s="14">
        <f t="shared" si="12"/>
        <v>1000</v>
      </c>
      <c r="E172" s="19">
        <f t="shared" si="11"/>
        <v>2000</v>
      </c>
      <c r="F172" s="14">
        <f t="shared" si="11"/>
        <v>1009</v>
      </c>
      <c r="G172" s="19">
        <f t="shared" si="11"/>
        <v>0</v>
      </c>
      <c r="H172" s="49">
        <f t="shared" si="11"/>
        <v>0</v>
      </c>
      <c r="I172" s="14">
        <f t="shared" si="11"/>
        <v>0</v>
      </c>
      <c r="J172" s="14">
        <f t="shared" si="9"/>
        <v>0</v>
      </c>
      <c r="K172" s="130">
        <f t="shared" si="10"/>
        <v>1286126.7605633803</v>
      </c>
    </row>
    <row r="173" spans="1:11" x14ac:dyDescent="0.25">
      <c r="A173" s="57">
        <f>'A) Base RI'!A172</f>
        <v>5678</v>
      </c>
      <c r="B173" s="40" t="str">
        <f>'A) Base RI'!B172</f>
        <v>Moudon</v>
      </c>
      <c r="C173" s="19">
        <f>'A) Base RI'!U172</f>
        <v>6003</v>
      </c>
      <c r="D173" s="14">
        <f t="shared" si="12"/>
        <v>1000</v>
      </c>
      <c r="E173" s="19">
        <f t="shared" si="11"/>
        <v>2000</v>
      </c>
      <c r="F173" s="14">
        <f t="shared" si="11"/>
        <v>2000</v>
      </c>
      <c r="G173" s="19">
        <f t="shared" si="11"/>
        <v>1003</v>
      </c>
      <c r="H173" s="49">
        <f t="shared" si="11"/>
        <v>0</v>
      </c>
      <c r="I173" s="14">
        <f t="shared" si="11"/>
        <v>0</v>
      </c>
      <c r="J173" s="14">
        <f t="shared" si="9"/>
        <v>0</v>
      </c>
      <c r="K173" s="130">
        <f t="shared" si="10"/>
        <v>2367971.8309859154</v>
      </c>
    </row>
    <row r="174" spans="1:11" x14ac:dyDescent="0.25">
      <c r="A174" s="57">
        <f>'A) Base RI'!A173</f>
        <v>5680</v>
      </c>
      <c r="B174" s="40" t="str">
        <f>'A) Base RI'!B173</f>
        <v>Ogens</v>
      </c>
      <c r="C174" s="19">
        <f>'A) Base RI'!U173</f>
        <v>296</v>
      </c>
      <c r="D174" s="14">
        <f t="shared" si="12"/>
        <v>296</v>
      </c>
      <c r="E174" s="19">
        <f t="shared" si="11"/>
        <v>0</v>
      </c>
      <c r="F174" s="14">
        <f t="shared" si="11"/>
        <v>0</v>
      </c>
      <c r="G174" s="19">
        <f t="shared" si="11"/>
        <v>0</v>
      </c>
      <c r="H174" s="49">
        <f t="shared" si="11"/>
        <v>0</v>
      </c>
      <c r="I174" s="14">
        <f t="shared" si="11"/>
        <v>0</v>
      </c>
      <c r="J174" s="14">
        <f t="shared" si="9"/>
        <v>0</v>
      </c>
      <c r="K174" s="130">
        <f t="shared" si="10"/>
        <v>29183.098591549293</v>
      </c>
    </row>
    <row r="175" spans="1:11" x14ac:dyDescent="0.25">
      <c r="A175" s="57">
        <f>'A) Base RI'!A174</f>
        <v>5683</v>
      </c>
      <c r="B175" s="40" t="str">
        <f>'A) Base RI'!B174</f>
        <v>Prévonloup</v>
      </c>
      <c r="C175" s="19">
        <f>'A) Base RI'!U174</f>
        <v>166</v>
      </c>
      <c r="D175" s="14">
        <f t="shared" si="12"/>
        <v>166</v>
      </c>
      <c r="E175" s="19">
        <f t="shared" si="11"/>
        <v>0</v>
      </c>
      <c r="F175" s="14">
        <f t="shared" si="11"/>
        <v>0</v>
      </c>
      <c r="G175" s="19">
        <f t="shared" si="11"/>
        <v>0</v>
      </c>
      <c r="H175" s="49">
        <f t="shared" si="11"/>
        <v>0</v>
      </c>
      <c r="I175" s="14">
        <f t="shared" si="11"/>
        <v>0</v>
      </c>
      <c r="J175" s="14">
        <f t="shared" si="9"/>
        <v>0</v>
      </c>
      <c r="K175" s="130">
        <f t="shared" si="10"/>
        <v>16366.197183098591</v>
      </c>
    </row>
    <row r="176" spans="1:11" x14ac:dyDescent="0.25">
      <c r="A176" s="57">
        <f>'A) Base RI'!A175</f>
        <v>5684</v>
      </c>
      <c r="B176" s="40" t="str">
        <f>'A) Base RI'!B175</f>
        <v>Rossenges</v>
      </c>
      <c r="C176" s="19">
        <f>'A) Base RI'!U175</f>
        <v>60</v>
      </c>
      <c r="D176" s="14">
        <f t="shared" si="12"/>
        <v>60</v>
      </c>
      <c r="E176" s="19">
        <f t="shared" si="11"/>
        <v>0</v>
      </c>
      <c r="F176" s="14">
        <f t="shared" si="11"/>
        <v>0</v>
      </c>
      <c r="G176" s="19">
        <f t="shared" si="11"/>
        <v>0</v>
      </c>
      <c r="H176" s="49">
        <f t="shared" si="11"/>
        <v>0</v>
      </c>
      <c r="I176" s="14">
        <f t="shared" si="11"/>
        <v>0</v>
      </c>
      <c r="J176" s="14">
        <f t="shared" si="9"/>
        <v>0</v>
      </c>
      <c r="K176" s="130">
        <f t="shared" si="10"/>
        <v>5915.4929577464782</v>
      </c>
    </row>
    <row r="177" spans="1:11" x14ac:dyDescent="0.25">
      <c r="A177" s="57">
        <f>'A) Base RI'!A176</f>
        <v>5688</v>
      </c>
      <c r="B177" s="40" t="str">
        <f>'A) Base RI'!B176</f>
        <v>Syens</v>
      </c>
      <c r="C177" s="19">
        <f>'A) Base RI'!U176</f>
        <v>145</v>
      </c>
      <c r="D177" s="14">
        <f t="shared" si="12"/>
        <v>145</v>
      </c>
      <c r="E177" s="19">
        <f t="shared" si="11"/>
        <v>0</v>
      </c>
      <c r="F177" s="14">
        <f t="shared" si="11"/>
        <v>0</v>
      </c>
      <c r="G177" s="19">
        <f t="shared" si="11"/>
        <v>0</v>
      </c>
      <c r="H177" s="49">
        <f t="shared" si="11"/>
        <v>0</v>
      </c>
      <c r="I177" s="14">
        <f t="shared" si="11"/>
        <v>0</v>
      </c>
      <c r="J177" s="14">
        <f t="shared" si="9"/>
        <v>0</v>
      </c>
      <c r="K177" s="130">
        <f t="shared" si="10"/>
        <v>14295.774647887323</v>
      </c>
    </row>
    <row r="178" spans="1:11" x14ac:dyDescent="0.25">
      <c r="A178" s="57">
        <f>'A) Base RI'!A177</f>
        <v>5690</v>
      </c>
      <c r="B178" s="40" t="str">
        <f>'A) Base RI'!B177</f>
        <v>Villars-le-Comte</v>
      </c>
      <c r="C178" s="19">
        <f>'A) Base RI'!U177</f>
        <v>143</v>
      </c>
      <c r="D178" s="14">
        <f t="shared" si="12"/>
        <v>143</v>
      </c>
      <c r="E178" s="19">
        <f t="shared" si="11"/>
        <v>0</v>
      </c>
      <c r="F178" s="14">
        <f t="shared" si="11"/>
        <v>0</v>
      </c>
      <c r="G178" s="19">
        <f t="shared" si="11"/>
        <v>0</v>
      </c>
      <c r="H178" s="49">
        <f t="shared" si="11"/>
        <v>0</v>
      </c>
      <c r="I178" s="14">
        <f t="shared" si="11"/>
        <v>0</v>
      </c>
      <c r="J178" s="14">
        <f t="shared" si="9"/>
        <v>0</v>
      </c>
      <c r="K178" s="130">
        <f t="shared" si="10"/>
        <v>14098.591549295774</v>
      </c>
    </row>
    <row r="179" spans="1:11" x14ac:dyDescent="0.25">
      <c r="A179" s="57">
        <f>'A) Base RI'!A178</f>
        <v>5692</v>
      </c>
      <c r="B179" s="40" t="str">
        <f>'A) Base RI'!B178</f>
        <v>Vucherens</v>
      </c>
      <c r="C179" s="19">
        <f>'A) Base RI'!U178</f>
        <v>557</v>
      </c>
      <c r="D179" s="14">
        <f t="shared" si="12"/>
        <v>557</v>
      </c>
      <c r="E179" s="19">
        <f t="shared" si="11"/>
        <v>0</v>
      </c>
      <c r="F179" s="14">
        <f t="shared" si="11"/>
        <v>0</v>
      </c>
      <c r="G179" s="19">
        <f t="shared" si="11"/>
        <v>0</v>
      </c>
      <c r="H179" s="49">
        <f t="shared" si="11"/>
        <v>0</v>
      </c>
      <c r="I179" s="14">
        <f t="shared" si="11"/>
        <v>0</v>
      </c>
      <c r="J179" s="14">
        <f t="shared" si="9"/>
        <v>0</v>
      </c>
      <c r="K179" s="130">
        <f t="shared" si="10"/>
        <v>54915.492957746472</v>
      </c>
    </row>
    <row r="180" spans="1:11" x14ac:dyDescent="0.25">
      <c r="A180" s="57">
        <f>'A) Base RI'!A179</f>
        <v>5693</v>
      </c>
      <c r="B180" s="40" t="str">
        <f>'A) Base RI'!B179</f>
        <v>Montanaire</v>
      </c>
      <c r="C180" s="19">
        <f>'A) Base RI'!U179</f>
        <v>2500</v>
      </c>
      <c r="D180" s="14">
        <f t="shared" si="12"/>
        <v>1000</v>
      </c>
      <c r="E180" s="19">
        <f t="shared" si="11"/>
        <v>1500</v>
      </c>
      <c r="F180" s="14">
        <f t="shared" si="11"/>
        <v>0</v>
      </c>
      <c r="G180" s="19">
        <f t="shared" si="11"/>
        <v>0</v>
      </c>
      <c r="H180" s="49">
        <f t="shared" si="11"/>
        <v>0</v>
      </c>
      <c r="I180" s="14">
        <f t="shared" si="11"/>
        <v>0</v>
      </c>
      <c r="J180" s="14">
        <f t="shared" si="9"/>
        <v>0</v>
      </c>
      <c r="K180" s="130">
        <f t="shared" si="10"/>
        <v>616197.18309859151</v>
      </c>
    </row>
    <row r="181" spans="1:11" x14ac:dyDescent="0.25">
      <c r="A181" s="57">
        <f>'A) Base RI'!A180</f>
        <v>5701</v>
      </c>
      <c r="B181" s="40" t="str">
        <f>'A) Base RI'!B180</f>
        <v>Arnex-sur-Nyon</v>
      </c>
      <c r="C181" s="19">
        <f>'A) Base RI'!U180</f>
        <v>214</v>
      </c>
      <c r="D181" s="14">
        <f t="shared" si="12"/>
        <v>214</v>
      </c>
      <c r="E181" s="19">
        <f t="shared" si="11"/>
        <v>0</v>
      </c>
      <c r="F181" s="14">
        <f t="shared" si="11"/>
        <v>0</v>
      </c>
      <c r="G181" s="19">
        <f t="shared" si="11"/>
        <v>0</v>
      </c>
      <c r="H181" s="49">
        <f t="shared" si="11"/>
        <v>0</v>
      </c>
      <c r="I181" s="14">
        <f t="shared" si="11"/>
        <v>0</v>
      </c>
      <c r="J181" s="14">
        <f t="shared" si="9"/>
        <v>0</v>
      </c>
      <c r="K181" s="130">
        <f t="shared" si="10"/>
        <v>21098.591549295772</v>
      </c>
    </row>
    <row r="182" spans="1:11" x14ac:dyDescent="0.25">
      <c r="A182" s="57">
        <f>'A) Base RI'!A181</f>
        <v>5702</v>
      </c>
      <c r="B182" s="40" t="str">
        <f>'A) Base RI'!B181</f>
        <v>Arzier-Le Muids</v>
      </c>
      <c r="C182" s="19">
        <f>'A) Base RI'!U181</f>
        <v>2565</v>
      </c>
      <c r="D182" s="14">
        <f t="shared" si="12"/>
        <v>1000</v>
      </c>
      <c r="E182" s="19">
        <f t="shared" si="11"/>
        <v>1565</v>
      </c>
      <c r="F182" s="14">
        <f t="shared" si="11"/>
        <v>0</v>
      </c>
      <c r="G182" s="19">
        <f t="shared" si="11"/>
        <v>0</v>
      </c>
      <c r="H182" s="49">
        <f t="shared" si="11"/>
        <v>0</v>
      </c>
      <c r="I182" s="14">
        <f t="shared" si="11"/>
        <v>0</v>
      </c>
      <c r="J182" s="14">
        <f t="shared" si="9"/>
        <v>0</v>
      </c>
      <c r="K182" s="130">
        <f t="shared" si="10"/>
        <v>638626.76056338032</v>
      </c>
    </row>
    <row r="183" spans="1:11" x14ac:dyDescent="0.25">
      <c r="A183" s="57">
        <f>'A) Base RI'!A182</f>
        <v>5703</v>
      </c>
      <c r="B183" s="40" t="str">
        <f>'A) Base RI'!B182</f>
        <v>Bassins</v>
      </c>
      <c r="C183" s="19">
        <f>'A) Base RI'!U182</f>
        <v>1311</v>
      </c>
      <c r="D183" s="14">
        <f t="shared" si="12"/>
        <v>1000</v>
      </c>
      <c r="E183" s="19">
        <f t="shared" si="11"/>
        <v>311</v>
      </c>
      <c r="F183" s="14">
        <f t="shared" si="11"/>
        <v>0</v>
      </c>
      <c r="G183" s="19">
        <f t="shared" si="11"/>
        <v>0</v>
      </c>
      <c r="H183" s="49">
        <f t="shared" si="11"/>
        <v>0</v>
      </c>
      <c r="I183" s="14">
        <f t="shared" si="11"/>
        <v>0</v>
      </c>
      <c r="J183" s="14">
        <f t="shared" si="9"/>
        <v>0</v>
      </c>
      <c r="K183" s="130">
        <f t="shared" si="10"/>
        <v>205908.45070422534</v>
      </c>
    </row>
    <row r="184" spans="1:11" x14ac:dyDescent="0.25">
      <c r="A184" s="57">
        <f>'A) Base RI'!A183</f>
        <v>5704</v>
      </c>
      <c r="B184" s="40" t="str">
        <f>'A) Base RI'!B183</f>
        <v>Begnins</v>
      </c>
      <c r="C184" s="19">
        <f>'A) Base RI'!U183</f>
        <v>1856</v>
      </c>
      <c r="D184" s="14">
        <f t="shared" si="12"/>
        <v>1000</v>
      </c>
      <c r="E184" s="19">
        <f t="shared" si="11"/>
        <v>856</v>
      </c>
      <c r="F184" s="14">
        <f t="shared" si="11"/>
        <v>0</v>
      </c>
      <c r="G184" s="19">
        <f t="shared" si="11"/>
        <v>0</v>
      </c>
      <c r="H184" s="49">
        <f t="shared" si="11"/>
        <v>0</v>
      </c>
      <c r="I184" s="14">
        <f t="shared" si="11"/>
        <v>0</v>
      </c>
      <c r="J184" s="14">
        <f t="shared" si="9"/>
        <v>0</v>
      </c>
      <c r="K184" s="130">
        <f t="shared" si="10"/>
        <v>393971.8309859155</v>
      </c>
    </row>
    <row r="185" spans="1:11" x14ac:dyDescent="0.25">
      <c r="A185" s="57">
        <f>'A) Base RI'!A184</f>
        <v>5705</v>
      </c>
      <c r="B185" s="40" t="str">
        <f>'A) Base RI'!B184</f>
        <v>Bogis-Bossey</v>
      </c>
      <c r="C185" s="19">
        <f>'A) Base RI'!U184</f>
        <v>827</v>
      </c>
      <c r="D185" s="14">
        <f t="shared" si="12"/>
        <v>827</v>
      </c>
      <c r="E185" s="19">
        <f t="shared" si="11"/>
        <v>0</v>
      </c>
      <c r="F185" s="14">
        <f t="shared" si="11"/>
        <v>0</v>
      </c>
      <c r="G185" s="19">
        <f t="shared" si="11"/>
        <v>0</v>
      </c>
      <c r="H185" s="49">
        <f t="shared" si="11"/>
        <v>0</v>
      </c>
      <c r="I185" s="14">
        <f t="shared" si="11"/>
        <v>0</v>
      </c>
      <c r="J185" s="14">
        <f t="shared" si="9"/>
        <v>0</v>
      </c>
      <c r="K185" s="130">
        <f t="shared" si="10"/>
        <v>81535.211267605628</v>
      </c>
    </row>
    <row r="186" spans="1:11" x14ac:dyDescent="0.25">
      <c r="A186" s="57">
        <f>'A) Base RI'!A185</f>
        <v>5706</v>
      </c>
      <c r="B186" s="40" t="str">
        <f>'A) Base RI'!B185</f>
        <v>Borex</v>
      </c>
      <c r="C186" s="19">
        <f>'A) Base RI'!U185</f>
        <v>1099</v>
      </c>
      <c r="D186" s="14">
        <f t="shared" si="12"/>
        <v>1000</v>
      </c>
      <c r="E186" s="19">
        <f t="shared" si="11"/>
        <v>99</v>
      </c>
      <c r="F186" s="14">
        <f t="shared" si="11"/>
        <v>0</v>
      </c>
      <c r="G186" s="19">
        <f t="shared" si="11"/>
        <v>0</v>
      </c>
      <c r="H186" s="49">
        <f t="shared" si="11"/>
        <v>0</v>
      </c>
      <c r="I186" s="14">
        <f t="shared" si="11"/>
        <v>0</v>
      </c>
      <c r="J186" s="14">
        <f t="shared" si="9"/>
        <v>0</v>
      </c>
      <c r="K186" s="130">
        <f t="shared" si="10"/>
        <v>132753.52112676058</v>
      </c>
    </row>
    <row r="187" spans="1:11" x14ac:dyDescent="0.25">
      <c r="A187" s="57">
        <f>'A) Base RI'!A186</f>
        <v>5707</v>
      </c>
      <c r="B187" s="40" t="str">
        <f>'A) Base RI'!B186</f>
        <v>Chavannes-de-Bogis</v>
      </c>
      <c r="C187" s="19">
        <f>'A) Base RI'!U186</f>
        <v>1153</v>
      </c>
      <c r="D187" s="14">
        <f t="shared" si="12"/>
        <v>1000</v>
      </c>
      <c r="E187" s="19">
        <f t="shared" si="11"/>
        <v>153</v>
      </c>
      <c r="F187" s="14">
        <f t="shared" si="11"/>
        <v>0</v>
      </c>
      <c r="G187" s="19">
        <f t="shared" si="11"/>
        <v>0</v>
      </c>
      <c r="H187" s="49">
        <f t="shared" si="11"/>
        <v>0</v>
      </c>
      <c r="I187" s="14">
        <f t="shared" si="11"/>
        <v>0</v>
      </c>
      <c r="J187" s="14">
        <f t="shared" si="9"/>
        <v>0</v>
      </c>
      <c r="K187" s="130">
        <f t="shared" si="10"/>
        <v>151387.32394366196</v>
      </c>
    </row>
    <row r="188" spans="1:11" x14ac:dyDescent="0.25">
      <c r="A188" s="57">
        <f>'A) Base RI'!A187</f>
        <v>5708</v>
      </c>
      <c r="B188" s="40" t="str">
        <f>'A) Base RI'!B187</f>
        <v>Chavannes-des-Bois</v>
      </c>
      <c r="C188" s="19">
        <f>'A) Base RI'!U187</f>
        <v>850</v>
      </c>
      <c r="D188" s="14">
        <f t="shared" si="12"/>
        <v>850</v>
      </c>
      <c r="E188" s="19">
        <f t="shared" si="11"/>
        <v>0</v>
      </c>
      <c r="F188" s="14">
        <f t="shared" si="11"/>
        <v>0</v>
      </c>
      <c r="G188" s="19">
        <f t="shared" si="11"/>
        <v>0</v>
      </c>
      <c r="H188" s="49">
        <f t="shared" si="11"/>
        <v>0</v>
      </c>
      <c r="I188" s="14">
        <f t="shared" si="11"/>
        <v>0</v>
      </c>
      <c r="J188" s="14">
        <f t="shared" si="9"/>
        <v>0</v>
      </c>
      <c r="K188" s="130">
        <f t="shared" si="10"/>
        <v>83802.816901408441</v>
      </c>
    </row>
    <row r="189" spans="1:11" x14ac:dyDescent="0.25">
      <c r="A189" s="57">
        <f>'A) Base RI'!A188</f>
        <v>5709</v>
      </c>
      <c r="B189" s="40" t="str">
        <f>'A) Base RI'!B188</f>
        <v>Chéserex</v>
      </c>
      <c r="C189" s="19">
        <f>'A) Base RI'!U188</f>
        <v>1222</v>
      </c>
      <c r="D189" s="14">
        <f t="shared" si="12"/>
        <v>1000</v>
      </c>
      <c r="E189" s="19">
        <f t="shared" si="11"/>
        <v>222</v>
      </c>
      <c r="F189" s="14">
        <f t="shared" si="11"/>
        <v>0</v>
      </c>
      <c r="G189" s="19">
        <f t="shared" si="11"/>
        <v>0</v>
      </c>
      <c r="H189" s="49">
        <f t="shared" si="11"/>
        <v>0</v>
      </c>
      <c r="I189" s="14">
        <f t="shared" si="11"/>
        <v>0</v>
      </c>
      <c r="J189" s="14">
        <f t="shared" si="9"/>
        <v>0</v>
      </c>
      <c r="K189" s="130">
        <f t="shared" si="10"/>
        <v>175197.18309859154</v>
      </c>
    </row>
    <row r="190" spans="1:11" x14ac:dyDescent="0.25">
      <c r="A190" s="57">
        <f>'A) Base RI'!A189</f>
        <v>5710</v>
      </c>
      <c r="B190" s="40" t="str">
        <f>'A) Base RI'!B189</f>
        <v>Coinsins</v>
      </c>
      <c r="C190" s="19">
        <f>'A) Base RI'!U189</f>
        <v>490</v>
      </c>
      <c r="D190" s="14">
        <f t="shared" si="12"/>
        <v>490</v>
      </c>
      <c r="E190" s="19">
        <f t="shared" si="11"/>
        <v>0</v>
      </c>
      <c r="F190" s="14">
        <f t="shared" si="11"/>
        <v>0</v>
      </c>
      <c r="G190" s="19">
        <f t="shared" si="11"/>
        <v>0</v>
      </c>
      <c r="H190" s="49">
        <f t="shared" si="11"/>
        <v>0</v>
      </c>
      <c r="I190" s="14">
        <f t="shared" si="11"/>
        <v>0</v>
      </c>
      <c r="J190" s="14">
        <f t="shared" si="9"/>
        <v>0</v>
      </c>
      <c r="K190" s="130">
        <f t="shared" si="10"/>
        <v>48309.859154929574</v>
      </c>
    </row>
    <row r="191" spans="1:11" x14ac:dyDescent="0.25">
      <c r="A191" s="57">
        <f>'A) Base RI'!A190</f>
        <v>5711</v>
      </c>
      <c r="B191" s="40" t="str">
        <f>'A) Base RI'!B190</f>
        <v>Commugny</v>
      </c>
      <c r="C191" s="19">
        <f>'A) Base RI'!U190</f>
        <v>2561</v>
      </c>
      <c r="D191" s="14">
        <f t="shared" si="12"/>
        <v>1000</v>
      </c>
      <c r="E191" s="19">
        <f t="shared" si="11"/>
        <v>1561</v>
      </c>
      <c r="F191" s="14">
        <f t="shared" si="11"/>
        <v>0</v>
      </c>
      <c r="G191" s="19">
        <f t="shared" si="11"/>
        <v>0</v>
      </c>
      <c r="H191" s="49">
        <f t="shared" si="11"/>
        <v>0</v>
      </c>
      <c r="I191" s="14">
        <f t="shared" si="11"/>
        <v>0</v>
      </c>
      <c r="J191" s="14">
        <f t="shared" si="9"/>
        <v>0</v>
      </c>
      <c r="K191" s="130">
        <f t="shared" si="10"/>
        <v>637246.47887323948</v>
      </c>
    </row>
    <row r="192" spans="1:11" x14ac:dyDescent="0.25">
      <c r="A192" s="57">
        <f>'A) Base RI'!A191</f>
        <v>5712</v>
      </c>
      <c r="B192" s="40" t="str">
        <f>'A) Base RI'!B191</f>
        <v>Coppet</v>
      </c>
      <c r="C192" s="19">
        <f>'A) Base RI'!U191</f>
        <v>2942</v>
      </c>
      <c r="D192" s="14">
        <f t="shared" si="12"/>
        <v>1000</v>
      </c>
      <c r="E192" s="19">
        <f t="shared" si="11"/>
        <v>1942</v>
      </c>
      <c r="F192" s="14">
        <f t="shared" si="11"/>
        <v>0</v>
      </c>
      <c r="G192" s="19">
        <f t="shared" si="11"/>
        <v>0</v>
      </c>
      <c r="H192" s="49">
        <f t="shared" si="11"/>
        <v>0</v>
      </c>
      <c r="I192" s="14">
        <f t="shared" si="11"/>
        <v>0</v>
      </c>
      <c r="J192" s="14">
        <f t="shared" si="9"/>
        <v>0</v>
      </c>
      <c r="K192" s="130">
        <f t="shared" si="10"/>
        <v>768718.30985915498</v>
      </c>
    </row>
    <row r="193" spans="1:11" x14ac:dyDescent="0.25">
      <c r="A193" s="57">
        <f>'A) Base RI'!A192</f>
        <v>5713</v>
      </c>
      <c r="B193" s="40" t="str">
        <f>'A) Base RI'!B192</f>
        <v>Crans-près-Céligny</v>
      </c>
      <c r="C193" s="19">
        <f>'A) Base RI'!U192</f>
        <v>2059</v>
      </c>
      <c r="D193" s="14">
        <f t="shared" si="12"/>
        <v>1000</v>
      </c>
      <c r="E193" s="19">
        <f t="shared" si="11"/>
        <v>1059</v>
      </c>
      <c r="F193" s="14">
        <f t="shared" si="11"/>
        <v>0</v>
      </c>
      <c r="G193" s="19">
        <f t="shared" si="11"/>
        <v>0</v>
      </c>
      <c r="H193" s="49">
        <f t="shared" si="11"/>
        <v>0</v>
      </c>
      <c r="I193" s="14">
        <f t="shared" si="11"/>
        <v>0</v>
      </c>
      <c r="J193" s="14">
        <f t="shared" si="9"/>
        <v>0</v>
      </c>
      <c r="K193" s="130">
        <f t="shared" si="10"/>
        <v>464021.12676056341</v>
      </c>
    </row>
    <row r="194" spans="1:11" x14ac:dyDescent="0.25">
      <c r="A194" s="57">
        <f>'A) Base RI'!A193</f>
        <v>5714</v>
      </c>
      <c r="B194" s="40" t="str">
        <f>'A) Base RI'!B193</f>
        <v>Crassier</v>
      </c>
      <c r="C194" s="19">
        <f>'A) Base RI'!U193</f>
        <v>1172</v>
      </c>
      <c r="D194" s="14">
        <f t="shared" si="12"/>
        <v>1000</v>
      </c>
      <c r="E194" s="19">
        <f t="shared" si="11"/>
        <v>172</v>
      </c>
      <c r="F194" s="14">
        <f t="shared" si="11"/>
        <v>0</v>
      </c>
      <c r="G194" s="19">
        <f t="shared" si="11"/>
        <v>0</v>
      </c>
      <c r="H194" s="49">
        <f t="shared" si="11"/>
        <v>0</v>
      </c>
      <c r="I194" s="14">
        <f t="shared" si="11"/>
        <v>0</v>
      </c>
      <c r="J194" s="14">
        <f t="shared" si="9"/>
        <v>0</v>
      </c>
      <c r="K194" s="130">
        <f t="shared" si="10"/>
        <v>157943.661971831</v>
      </c>
    </row>
    <row r="195" spans="1:11" x14ac:dyDescent="0.25">
      <c r="A195" s="57">
        <f>'A) Base RI'!A194</f>
        <v>5715</v>
      </c>
      <c r="B195" s="40" t="str">
        <f>'A) Base RI'!B194</f>
        <v>Duillier</v>
      </c>
      <c r="C195" s="19">
        <f>'A) Base RI'!U194</f>
        <v>1039</v>
      </c>
      <c r="D195" s="14">
        <f t="shared" si="12"/>
        <v>1000</v>
      </c>
      <c r="E195" s="19">
        <f t="shared" si="11"/>
        <v>39</v>
      </c>
      <c r="F195" s="14">
        <f t="shared" si="11"/>
        <v>0</v>
      </c>
      <c r="G195" s="19">
        <f t="shared" si="11"/>
        <v>0</v>
      </c>
      <c r="H195" s="49">
        <f t="shared" si="11"/>
        <v>0</v>
      </c>
      <c r="I195" s="14">
        <f t="shared" si="11"/>
        <v>0</v>
      </c>
      <c r="J195" s="14">
        <f t="shared" si="9"/>
        <v>0</v>
      </c>
      <c r="K195" s="130">
        <f t="shared" si="10"/>
        <v>112049.29577464788</v>
      </c>
    </row>
    <row r="196" spans="1:11" x14ac:dyDescent="0.25">
      <c r="A196" s="57">
        <f>'A) Base RI'!A195</f>
        <v>5716</v>
      </c>
      <c r="B196" s="40" t="str">
        <f>'A) Base RI'!B195</f>
        <v>Eysins</v>
      </c>
      <c r="C196" s="19">
        <f>'A) Base RI'!U195</f>
        <v>1482</v>
      </c>
      <c r="D196" s="14">
        <f t="shared" si="12"/>
        <v>1000</v>
      </c>
      <c r="E196" s="19">
        <f t="shared" si="11"/>
        <v>482</v>
      </c>
      <c r="F196" s="14">
        <f t="shared" si="11"/>
        <v>0</v>
      </c>
      <c r="G196" s="19">
        <f t="shared" si="11"/>
        <v>0</v>
      </c>
      <c r="H196" s="49">
        <f t="shared" si="11"/>
        <v>0</v>
      </c>
      <c r="I196" s="14">
        <f t="shared" si="11"/>
        <v>0</v>
      </c>
      <c r="J196" s="14">
        <f t="shared" si="9"/>
        <v>0</v>
      </c>
      <c r="K196" s="130">
        <f t="shared" si="10"/>
        <v>264915.49295774649</v>
      </c>
    </row>
    <row r="197" spans="1:11" x14ac:dyDescent="0.25">
      <c r="A197" s="57">
        <f>'A) Base RI'!A196</f>
        <v>5717</v>
      </c>
      <c r="B197" s="40" t="str">
        <f>'A) Base RI'!B196</f>
        <v>Founex</v>
      </c>
      <c r="C197" s="19">
        <f>'A) Base RI'!U196</f>
        <v>3410</v>
      </c>
      <c r="D197" s="14">
        <f t="shared" si="12"/>
        <v>1000</v>
      </c>
      <c r="E197" s="19">
        <f t="shared" si="11"/>
        <v>2000</v>
      </c>
      <c r="F197" s="14">
        <f t="shared" si="11"/>
        <v>410</v>
      </c>
      <c r="G197" s="19">
        <f t="shared" si="11"/>
        <v>0</v>
      </c>
      <c r="H197" s="49">
        <f t="shared" si="11"/>
        <v>0</v>
      </c>
      <c r="I197" s="14">
        <f t="shared" si="11"/>
        <v>0</v>
      </c>
      <c r="J197" s="14">
        <f t="shared" si="9"/>
        <v>0</v>
      </c>
      <c r="K197" s="130">
        <f t="shared" si="10"/>
        <v>990845.07042253518</v>
      </c>
    </row>
    <row r="198" spans="1:11" x14ac:dyDescent="0.25">
      <c r="A198" s="57">
        <f>'A) Base RI'!A197</f>
        <v>5718</v>
      </c>
      <c r="B198" s="40" t="str">
        <f>'A) Base RI'!B197</f>
        <v>Genolier</v>
      </c>
      <c r="C198" s="19">
        <f>'A) Base RI'!U197</f>
        <v>1895</v>
      </c>
      <c r="D198" s="14">
        <f t="shared" si="12"/>
        <v>1000</v>
      </c>
      <c r="E198" s="19">
        <f t="shared" si="11"/>
        <v>895</v>
      </c>
      <c r="F198" s="14">
        <f t="shared" si="11"/>
        <v>0</v>
      </c>
      <c r="G198" s="19">
        <f t="shared" si="11"/>
        <v>0</v>
      </c>
      <c r="H198" s="49">
        <f t="shared" si="11"/>
        <v>0</v>
      </c>
      <c r="I198" s="14">
        <f t="shared" si="11"/>
        <v>0</v>
      </c>
      <c r="J198" s="14">
        <f t="shared" si="9"/>
        <v>0</v>
      </c>
      <c r="K198" s="130">
        <f t="shared" si="10"/>
        <v>407429.57746478874</v>
      </c>
    </row>
    <row r="199" spans="1:11" x14ac:dyDescent="0.25">
      <c r="A199" s="57">
        <f>'A) Base RI'!A198</f>
        <v>5719</v>
      </c>
      <c r="B199" s="40" t="str">
        <f>'A) Base RI'!B198</f>
        <v>Gingins</v>
      </c>
      <c r="C199" s="19">
        <f>'A) Base RI'!U198</f>
        <v>1195</v>
      </c>
      <c r="D199" s="14">
        <f t="shared" si="12"/>
        <v>1000</v>
      </c>
      <c r="E199" s="19">
        <f t="shared" si="11"/>
        <v>195</v>
      </c>
      <c r="F199" s="14">
        <f t="shared" si="11"/>
        <v>0</v>
      </c>
      <c r="G199" s="19">
        <f t="shared" si="11"/>
        <v>0</v>
      </c>
      <c r="H199" s="49">
        <f t="shared" si="11"/>
        <v>0</v>
      </c>
      <c r="I199" s="14">
        <f t="shared" si="11"/>
        <v>0</v>
      </c>
      <c r="J199" s="14">
        <f t="shared" si="9"/>
        <v>0</v>
      </c>
      <c r="K199" s="130">
        <f t="shared" si="10"/>
        <v>165880.28169014084</v>
      </c>
    </row>
    <row r="200" spans="1:11" x14ac:dyDescent="0.25">
      <c r="A200" s="57">
        <f>'A) Base RI'!A199</f>
        <v>5720</v>
      </c>
      <c r="B200" s="40" t="str">
        <f>'A) Base RI'!B199</f>
        <v>Givrins</v>
      </c>
      <c r="C200" s="19">
        <f>'A) Base RI'!U199</f>
        <v>1000</v>
      </c>
      <c r="D200" s="14">
        <f t="shared" si="12"/>
        <v>1000</v>
      </c>
      <c r="E200" s="19">
        <f t="shared" si="11"/>
        <v>0</v>
      </c>
      <c r="F200" s="14">
        <f t="shared" si="11"/>
        <v>0</v>
      </c>
      <c r="G200" s="19">
        <f t="shared" si="11"/>
        <v>0</v>
      </c>
      <c r="H200" s="49">
        <f t="shared" si="11"/>
        <v>0</v>
      </c>
      <c r="I200" s="14">
        <f t="shared" si="11"/>
        <v>0</v>
      </c>
      <c r="J200" s="14">
        <f t="shared" si="9"/>
        <v>0</v>
      </c>
      <c r="K200" s="130">
        <f t="shared" si="10"/>
        <v>98591.549295774646</v>
      </c>
    </row>
    <row r="201" spans="1:11" x14ac:dyDescent="0.25">
      <c r="A201" s="57">
        <f>'A) Base RI'!A200</f>
        <v>5721</v>
      </c>
      <c r="B201" s="40" t="str">
        <f>'A) Base RI'!B200</f>
        <v>Gland</v>
      </c>
      <c r="C201" s="19">
        <f>'A) Base RI'!U200</f>
        <v>12829</v>
      </c>
      <c r="D201" s="14">
        <f t="shared" si="12"/>
        <v>1000</v>
      </c>
      <c r="E201" s="19">
        <f t="shared" si="11"/>
        <v>2000</v>
      </c>
      <c r="F201" s="14">
        <f t="shared" si="11"/>
        <v>2000</v>
      </c>
      <c r="G201" s="19">
        <f t="shared" si="11"/>
        <v>4000</v>
      </c>
      <c r="H201" s="49">
        <f t="shared" si="11"/>
        <v>3000</v>
      </c>
      <c r="I201" s="14">
        <f t="shared" si="11"/>
        <v>829</v>
      </c>
      <c r="J201" s="14">
        <f t="shared" ref="J201:J264" si="13">IF(C201&gt;$J$4,C201-$J$4,0)</f>
        <v>0</v>
      </c>
      <c r="K201" s="130">
        <f t="shared" ref="K201:K264" si="14">(D201*D$7)+(E201*E$7)+(F201*F$7)+(G201*G$7)+(H201*H$7)+(I201*I$7)+(J201*J$7)</f>
        <v>7472253.5211267602</v>
      </c>
    </row>
    <row r="202" spans="1:11" x14ac:dyDescent="0.25">
      <c r="A202" s="57">
        <f>'A) Base RI'!A201</f>
        <v>5722</v>
      </c>
      <c r="B202" s="40" t="str">
        <f>'A) Base RI'!B201</f>
        <v>Grens</v>
      </c>
      <c r="C202" s="19">
        <f>'A) Base RI'!U201</f>
        <v>377</v>
      </c>
      <c r="D202" s="14">
        <f t="shared" si="12"/>
        <v>377</v>
      </c>
      <c r="E202" s="19">
        <f t="shared" si="11"/>
        <v>0</v>
      </c>
      <c r="F202" s="14">
        <f t="shared" si="11"/>
        <v>0</v>
      </c>
      <c r="G202" s="19">
        <f t="shared" si="11"/>
        <v>0</v>
      </c>
      <c r="H202" s="49">
        <f t="shared" si="11"/>
        <v>0</v>
      </c>
      <c r="I202" s="14">
        <f t="shared" si="11"/>
        <v>0</v>
      </c>
      <c r="J202" s="14">
        <f t="shared" si="13"/>
        <v>0</v>
      </c>
      <c r="K202" s="130">
        <f t="shared" si="14"/>
        <v>37169.014084507042</v>
      </c>
    </row>
    <row r="203" spans="1:11" x14ac:dyDescent="0.25">
      <c r="A203" s="57">
        <f>'A) Base RI'!A202</f>
        <v>5723</v>
      </c>
      <c r="B203" s="40" t="str">
        <f>'A) Base RI'!B202</f>
        <v>Mies</v>
      </c>
      <c r="C203" s="19">
        <f>'A) Base RI'!U202</f>
        <v>1791</v>
      </c>
      <c r="D203" s="14">
        <f t="shared" si="12"/>
        <v>1000</v>
      </c>
      <c r="E203" s="19">
        <f t="shared" si="11"/>
        <v>791</v>
      </c>
      <c r="F203" s="14">
        <f t="shared" si="11"/>
        <v>0</v>
      </c>
      <c r="G203" s="19">
        <f t="shared" si="11"/>
        <v>0</v>
      </c>
      <c r="H203" s="49">
        <f t="shared" si="11"/>
        <v>0</v>
      </c>
      <c r="I203" s="14">
        <f t="shared" si="11"/>
        <v>0</v>
      </c>
      <c r="J203" s="14">
        <f t="shared" si="13"/>
        <v>0</v>
      </c>
      <c r="K203" s="130">
        <f t="shared" si="14"/>
        <v>371542.25352112675</v>
      </c>
    </row>
    <row r="204" spans="1:11" x14ac:dyDescent="0.25">
      <c r="A204" s="57">
        <f>'A) Base RI'!A203</f>
        <v>5724</v>
      </c>
      <c r="B204" s="40" t="str">
        <f>'A) Base RI'!B203</f>
        <v>Nyon</v>
      </c>
      <c r="C204" s="19">
        <f>'A) Base RI'!U203</f>
        <v>20047</v>
      </c>
      <c r="D204" s="14">
        <f t="shared" si="12"/>
        <v>1000</v>
      </c>
      <c r="E204" s="19">
        <f t="shared" si="11"/>
        <v>2000</v>
      </c>
      <c r="F204" s="14">
        <f t="shared" si="11"/>
        <v>2000</v>
      </c>
      <c r="G204" s="19">
        <f t="shared" si="11"/>
        <v>4000</v>
      </c>
      <c r="H204" s="49">
        <f t="shared" si="11"/>
        <v>3000</v>
      </c>
      <c r="I204" s="14">
        <f t="shared" si="11"/>
        <v>3000</v>
      </c>
      <c r="J204" s="14">
        <f t="shared" si="13"/>
        <v>5047</v>
      </c>
      <c r="K204" s="130">
        <f t="shared" si="14"/>
        <v>14837387.32394366</v>
      </c>
    </row>
    <row r="205" spans="1:11" x14ac:dyDescent="0.25">
      <c r="A205" s="57">
        <f>'A) Base RI'!A204</f>
        <v>5725</v>
      </c>
      <c r="B205" s="40" t="str">
        <f>'A) Base RI'!B204</f>
        <v>Prangins</v>
      </c>
      <c r="C205" s="19">
        <f>'A) Base RI'!U204</f>
        <v>4011</v>
      </c>
      <c r="D205" s="14">
        <f t="shared" si="12"/>
        <v>1000</v>
      </c>
      <c r="E205" s="19">
        <f t="shared" si="11"/>
        <v>2000</v>
      </c>
      <c r="F205" s="14">
        <f t="shared" si="11"/>
        <v>1011</v>
      </c>
      <c r="G205" s="19">
        <f t="shared" si="11"/>
        <v>0</v>
      </c>
      <c r="H205" s="49">
        <f t="shared" si="11"/>
        <v>0</v>
      </c>
      <c r="I205" s="14">
        <f t="shared" si="11"/>
        <v>0</v>
      </c>
      <c r="J205" s="14">
        <f t="shared" si="13"/>
        <v>0</v>
      </c>
      <c r="K205" s="130">
        <f t="shared" si="14"/>
        <v>1287112.676056338</v>
      </c>
    </row>
    <row r="206" spans="1:11" x14ac:dyDescent="0.25">
      <c r="A206" s="57">
        <f>'A) Base RI'!A205</f>
        <v>5726</v>
      </c>
      <c r="B206" s="40" t="str">
        <f>'A) Base RI'!B205</f>
        <v>La Rippe</v>
      </c>
      <c r="C206" s="19">
        <f>'A) Base RI'!U205</f>
        <v>1120</v>
      </c>
      <c r="D206" s="14">
        <f t="shared" si="12"/>
        <v>1000</v>
      </c>
      <c r="E206" s="19">
        <f t="shared" si="11"/>
        <v>120</v>
      </c>
      <c r="F206" s="14">
        <f t="shared" si="11"/>
        <v>0</v>
      </c>
      <c r="G206" s="19">
        <f t="shared" si="11"/>
        <v>0</v>
      </c>
      <c r="H206" s="49">
        <f t="shared" si="11"/>
        <v>0</v>
      </c>
      <c r="I206" s="14">
        <f t="shared" si="11"/>
        <v>0</v>
      </c>
      <c r="J206" s="14">
        <f t="shared" si="13"/>
        <v>0</v>
      </c>
      <c r="K206" s="130">
        <f t="shared" si="14"/>
        <v>140000</v>
      </c>
    </row>
    <row r="207" spans="1:11" x14ac:dyDescent="0.25">
      <c r="A207" s="57">
        <f>'A) Base RI'!A206</f>
        <v>5727</v>
      </c>
      <c r="B207" s="40" t="str">
        <f>'A) Base RI'!B206</f>
        <v>Saint-Cergue</v>
      </c>
      <c r="C207" s="19">
        <f>'A) Base RI'!U206</f>
        <v>2481</v>
      </c>
      <c r="D207" s="14">
        <f t="shared" si="12"/>
        <v>1000</v>
      </c>
      <c r="E207" s="19">
        <f t="shared" si="11"/>
        <v>1481</v>
      </c>
      <c r="F207" s="14">
        <f t="shared" si="11"/>
        <v>0</v>
      </c>
      <c r="G207" s="19">
        <f t="shared" si="11"/>
        <v>0</v>
      </c>
      <c r="H207" s="49">
        <f t="shared" si="11"/>
        <v>0</v>
      </c>
      <c r="I207" s="14">
        <f t="shared" si="11"/>
        <v>0</v>
      </c>
      <c r="J207" s="14">
        <f t="shared" si="13"/>
        <v>0</v>
      </c>
      <c r="K207" s="130">
        <f t="shared" si="14"/>
        <v>609640.84507042251</v>
      </c>
    </row>
    <row r="208" spans="1:11" x14ac:dyDescent="0.25">
      <c r="A208" s="57">
        <f>'A) Base RI'!A207</f>
        <v>5728</v>
      </c>
      <c r="B208" s="40" t="str">
        <f>'A) Base RI'!B207</f>
        <v>Signy-Avenex</v>
      </c>
      <c r="C208" s="19">
        <f>'A) Base RI'!U207</f>
        <v>516</v>
      </c>
      <c r="D208" s="14">
        <f t="shared" si="12"/>
        <v>516</v>
      </c>
      <c r="E208" s="19">
        <f t="shared" si="11"/>
        <v>0</v>
      </c>
      <c r="F208" s="14">
        <f t="shared" si="11"/>
        <v>0</v>
      </c>
      <c r="G208" s="19">
        <f t="shared" ref="E208:I259" si="15">IF($C208&gt;G$4,IF($C208&lt;G$5,$C208-G$4,G$5-G$4),0)</f>
        <v>0</v>
      </c>
      <c r="H208" s="49">
        <f t="shared" si="15"/>
        <v>0</v>
      </c>
      <c r="I208" s="14">
        <f t="shared" si="15"/>
        <v>0</v>
      </c>
      <c r="J208" s="14">
        <f t="shared" si="13"/>
        <v>0</v>
      </c>
      <c r="K208" s="130">
        <f t="shared" si="14"/>
        <v>50873.239436619711</v>
      </c>
    </row>
    <row r="209" spans="1:11" x14ac:dyDescent="0.25">
      <c r="A209" s="57">
        <f>'A) Base RI'!A208</f>
        <v>5729</v>
      </c>
      <c r="B209" s="40" t="str">
        <f>'A) Base RI'!B208</f>
        <v>Tannay</v>
      </c>
      <c r="C209" s="19">
        <f>'A) Base RI'!U208</f>
        <v>1430</v>
      </c>
      <c r="D209" s="14">
        <f t="shared" si="12"/>
        <v>1000</v>
      </c>
      <c r="E209" s="19">
        <f t="shared" si="15"/>
        <v>430</v>
      </c>
      <c r="F209" s="14">
        <f t="shared" si="15"/>
        <v>0</v>
      </c>
      <c r="G209" s="19">
        <f t="shared" si="15"/>
        <v>0</v>
      </c>
      <c r="H209" s="49">
        <f t="shared" si="15"/>
        <v>0</v>
      </c>
      <c r="I209" s="14">
        <f t="shared" si="15"/>
        <v>0</v>
      </c>
      <c r="J209" s="14">
        <f t="shared" si="13"/>
        <v>0</v>
      </c>
      <c r="K209" s="130">
        <f t="shared" si="14"/>
        <v>246971.8309859155</v>
      </c>
    </row>
    <row r="210" spans="1:11" x14ac:dyDescent="0.25">
      <c r="A210" s="57">
        <f>'A) Base RI'!A209</f>
        <v>5730</v>
      </c>
      <c r="B210" s="40" t="str">
        <f>'A) Base RI'!B209</f>
        <v>Trélex</v>
      </c>
      <c r="C210" s="19">
        <f>'A) Base RI'!U209</f>
        <v>1414</v>
      </c>
      <c r="D210" s="14">
        <f t="shared" si="12"/>
        <v>1000</v>
      </c>
      <c r="E210" s="19">
        <f t="shared" si="15"/>
        <v>414</v>
      </c>
      <c r="F210" s="14">
        <f t="shared" si="15"/>
        <v>0</v>
      </c>
      <c r="G210" s="19">
        <f t="shared" si="15"/>
        <v>0</v>
      </c>
      <c r="H210" s="49">
        <f t="shared" si="15"/>
        <v>0</v>
      </c>
      <c r="I210" s="14">
        <f t="shared" si="15"/>
        <v>0</v>
      </c>
      <c r="J210" s="14">
        <f t="shared" si="13"/>
        <v>0</v>
      </c>
      <c r="K210" s="130">
        <f t="shared" si="14"/>
        <v>241450.70422535209</v>
      </c>
    </row>
    <row r="211" spans="1:11" x14ac:dyDescent="0.25">
      <c r="A211" s="57">
        <f>'A) Base RI'!A210</f>
        <v>5731</v>
      </c>
      <c r="B211" s="40" t="str">
        <f>'A) Base RI'!B210</f>
        <v>Le Vaud</v>
      </c>
      <c r="C211" s="19">
        <f>'A) Base RI'!U210</f>
        <v>1260</v>
      </c>
      <c r="D211" s="14">
        <f t="shared" si="12"/>
        <v>1000</v>
      </c>
      <c r="E211" s="19">
        <f t="shared" si="15"/>
        <v>260</v>
      </c>
      <c r="F211" s="14">
        <f t="shared" si="15"/>
        <v>0</v>
      </c>
      <c r="G211" s="19">
        <f t="shared" si="15"/>
        <v>0</v>
      </c>
      <c r="H211" s="49">
        <f t="shared" si="15"/>
        <v>0</v>
      </c>
      <c r="I211" s="14">
        <f t="shared" si="15"/>
        <v>0</v>
      </c>
      <c r="J211" s="14">
        <f t="shared" si="13"/>
        <v>0</v>
      </c>
      <c r="K211" s="130">
        <f t="shared" si="14"/>
        <v>188309.85915492958</v>
      </c>
    </row>
    <row r="212" spans="1:11" x14ac:dyDescent="0.25">
      <c r="A212" s="57">
        <f>'A) Base RI'!A211</f>
        <v>5732</v>
      </c>
      <c r="B212" s="40" t="str">
        <f>'A) Base RI'!B211</f>
        <v>Vich</v>
      </c>
      <c r="C212" s="19">
        <f>'A) Base RI'!U211</f>
        <v>958</v>
      </c>
      <c r="D212" s="14">
        <f t="shared" si="12"/>
        <v>958</v>
      </c>
      <c r="E212" s="19">
        <f t="shared" si="15"/>
        <v>0</v>
      </c>
      <c r="F212" s="14">
        <f t="shared" si="15"/>
        <v>0</v>
      </c>
      <c r="G212" s="19">
        <f t="shared" si="15"/>
        <v>0</v>
      </c>
      <c r="H212" s="49">
        <f t="shared" si="15"/>
        <v>0</v>
      </c>
      <c r="I212" s="14">
        <f t="shared" si="15"/>
        <v>0</v>
      </c>
      <c r="J212" s="14">
        <f t="shared" si="13"/>
        <v>0</v>
      </c>
      <c r="K212" s="130">
        <f t="shared" si="14"/>
        <v>94450.704225352107</v>
      </c>
    </row>
    <row r="213" spans="1:11" x14ac:dyDescent="0.25">
      <c r="A213" s="57">
        <f>'A) Base RI'!A212</f>
        <v>5741</v>
      </c>
      <c r="B213" s="40" t="str">
        <f>'A) Base RI'!B212</f>
        <v>L'Abergement</v>
      </c>
      <c r="C213" s="19">
        <f>'A) Base RI'!U212</f>
        <v>240</v>
      </c>
      <c r="D213" s="14">
        <f t="shared" si="12"/>
        <v>240</v>
      </c>
      <c r="E213" s="19">
        <f t="shared" si="15"/>
        <v>0</v>
      </c>
      <c r="F213" s="14">
        <f t="shared" si="15"/>
        <v>0</v>
      </c>
      <c r="G213" s="19">
        <f t="shared" si="15"/>
        <v>0</v>
      </c>
      <c r="H213" s="49">
        <f t="shared" si="15"/>
        <v>0</v>
      </c>
      <c r="I213" s="14">
        <f t="shared" si="15"/>
        <v>0</v>
      </c>
      <c r="J213" s="14">
        <f t="shared" si="13"/>
        <v>0</v>
      </c>
      <c r="K213" s="130">
        <f t="shared" si="14"/>
        <v>23661.971830985913</v>
      </c>
    </row>
    <row r="214" spans="1:11" x14ac:dyDescent="0.25">
      <c r="A214" s="57">
        <f>'A) Base RI'!A213</f>
        <v>5742</v>
      </c>
      <c r="B214" s="40" t="str">
        <f>'A) Base RI'!B213</f>
        <v>Agiez</v>
      </c>
      <c r="C214" s="19">
        <f>'A) Base RI'!U213</f>
        <v>293</v>
      </c>
      <c r="D214" s="14">
        <f t="shared" si="12"/>
        <v>293</v>
      </c>
      <c r="E214" s="19">
        <f t="shared" si="15"/>
        <v>0</v>
      </c>
      <c r="F214" s="14">
        <f t="shared" si="15"/>
        <v>0</v>
      </c>
      <c r="G214" s="19">
        <f t="shared" si="15"/>
        <v>0</v>
      </c>
      <c r="H214" s="49">
        <f t="shared" si="15"/>
        <v>0</v>
      </c>
      <c r="I214" s="14">
        <f t="shared" si="15"/>
        <v>0</v>
      </c>
      <c r="J214" s="14">
        <f t="shared" si="13"/>
        <v>0</v>
      </c>
      <c r="K214" s="130">
        <f t="shared" si="14"/>
        <v>28887.32394366197</v>
      </c>
    </row>
    <row r="215" spans="1:11" x14ac:dyDescent="0.25">
      <c r="A215" s="57">
        <f>'A) Base RI'!A214</f>
        <v>5743</v>
      </c>
      <c r="B215" s="40" t="str">
        <f>'A) Base RI'!B214</f>
        <v>Arnex-sur-Orbe</v>
      </c>
      <c r="C215" s="19">
        <f>'A) Base RI'!U214</f>
        <v>632</v>
      </c>
      <c r="D215" s="14">
        <f t="shared" si="12"/>
        <v>632</v>
      </c>
      <c r="E215" s="19">
        <f t="shared" si="15"/>
        <v>0</v>
      </c>
      <c r="F215" s="14">
        <f t="shared" si="15"/>
        <v>0</v>
      </c>
      <c r="G215" s="19">
        <f t="shared" si="15"/>
        <v>0</v>
      </c>
      <c r="H215" s="49">
        <f t="shared" si="15"/>
        <v>0</v>
      </c>
      <c r="I215" s="14">
        <f t="shared" si="15"/>
        <v>0</v>
      </c>
      <c r="J215" s="14">
        <f t="shared" si="13"/>
        <v>0</v>
      </c>
      <c r="K215" s="130">
        <f t="shared" si="14"/>
        <v>62309.859154929574</v>
      </c>
    </row>
    <row r="216" spans="1:11" x14ac:dyDescent="0.25">
      <c r="A216" s="57">
        <f>'A) Base RI'!A215</f>
        <v>5744</v>
      </c>
      <c r="B216" s="40" t="str">
        <f>'A) Base RI'!B215</f>
        <v>Ballaigues</v>
      </c>
      <c r="C216" s="19">
        <f>'A) Base RI'!U215</f>
        <v>1101</v>
      </c>
      <c r="D216" s="14">
        <f t="shared" si="12"/>
        <v>1000</v>
      </c>
      <c r="E216" s="19">
        <f t="shared" si="15"/>
        <v>101</v>
      </c>
      <c r="F216" s="14">
        <f t="shared" si="15"/>
        <v>0</v>
      </c>
      <c r="G216" s="19">
        <f t="shared" si="15"/>
        <v>0</v>
      </c>
      <c r="H216" s="49">
        <f t="shared" si="15"/>
        <v>0</v>
      </c>
      <c r="I216" s="14">
        <f t="shared" si="15"/>
        <v>0</v>
      </c>
      <c r="J216" s="14">
        <f t="shared" si="13"/>
        <v>0</v>
      </c>
      <c r="K216" s="130">
        <f t="shared" si="14"/>
        <v>133443.661971831</v>
      </c>
    </row>
    <row r="217" spans="1:11" x14ac:dyDescent="0.25">
      <c r="A217" s="57">
        <f>'A) Base RI'!A216</f>
        <v>5745</v>
      </c>
      <c r="B217" s="40" t="str">
        <f>'A) Base RI'!B216</f>
        <v>Baulmes</v>
      </c>
      <c r="C217" s="19">
        <f>'A) Base RI'!U216</f>
        <v>1055</v>
      </c>
      <c r="D217" s="14">
        <f t="shared" si="12"/>
        <v>1000</v>
      </c>
      <c r="E217" s="19">
        <f t="shared" si="15"/>
        <v>55</v>
      </c>
      <c r="F217" s="14">
        <f t="shared" si="15"/>
        <v>0</v>
      </c>
      <c r="G217" s="19">
        <f t="shared" si="15"/>
        <v>0</v>
      </c>
      <c r="H217" s="49">
        <f t="shared" si="15"/>
        <v>0</v>
      </c>
      <c r="I217" s="14">
        <f t="shared" si="15"/>
        <v>0</v>
      </c>
      <c r="J217" s="14">
        <f t="shared" si="13"/>
        <v>0</v>
      </c>
      <c r="K217" s="130">
        <f t="shared" si="14"/>
        <v>117570.42253521127</v>
      </c>
    </row>
    <row r="218" spans="1:11" x14ac:dyDescent="0.25">
      <c r="A218" s="57">
        <f>'A) Base RI'!A217</f>
        <v>5746</v>
      </c>
      <c r="B218" s="40" t="str">
        <f>'A) Base RI'!B217</f>
        <v>Bavois</v>
      </c>
      <c r="C218" s="19">
        <f>'A) Base RI'!U217</f>
        <v>939</v>
      </c>
      <c r="D218" s="14">
        <f t="shared" si="12"/>
        <v>939</v>
      </c>
      <c r="E218" s="19">
        <f t="shared" si="15"/>
        <v>0</v>
      </c>
      <c r="F218" s="14">
        <f t="shared" si="15"/>
        <v>0</v>
      </c>
      <c r="G218" s="19">
        <f t="shared" si="15"/>
        <v>0</v>
      </c>
      <c r="H218" s="49">
        <f t="shared" si="15"/>
        <v>0</v>
      </c>
      <c r="I218" s="14">
        <f t="shared" si="15"/>
        <v>0</v>
      </c>
      <c r="J218" s="14">
        <f t="shared" si="13"/>
        <v>0</v>
      </c>
      <c r="K218" s="130">
        <f t="shared" si="14"/>
        <v>92577.464788732381</v>
      </c>
    </row>
    <row r="219" spans="1:11" x14ac:dyDescent="0.25">
      <c r="A219" s="57">
        <f>'A) Base RI'!A218</f>
        <v>5747</v>
      </c>
      <c r="B219" s="40" t="str">
        <f>'A) Base RI'!B218</f>
        <v>Bofflens</v>
      </c>
      <c r="C219" s="19">
        <f>'A) Base RI'!U218</f>
        <v>188</v>
      </c>
      <c r="D219" s="14">
        <f t="shared" si="12"/>
        <v>188</v>
      </c>
      <c r="E219" s="19">
        <f t="shared" si="15"/>
        <v>0</v>
      </c>
      <c r="F219" s="14">
        <f t="shared" si="15"/>
        <v>0</v>
      </c>
      <c r="G219" s="19">
        <f t="shared" si="15"/>
        <v>0</v>
      </c>
      <c r="H219" s="49">
        <f t="shared" si="15"/>
        <v>0</v>
      </c>
      <c r="I219" s="14">
        <f t="shared" si="15"/>
        <v>0</v>
      </c>
      <c r="J219" s="14">
        <f t="shared" si="13"/>
        <v>0</v>
      </c>
      <c r="K219" s="130">
        <f t="shared" si="14"/>
        <v>18535.211267605631</v>
      </c>
    </row>
    <row r="220" spans="1:11" x14ac:dyDescent="0.25">
      <c r="A220" s="57">
        <f>'A) Base RI'!A219</f>
        <v>5748</v>
      </c>
      <c r="B220" s="40" t="str">
        <f>'A) Base RI'!B219</f>
        <v>Bretonnières</v>
      </c>
      <c r="C220" s="19">
        <f>'A) Base RI'!U219</f>
        <v>258</v>
      </c>
      <c r="D220" s="14">
        <f t="shared" si="12"/>
        <v>258</v>
      </c>
      <c r="E220" s="19">
        <f t="shared" si="15"/>
        <v>0</v>
      </c>
      <c r="F220" s="14">
        <f t="shared" si="15"/>
        <v>0</v>
      </c>
      <c r="G220" s="19">
        <f t="shared" si="15"/>
        <v>0</v>
      </c>
      <c r="H220" s="49">
        <f t="shared" si="15"/>
        <v>0</v>
      </c>
      <c r="I220" s="14">
        <f t="shared" si="15"/>
        <v>0</v>
      </c>
      <c r="J220" s="14">
        <f t="shared" si="13"/>
        <v>0</v>
      </c>
      <c r="K220" s="130">
        <f t="shared" si="14"/>
        <v>25436.619718309856</v>
      </c>
    </row>
    <row r="221" spans="1:11" x14ac:dyDescent="0.25">
      <c r="A221" s="57">
        <f>'A) Base RI'!A220</f>
        <v>5749</v>
      </c>
      <c r="B221" s="40" t="str">
        <f>'A) Base RI'!B220</f>
        <v>Chavornay</v>
      </c>
      <c r="C221" s="19">
        <f>'A) Base RI'!U220</f>
        <v>4817</v>
      </c>
      <c r="D221" s="14">
        <f t="shared" si="12"/>
        <v>1000</v>
      </c>
      <c r="E221" s="19">
        <f t="shared" si="15"/>
        <v>2000</v>
      </c>
      <c r="F221" s="14">
        <f t="shared" si="15"/>
        <v>1817</v>
      </c>
      <c r="G221" s="19">
        <f t="shared" si="15"/>
        <v>0</v>
      </c>
      <c r="H221" s="49">
        <f t="shared" si="15"/>
        <v>0</v>
      </c>
      <c r="I221" s="14">
        <f t="shared" si="15"/>
        <v>0</v>
      </c>
      <c r="J221" s="14">
        <f t="shared" si="13"/>
        <v>0</v>
      </c>
      <c r="K221" s="130">
        <f t="shared" si="14"/>
        <v>1684436.61971831</v>
      </c>
    </row>
    <row r="222" spans="1:11" x14ac:dyDescent="0.25">
      <c r="A222" s="57">
        <f>'A) Base RI'!A221</f>
        <v>5750</v>
      </c>
      <c r="B222" s="40" t="str">
        <f>'A) Base RI'!B221</f>
        <v>Les Clées</v>
      </c>
      <c r="C222" s="19">
        <f>'A) Base RI'!U221</f>
        <v>176</v>
      </c>
      <c r="D222" s="14">
        <f t="shared" si="12"/>
        <v>176</v>
      </c>
      <c r="E222" s="19">
        <f t="shared" si="15"/>
        <v>0</v>
      </c>
      <c r="F222" s="14">
        <f t="shared" si="15"/>
        <v>0</v>
      </c>
      <c r="G222" s="19">
        <f t="shared" si="15"/>
        <v>0</v>
      </c>
      <c r="H222" s="49">
        <f t="shared" si="15"/>
        <v>0</v>
      </c>
      <c r="I222" s="14">
        <f t="shared" si="15"/>
        <v>0</v>
      </c>
      <c r="J222" s="14">
        <f t="shared" si="13"/>
        <v>0</v>
      </c>
      <c r="K222" s="130">
        <f t="shared" si="14"/>
        <v>17352.112676056338</v>
      </c>
    </row>
    <row r="223" spans="1:11" x14ac:dyDescent="0.25">
      <c r="A223" s="57">
        <f>'A) Base RI'!A222</f>
        <v>5752</v>
      </c>
      <c r="B223" s="40" t="str">
        <f>'A) Base RI'!B222</f>
        <v>Croy</v>
      </c>
      <c r="C223" s="19">
        <f>'A) Base RI'!U222</f>
        <v>344</v>
      </c>
      <c r="D223" s="14">
        <f t="shared" si="12"/>
        <v>344</v>
      </c>
      <c r="E223" s="19">
        <f t="shared" si="15"/>
        <v>0</v>
      </c>
      <c r="F223" s="14">
        <f t="shared" si="15"/>
        <v>0</v>
      </c>
      <c r="G223" s="19">
        <f t="shared" si="15"/>
        <v>0</v>
      </c>
      <c r="H223" s="49">
        <f t="shared" si="15"/>
        <v>0</v>
      </c>
      <c r="I223" s="14">
        <f t="shared" si="15"/>
        <v>0</v>
      </c>
      <c r="J223" s="14">
        <f t="shared" si="13"/>
        <v>0</v>
      </c>
      <c r="K223" s="130">
        <f t="shared" si="14"/>
        <v>33915.492957746479</v>
      </c>
    </row>
    <row r="224" spans="1:11" x14ac:dyDescent="0.25">
      <c r="A224" s="57">
        <f>'A) Base RI'!A223</f>
        <v>5754</v>
      </c>
      <c r="B224" s="40" t="str">
        <f>'A) Base RI'!B223</f>
        <v>Juriens</v>
      </c>
      <c r="C224" s="19">
        <f>'A) Base RI'!U223</f>
        <v>302</v>
      </c>
      <c r="D224" s="14">
        <f t="shared" si="12"/>
        <v>302</v>
      </c>
      <c r="E224" s="19">
        <f t="shared" si="15"/>
        <v>0</v>
      </c>
      <c r="F224" s="14">
        <f t="shared" si="15"/>
        <v>0</v>
      </c>
      <c r="G224" s="19">
        <f t="shared" si="15"/>
        <v>0</v>
      </c>
      <c r="H224" s="49">
        <f t="shared" si="15"/>
        <v>0</v>
      </c>
      <c r="I224" s="14">
        <f t="shared" si="15"/>
        <v>0</v>
      </c>
      <c r="J224" s="14">
        <f t="shared" si="13"/>
        <v>0</v>
      </c>
      <c r="K224" s="130">
        <f t="shared" si="14"/>
        <v>29774.647887323943</v>
      </c>
    </row>
    <row r="225" spans="1:11" x14ac:dyDescent="0.25">
      <c r="A225" s="57">
        <f>'A) Base RI'!A224</f>
        <v>5755</v>
      </c>
      <c r="B225" s="40" t="str">
        <f>'A) Base RI'!B224</f>
        <v>Lignerolle</v>
      </c>
      <c r="C225" s="19">
        <f>'A) Base RI'!U224</f>
        <v>405</v>
      </c>
      <c r="D225" s="14">
        <f t="shared" si="12"/>
        <v>405</v>
      </c>
      <c r="E225" s="19">
        <f t="shared" si="15"/>
        <v>0</v>
      </c>
      <c r="F225" s="14">
        <f t="shared" si="15"/>
        <v>0</v>
      </c>
      <c r="G225" s="19">
        <f t="shared" si="15"/>
        <v>0</v>
      </c>
      <c r="H225" s="49">
        <f t="shared" si="15"/>
        <v>0</v>
      </c>
      <c r="I225" s="14">
        <f t="shared" si="15"/>
        <v>0</v>
      </c>
      <c r="J225" s="14">
        <f t="shared" si="13"/>
        <v>0</v>
      </c>
      <c r="K225" s="130">
        <f t="shared" si="14"/>
        <v>39929.57746478873</v>
      </c>
    </row>
    <row r="226" spans="1:11" x14ac:dyDescent="0.25">
      <c r="A226" s="57">
        <f>'A) Base RI'!A225</f>
        <v>5756</v>
      </c>
      <c r="B226" s="40" t="str">
        <f>'A) Base RI'!B225</f>
        <v>Montcherand</v>
      </c>
      <c r="C226" s="19">
        <f>'A) Base RI'!U225</f>
        <v>469</v>
      </c>
      <c r="D226" s="14">
        <f t="shared" si="12"/>
        <v>469</v>
      </c>
      <c r="E226" s="19">
        <f t="shared" si="15"/>
        <v>0</v>
      </c>
      <c r="F226" s="14">
        <f t="shared" si="15"/>
        <v>0</v>
      </c>
      <c r="G226" s="19">
        <f t="shared" si="15"/>
        <v>0</v>
      </c>
      <c r="H226" s="49">
        <f t="shared" si="15"/>
        <v>0</v>
      </c>
      <c r="I226" s="14">
        <f t="shared" si="15"/>
        <v>0</v>
      </c>
      <c r="J226" s="14">
        <f t="shared" si="13"/>
        <v>0</v>
      </c>
      <c r="K226" s="130">
        <f t="shared" si="14"/>
        <v>46239.436619718304</v>
      </c>
    </row>
    <row r="227" spans="1:11" x14ac:dyDescent="0.25">
      <c r="A227" s="57">
        <f>'A) Base RI'!A226</f>
        <v>5757</v>
      </c>
      <c r="B227" s="40" t="str">
        <f>'A) Base RI'!B226</f>
        <v>Orbe</v>
      </c>
      <c r="C227" s="19">
        <f>'A) Base RI'!U226</f>
        <v>6805</v>
      </c>
      <c r="D227" s="14">
        <f t="shared" si="12"/>
        <v>1000</v>
      </c>
      <c r="E227" s="19">
        <f t="shared" si="15"/>
        <v>2000</v>
      </c>
      <c r="F227" s="14">
        <f t="shared" si="15"/>
        <v>2000</v>
      </c>
      <c r="G227" s="19">
        <f t="shared" si="15"/>
        <v>1805</v>
      </c>
      <c r="H227" s="49">
        <f t="shared" si="15"/>
        <v>0</v>
      </c>
      <c r="I227" s="14">
        <f t="shared" si="15"/>
        <v>0</v>
      </c>
      <c r="J227" s="14">
        <f t="shared" si="13"/>
        <v>0</v>
      </c>
      <c r="K227" s="130">
        <f t="shared" si="14"/>
        <v>2842394.3661971828</v>
      </c>
    </row>
    <row r="228" spans="1:11" x14ac:dyDescent="0.25">
      <c r="A228" s="57">
        <f>'A) Base RI'!A227</f>
        <v>5758</v>
      </c>
      <c r="B228" s="40" t="str">
        <f>'A) Base RI'!B227</f>
        <v>La Praz</v>
      </c>
      <c r="C228" s="19">
        <f>'A) Base RI'!U227</f>
        <v>159</v>
      </c>
      <c r="D228" s="14">
        <f t="shared" si="12"/>
        <v>159</v>
      </c>
      <c r="E228" s="19">
        <f t="shared" si="15"/>
        <v>0</v>
      </c>
      <c r="F228" s="14">
        <f t="shared" si="15"/>
        <v>0</v>
      </c>
      <c r="G228" s="19">
        <f t="shared" si="15"/>
        <v>0</v>
      </c>
      <c r="H228" s="49">
        <f t="shared" si="15"/>
        <v>0</v>
      </c>
      <c r="I228" s="14">
        <f t="shared" si="15"/>
        <v>0</v>
      </c>
      <c r="J228" s="14">
        <f t="shared" si="13"/>
        <v>0</v>
      </c>
      <c r="K228" s="130">
        <f t="shared" si="14"/>
        <v>15676.056338028167</v>
      </c>
    </row>
    <row r="229" spans="1:11" x14ac:dyDescent="0.25">
      <c r="A229" s="57">
        <f>'A) Base RI'!A228</f>
        <v>5759</v>
      </c>
      <c r="B229" s="40" t="str">
        <f>'A) Base RI'!B228</f>
        <v>Premier</v>
      </c>
      <c r="C229" s="19">
        <f>'A) Base RI'!U228</f>
        <v>196</v>
      </c>
      <c r="D229" s="14">
        <f t="shared" si="12"/>
        <v>196</v>
      </c>
      <c r="E229" s="19">
        <f t="shared" si="15"/>
        <v>0</v>
      </c>
      <c r="F229" s="14">
        <f t="shared" si="15"/>
        <v>0</v>
      </c>
      <c r="G229" s="19">
        <f t="shared" si="15"/>
        <v>0</v>
      </c>
      <c r="H229" s="49">
        <f t="shared" si="15"/>
        <v>0</v>
      </c>
      <c r="I229" s="14">
        <f t="shared" si="15"/>
        <v>0</v>
      </c>
      <c r="J229" s="14">
        <f t="shared" si="13"/>
        <v>0</v>
      </c>
      <c r="K229" s="130">
        <f t="shared" si="14"/>
        <v>19323.943661971829</v>
      </c>
    </row>
    <row r="230" spans="1:11" x14ac:dyDescent="0.25">
      <c r="A230" s="57">
        <f>'A) Base RI'!A229</f>
        <v>5760</v>
      </c>
      <c r="B230" s="40" t="str">
        <f>'A) Base RI'!B229</f>
        <v>Rances</v>
      </c>
      <c r="C230" s="19">
        <f>'A) Base RI'!U229</f>
        <v>473</v>
      </c>
      <c r="D230" s="14">
        <f t="shared" si="12"/>
        <v>473</v>
      </c>
      <c r="E230" s="19">
        <f t="shared" si="15"/>
        <v>0</v>
      </c>
      <c r="F230" s="14">
        <f t="shared" si="15"/>
        <v>0</v>
      </c>
      <c r="G230" s="19">
        <f t="shared" si="15"/>
        <v>0</v>
      </c>
      <c r="H230" s="49">
        <f t="shared" si="15"/>
        <v>0</v>
      </c>
      <c r="I230" s="14">
        <f t="shared" si="15"/>
        <v>0</v>
      </c>
      <c r="J230" s="14">
        <f t="shared" si="13"/>
        <v>0</v>
      </c>
      <c r="K230" s="130">
        <f t="shared" si="14"/>
        <v>46633.802816901407</v>
      </c>
    </row>
    <row r="231" spans="1:11" x14ac:dyDescent="0.25">
      <c r="A231" s="57">
        <f>'A) Base RI'!A230</f>
        <v>5761</v>
      </c>
      <c r="B231" s="40" t="str">
        <f>'A) Base RI'!B230</f>
        <v>Romainmôtier-Envy</v>
      </c>
      <c r="C231" s="19">
        <f>'A) Base RI'!U230</f>
        <v>546</v>
      </c>
      <c r="D231" s="14">
        <f t="shared" si="12"/>
        <v>546</v>
      </c>
      <c r="E231" s="19">
        <f t="shared" si="15"/>
        <v>0</v>
      </c>
      <c r="F231" s="14">
        <f t="shared" si="15"/>
        <v>0</v>
      </c>
      <c r="G231" s="19">
        <f t="shared" si="15"/>
        <v>0</v>
      </c>
      <c r="H231" s="49">
        <f t="shared" si="15"/>
        <v>0</v>
      </c>
      <c r="I231" s="14">
        <f t="shared" si="15"/>
        <v>0</v>
      </c>
      <c r="J231" s="14">
        <f t="shared" si="13"/>
        <v>0</v>
      </c>
      <c r="K231" s="130">
        <f t="shared" si="14"/>
        <v>53830.985915492951</v>
      </c>
    </row>
    <row r="232" spans="1:11" x14ac:dyDescent="0.25">
      <c r="A232" s="57">
        <f>'A) Base RI'!A231</f>
        <v>5762</v>
      </c>
      <c r="B232" s="40" t="str">
        <f>'A) Base RI'!B231</f>
        <v>Sergey</v>
      </c>
      <c r="C232" s="19">
        <f>'A) Base RI'!U231</f>
        <v>140</v>
      </c>
      <c r="D232" s="14">
        <f t="shared" si="12"/>
        <v>140</v>
      </c>
      <c r="E232" s="19">
        <f t="shared" si="15"/>
        <v>0</v>
      </c>
      <c r="F232" s="14">
        <f t="shared" si="15"/>
        <v>0</v>
      </c>
      <c r="G232" s="19">
        <f t="shared" si="15"/>
        <v>0</v>
      </c>
      <c r="H232" s="49">
        <f t="shared" si="15"/>
        <v>0</v>
      </c>
      <c r="I232" s="14">
        <f t="shared" si="15"/>
        <v>0</v>
      </c>
      <c r="J232" s="14">
        <f t="shared" si="13"/>
        <v>0</v>
      </c>
      <c r="K232" s="130">
        <f t="shared" si="14"/>
        <v>13802.816901408451</v>
      </c>
    </row>
    <row r="233" spans="1:11" x14ac:dyDescent="0.25">
      <c r="A233" s="57">
        <f>'A) Base RI'!A232</f>
        <v>5763</v>
      </c>
      <c r="B233" s="40" t="str">
        <f>'A) Base RI'!B232</f>
        <v>Valeyres-sous-Rances</v>
      </c>
      <c r="C233" s="19">
        <f>'A) Base RI'!U232</f>
        <v>623</v>
      </c>
      <c r="D233" s="14">
        <f t="shared" si="12"/>
        <v>623</v>
      </c>
      <c r="E233" s="19">
        <f t="shared" si="15"/>
        <v>0</v>
      </c>
      <c r="F233" s="14">
        <f t="shared" si="15"/>
        <v>0</v>
      </c>
      <c r="G233" s="19">
        <f t="shared" si="15"/>
        <v>0</v>
      </c>
      <c r="H233" s="49">
        <f t="shared" si="15"/>
        <v>0</v>
      </c>
      <c r="I233" s="14">
        <f t="shared" si="15"/>
        <v>0</v>
      </c>
      <c r="J233" s="14">
        <f t="shared" si="13"/>
        <v>0</v>
      </c>
      <c r="K233" s="130">
        <f t="shared" si="14"/>
        <v>61422.535211267605</v>
      </c>
    </row>
    <row r="234" spans="1:11" x14ac:dyDescent="0.25">
      <c r="A234" s="57">
        <f>'A) Base RI'!A233</f>
        <v>5764</v>
      </c>
      <c r="B234" s="40" t="str">
        <f>'A) Base RI'!B233</f>
        <v>Vallorbe</v>
      </c>
      <c r="C234" s="19">
        <f>'A) Base RI'!U233</f>
        <v>3747</v>
      </c>
      <c r="D234" s="14">
        <f t="shared" si="12"/>
        <v>1000</v>
      </c>
      <c r="E234" s="19">
        <f t="shared" si="15"/>
        <v>2000</v>
      </c>
      <c r="F234" s="14">
        <f t="shared" si="15"/>
        <v>747</v>
      </c>
      <c r="G234" s="19">
        <f t="shared" si="15"/>
        <v>0</v>
      </c>
      <c r="H234" s="49">
        <f t="shared" si="15"/>
        <v>0</v>
      </c>
      <c r="I234" s="14">
        <f t="shared" si="15"/>
        <v>0</v>
      </c>
      <c r="J234" s="14">
        <f t="shared" si="13"/>
        <v>0</v>
      </c>
      <c r="K234" s="130">
        <f t="shared" si="14"/>
        <v>1156971.8309859154</v>
      </c>
    </row>
    <row r="235" spans="1:11" x14ac:dyDescent="0.25">
      <c r="A235" s="57">
        <f>'A) Base RI'!A234</f>
        <v>5765</v>
      </c>
      <c r="B235" s="40" t="str">
        <f>'A) Base RI'!B234</f>
        <v>Vaulion</v>
      </c>
      <c r="C235" s="19">
        <f>'A) Base RI'!U234</f>
        <v>494</v>
      </c>
      <c r="D235" s="14">
        <f t="shared" ref="D235:D298" si="16">IF($C235&gt;D$4,IF($C235&lt;D$5,$C235-D$4,D$5-D$4),0)</f>
        <v>494</v>
      </c>
      <c r="E235" s="19">
        <f t="shared" si="15"/>
        <v>0</v>
      </c>
      <c r="F235" s="14">
        <f t="shared" si="15"/>
        <v>0</v>
      </c>
      <c r="G235" s="19">
        <f t="shared" si="15"/>
        <v>0</v>
      </c>
      <c r="H235" s="49">
        <f t="shared" si="15"/>
        <v>0</v>
      </c>
      <c r="I235" s="14">
        <f t="shared" si="15"/>
        <v>0</v>
      </c>
      <c r="J235" s="14">
        <f t="shared" si="13"/>
        <v>0</v>
      </c>
      <c r="K235" s="130">
        <f t="shared" si="14"/>
        <v>48704.225352112669</v>
      </c>
    </row>
    <row r="236" spans="1:11" x14ac:dyDescent="0.25">
      <c r="A236" s="57">
        <f>'A) Base RI'!A235</f>
        <v>5766</v>
      </c>
      <c r="B236" s="40" t="str">
        <f>'A) Base RI'!B235</f>
        <v>Vuiteboeuf</v>
      </c>
      <c r="C236" s="19">
        <f>'A) Base RI'!U235</f>
        <v>556</v>
      </c>
      <c r="D236" s="14">
        <f t="shared" si="16"/>
        <v>556</v>
      </c>
      <c r="E236" s="19">
        <f t="shared" si="15"/>
        <v>0</v>
      </c>
      <c r="F236" s="14">
        <f t="shared" si="15"/>
        <v>0</v>
      </c>
      <c r="G236" s="19">
        <f t="shared" si="15"/>
        <v>0</v>
      </c>
      <c r="H236" s="49">
        <f t="shared" si="15"/>
        <v>0</v>
      </c>
      <c r="I236" s="14">
        <f t="shared" si="15"/>
        <v>0</v>
      </c>
      <c r="J236" s="14">
        <f t="shared" si="13"/>
        <v>0</v>
      </c>
      <c r="K236" s="130">
        <f t="shared" si="14"/>
        <v>54816.9014084507</v>
      </c>
    </row>
    <row r="237" spans="1:11" x14ac:dyDescent="0.25">
      <c r="A237" s="57">
        <f>'A) Base RI'!A236</f>
        <v>5785</v>
      </c>
      <c r="B237" s="40" t="str">
        <f>'A) Base RI'!B236</f>
        <v>Corcelles-le-Jorat</v>
      </c>
      <c r="C237" s="19">
        <f>'A) Base RI'!U236</f>
        <v>425</v>
      </c>
      <c r="D237" s="14">
        <f t="shared" si="16"/>
        <v>425</v>
      </c>
      <c r="E237" s="19">
        <f t="shared" si="15"/>
        <v>0</v>
      </c>
      <c r="F237" s="14">
        <f t="shared" si="15"/>
        <v>0</v>
      </c>
      <c r="G237" s="19">
        <f t="shared" si="15"/>
        <v>0</v>
      </c>
      <c r="H237" s="49">
        <f t="shared" si="15"/>
        <v>0</v>
      </c>
      <c r="I237" s="14">
        <f t="shared" si="15"/>
        <v>0</v>
      </c>
      <c r="J237" s="14">
        <f t="shared" si="13"/>
        <v>0</v>
      </c>
      <c r="K237" s="130">
        <f t="shared" si="14"/>
        <v>41901.408450704221</v>
      </c>
    </row>
    <row r="238" spans="1:11" x14ac:dyDescent="0.25">
      <c r="A238" s="57">
        <f>'A) Base RI'!A237</f>
        <v>5788</v>
      </c>
      <c r="B238" s="40" t="str">
        <f>'A) Base RI'!B237</f>
        <v>Essertes</v>
      </c>
      <c r="C238" s="19">
        <f>'A) Base RI'!U237</f>
        <v>335</v>
      </c>
      <c r="D238" s="14">
        <f t="shared" si="16"/>
        <v>335</v>
      </c>
      <c r="E238" s="19">
        <f t="shared" si="15"/>
        <v>0</v>
      </c>
      <c r="F238" s="14">
        <f t="shared" si="15"/>
        <v>0</v>
      </c>
      <c r="G238" s="19">
        <f t="shared" si="15"/>
        <v>0</v>
      </c>
      <c r="H238" s="49">
        <f t="shared" si="15"/>
        <v>0</v>
      </c>
      <c r="I238" s="14">
        <f t="shared" si="15"/>
        <v>0</v>
      </c>
      <c r="J238" s="14">
        <f t="shared" si="13"/>
        <v>0</v>
      </c>
      <c r="K238" s="130">
        <f t="shared" si="14"/>
        <v>33028.169014084502</v>
      </c>
    </row>
    <row r="239" spans="1:11" x14ac:dyDescent="0.25">
      <c r="A239" s="57">
        <f>'A) Base RI'!A238</f>
        <v>5790</v>
      </c>
      <c r="B239" s="40" t="str">
        <f>'A) Base RI'!B238</f>
        <v>Maracon</v>
      </c>
      <c r="C239" s="19">
        <f>'A) Base RI'!U238</f>
        <v>449</v>
      </c>
      <c r="D239" s="14">
        <f t="shared" si="16"/>
        <v>449</v>
      </c>
      <c r="E239" s="19">
        <f t="shared" si="15"/>
        <v>0</v>
      </c>
      <c r="F239" s="14">
        <f t="shared" si="15"/>
        <v>0</v>
      </c>
      <c r="G239" s="19">
        <f t="shared" si="15"/>
        <v>0</v>
      </c>
      <c r="H239" s="49">
        <f t="shared" si="15"/>
        <v>0</v>
      </c>
      <c r="I239" s="14">
        <f t="shared" si="15"/>
        <v>0</v>
      </c>
      <c r="J239" s="14">
        <f t="shared" si="13"/>
        <v>0</v>
      </c>
      <c r="K239" s="130">
        <f t="shared" si="14"/>
        <v>44267.605633802814</v>
      </c>
    </row>
    <row r="240" spans="1:11" x14ac:dyDescent="0.25">
      <c r="A240" s="57">
        <f>'A) Base RI'!A239</f>
        <v>5792</v>
      </c>
      <c r="B240" s="40" t="str">
        <f>'A) Base RI'!B239</f>
        <v>Montpreveyres</v>
      </c>
      <c r="C240" s="19">
        <f>'A) Base RI'!U239</f>
        <v>621</v>
      </c>
      <c r="D240" s="14">
        <f t="shared" si="16"/>
        <v>621</v>
      </c>
      <c r="E240" s="19">
        <f t="shared" si="15"/>
        <v>0</v>
      </c>
      <c r="F240" s="14">
        <f t="shared" si="15"/>
        <v>0</v>
      </c>
      <c r="G240" s="19">
        <f t="shared" si="15"/>
        <v>0</v>
      </c>
      <c r="H240" s="49">
        <f t="shared" si="15"/>
        <v>0</v>
      </c>
      <c r="I240" s="14">
        <f t="shared" si="15"/>
        <v>0</v>
      </c>
      <c r="J240" s="14">
        <f t="shared" si="13"/>
        <v>0</v>
      </c>
      <c r="K240" s="130">
        <f t="shared" si="14"/>
        <v>61225.352112676053</v>
      </c>
    </row>
    <row r="241" spans="1:11" x14ac:dyDescent="0.25">
      <c r="A241" s="57">
        <f>'A) Base RI'!A240</f>
        <v>5798</v>
      </c>
      <c r="B241" s="40" t="str">
        <f>'A) Base RI'!B240</f>
        <v>Ropraz</v>
      </c>
      <c r="C241" s="19">
        <f>'A) Base RI'!U240</f>
        <v>438</v>
      </c>
      <c r="D241" s="14">
        <f t="shared" si="16"/>
        <v>438</v>
      </c>
      <c r="E241" s="19">
        <f t="shared" si="15"/>
        <v>0</v>
      </c>
      <c r="F241" s="14">
        <f t="shared" si="15"/>
        <v>0</v>
      </c>
      <c r="G241" s="19">
        <f t="shared" si="15"/>
        <v>0</v>
      </c>
      <c r="H241" s="49">
        <f t="shared" si="15"/>
        <v>0</v>
      </c>
      <c r="I241" s="14">
        <f t="shared" si="15"/>
        <v>0</v>
      </c>
      <c r="J241" s="14">
        <f t="shared" si="13"/>
        <v>0</v>
      </c>
      <c r="K241" s="130">
        <f t="shared" si="14"/>
        <v>43183.098591549293</v>
      </c>
    </row>
    <row r="242" spans="1:11" x14ac:dyDescent="0.25">
      <c r="A242" s="57">
        <f>'A) Base RI'!A241</f>
        <v>5799</v>
      </c>
      <c r="B242" s="40" t="str">
        <f>'A) Base RI'!B241</f>
        <v>Servion</v>
      </c>
      <c r="C242" s="19">
        <f>'A) Base RI'!U241</f>
        <v>1918</v>
      </c>
      <c r="D242" s="14">
        <f t="shared" si="16"/>
        <v>1000</v>
      </c>
      <c r="E242" s="19">
        <f t="shared" si="15"/>
        <v>918</v>
      </c>
      <c r="F242" s="14">
        <f t="shared" si="15"/>
        <v>0</v>
      </c>
      <c r="G242" s="19">
        <f t="shared" si="15"/>
        <v>0</v>
      </c>
      <c r="H242" s="49">
        <f t="shared" si="15"/>
        <v>0</v>
      </c>
      <c r="I242" s="14">
        <f t="shared" si="15"/>
        <v>0</v>
      </c>
      <c r="J242" s="14">
        <f t="shared" si="13"/>
        <v>0</v>
      </c>
      <c r="K242" s="130">
        <f t="shared" si="14"/>
        <v>415366.19718309859</v>
      </c>
    </row>
    <row r="243" spans="1:11" x14ac:dyDescent="0.25">
      <c r="A243" s="57">
        <f>'A) Base RI'!A242</f>
        <v>5803</v>
      </c>
      <c r="B243" s="40" t="str">
        <f>'A) Base RI'!B242</f>
        <v>Vulliens</v>
      </c>
      <c r="C243" s="19">
        <f>'A) Base RI'!U242</f>
        <v>466</v>
      </c>
      <c r="D243" s="14">
        <f t="shared" si="16"/>
        <v>466</v>
      </c>
      <c r="E243" s="19">
        <f t="shared" si="15"/>
        <v>0</v>
      </c>
      <c r="F243" s="14">
        <f t="shared" si="15"/>
        <v>0</v>
      </c>
      <c r="G243" s="19">
        <f t="shared" si="15"/>
        <v>0</v>
      </c>
      <c r="H243" s="49">
        <f t="shared" si="15"/>
        <v>0</v>
      </c>
      <c r="I243" s="14">
        <f t="shared" si="15"/>
        <v>0</v>
      </c>
      <c r="J243" s="14">
        <f t="shared" si="13"/>
        <v>0</v>
      </c>
      <c r="K243" s="130">
        <f t="shared" si="14"/>
        <v>45943.661971830981</v>
      </c>
    </row>
    <row r="244" spans="1:11" x14ac:dyDescent="0.25">
      <c r="A244" s="57">
        <f>'A) Base RI'!A243</f>
        <v>5804</v>
      </c>
      <c r="B244" s="40" t="str">
        <f>'A) Base RI'!B243</f>
        <v>Jorat-Menthue</v>
      </c>
      <c r="C244" s="19">
        <f>'A) Base RI'!U243</f>
        <v>1545</v>
      </c>
      <c r="D244" s="14">
        <f t="shared" si="16"/>
        <v>1000</v>
      </c>
      <c r="E244" s="19">
        <f t="shared" si="15"/>
        <v>545</v>
      </c>
      <c r="F244" s="14">
        <f t="shared" si="15"/>
        <v>0</v>
      </c>
      <c r="G244" s="19">
        <f t="shared" si="15"/>
        <v>0</v>
      </c>
      <c r="H244" s="49">
        <f t="shared" si="15"/>
        <v>0</v>
      </c>
      <c r="I244" s="14">
        <f t="shared" si="15"/>
        <v>0</v>
      </c>
      <c r="J244" s="14">
        <f t="shared" si="13"/>
        <v>0</v>
      </c>
      <c r="K244" s="130">
        <f t="shared" si="14"/>
        <v>286654.92957746476</v>
      </c>
    </row>
    <row r="245" spans="1:11" x14ac:dyDescent="0.25">
      <c r="A245" s="57">
        <f>'A) Base RI'!A244</f>
        <v>5805</v>
      </c>
      <c r="B245" s="40" t="str">
        <f>'A) Base RI'!B244</f>
        <v>Oron</v>
      </c>
      <c r="C245" s="19">
        <f>'A) Base RI'!U244</f>
        <v>5397</v>
      </c>
      <c r="D245" s="14">
        <f t="shared" si="16"/>
        <v>1000</v>
      </c>
      <c r="E245" s="19">
        <f t="shared" si="15"/>
        <v>2000</v>
      </c>
      <c r="F245" s="14">
        <f t="shared" si="15"/>
        <v>2000</v>
      </c>
      <c r="G245" s="19">
        <f t="shared" si="15"/>
        <v>397</v>
      </c>
      <c r="H245" s="49">
        <f t="shared" si="15"/>
        <v>0</v>
      </c>
      <c r="I245" s="14">
        <f t="shared" si="15"/>
        <v>0</v>
      </c>
      <c r="J245" s="14">
        <f t="shared" si="13"/>
        <v>0</v>
      </c>
      <c r="K245" s="130">
        <f t="shared" si="14"/>
        <v>2009492.9577464787</v>
      </c>
    </row>
    <row r="246" spans="1:11" x14ac:dyDescent="0.25">
      <c r="A246" s="57">
        <f>'A) Base RI'!A245</f>
        <v>5806</v>
      </c>
      <c r="B246" s="40" t="str">
        <f>'A) Base RI'!B245</f>
        <v>Jorat-Mézières</v>
      </c>
      <c r="C246" s="19">
        <f>'A) Base RI'!U245</f>
        <v>2814</v>
      </c>
      <c r="D246" s="14">
        <f t="shared" si="16"/>
        <v>1000</v>
      </c>
      <c r="E246" s="19">
        <f t="shared" si="15"/>
        <v>1814</v>
      </c>
      <c r="F246" s="14">
        <f t="shared" si="15"/>
        <v>0</v>
      </c>
      <c r="G246" s="19">
        <f t="shared" si="15"/>
        <v>0</v>
      </c>
      <c r="H246" s="49">
        <f t="shared" si="15"/>
        <v>0</v>
      </c>
      <c r="I246" s="14">
        <f t="shared" si="15"/>
        <v>0</v>
      </c>
      <c r="J246" s="14">
        <f t="shared" si="13"/>
        <v>0</v>
      </c>
      <c r="K246" s="130">
        <f t="shared" si="14"/>
        <v>724549.29577464785</v>
      </c>
    </row>
    <row r="247" spans="1:11" x14ac:dyDescent="0.25">
      <c r="A247" s="57">
        <f>'A) Base RI'!A246</f>
        <v>5812</v>
      </c>
      <c r="B247" s="40" t="str">
        <f>'A) Base RI'!B246</f>
        <v>Champtauroz</v>
      </c>
      <c r="C247" s="19">
        <f>'A) Base RI'!U246</f>
        <v>130</v>
      </c>
      <c r="D247" s="14">
        <f t="shared" si="16"/>
        <v>130</v>
      </c>
      <c r="E247" s="19">
        <f t="shared" si="15"/>
        <v>0</v>
      </c>
      <c r="F247" s="14">
        <f t="shared" si="15"/>
        <v>0</v>
      </c>
      <c r="G247" s="19">
        <f t="shared" si="15"/>
        <v>0</v>
      </c>
      <c r="H247" s="49">
        <f t="shared" si="15"/>
        <v>0</v>
      </c>
      <c r="I247" s="14">
        <f t="shared" si="15"/>
        <v>0</v>
      </c>
      <c r="J247" s="14">
        <f t="shared" si="13"/>
        <v>0</v>
      </c>
      <c r="K247" s="130">
        <f t="shared" si="14"/>
        <v>12816.901408450703</v>
      </c>
    </row>
    <row r="248" spans="1:11" x14ac:dyDescent="0.25">
      <c r="A248" s="57">
        <f>'A) Base RI'!A247</f>
        <v>5813</v>
      </c>
      <c r="B248" s="40" t="str">
        <f>'A) Base RI'!B247</f>
        <v>Chevroux</v>
      </c>
      <c r="C248" s="19">
        <f>'A) Base RI'!U247</f>
        <v>446</v>
      </c>
      <c r="D248" s="14">
        <f t="shared" si="16"/>
        <v>446</v>
      </c>
      <c r="E248" s="19">
        <f t="shared" si="15"/>
        <v>0</v>
      </c>
      <c r="F248" s="14">
        <f t="shared" si="15"/>
        <v>0</v>
      </c>
      <c r="G248" s="19">
        <f t="shared" si="15"/>
        <v>0</v>
      </c>
      <c r="H248" s="49">
        <f t="shared" si="15"/>
        <v>0</v>
      </c>
      <c r="I248" s="14">
        <f t="shared" si="15"/>
        <v>0</v>
      </c>
      <c r="J248" s="14">
        <f t="shared" si="13"/>
        <v>0</v>
      </c>
      <c r="K248" s="130">
        <f t="shared" si="14"/>
        <v>43971.830985915491</v>
      </c>
    </row>
    <row r="249" spans="1:11" x14ac:dyDescent="0.25">
      <c r="A249" s="57">
        <f>'A) Base RI'!A248</f>
        <v>5816</v>
      </c>
      <c r="B249" s="40" t="str">
        <f>'A) Base RI'!B248</f>
        <v>Corcelles-près-Payerne</v>
      </c>
      <c r="C249" s="19">
        <f>'A) Base RI'!U248</f>
        <v>2393</v>
      </c>
      <c r="D249" s="14">
        <f t="shared" si="16"/>
        <v>1000</v>
      </c>
      <c r="E249" s="19">
        <f t="shared" si="15"/>
        <v>1393</v>
      </c>
      <c r="F249" s="14">
        <f t="shared" si="15"/>
        <v>0</v>
      </c>
      <c r="G249" s="19">
        <f t="shared" si="15"/>
        <v>0</v>
      </c>
      <c r="H249" s="49">
        <f t="shared" si="15"/>
        <v>0</v>
      </c>
      <c r="I249" s="14">
        <f t="shared" si="15"/>
        <v>0</v>
      </c>
      <c r="J249" s="14">
        <f t="shared" si="13"/>
        <v>0</v>
      </c>
      <c r="K249" s="130">
        <f t="shared" si="14"/>
        <v>579274.64788732387</v>
      </c>
    </row>
    <row r="250" spans="1:11" x14ac:dyDescent="0.25">
      <c r="A250" s="57">
        <f>'A) Base RI'!A249</f>
        <v>5817</v>
      </c>
      <c r="B250" s="40" t="str">
        <f>'A) Base RI'!B249</f>
        <v>Grandcour</v>
      </c>
      <c r="C250" s="19">
        <f>'A) Base RI'!U249</f>
        <v>885</v>
      </c>
      <c r="D250" s="14">
        <f t="shared" si="16"/>
        <v>885</v>
      </c>
      <c r="E250" s="19">
        <f t="shared" si="15"/>
        <v>0</v>
      </c>
      <c r="F250" s="14">
        <f t="shared" si="15"/>
        <v>0</v>
      </c>
      <c r="G250" s="19">
        <f t="shared" si="15"/>
        <v>0</v>
      </c>
      <c r="H250" s="49">
        <f t="shared" si="15"/>
        <v>0</v>
      </c>
      <c r="I250" s="14">
        <f t="shared" si="15"/>
        <v>0</v>
      </c>
      <c r="J250" s="14">
        <f t="shared" si="13"/>
        <v>0</v>
      </c>
      <c r="K250" s="130">
        <f t="shared" si="14"/>
        <v>87253.521126760563</v>
      </c>
    </row>
    <row r="251" spans="1:11" x14ac:dyDescent="0.25">
      <c r="A251" s="57">
        <f>'A) Base RI'!A250</f>
        <v>5819</v>
      </c>
      <c r="B251" s="40" t="str">
        <f>'A) Base RI'!B250</f>
        <v>Henniez</v>
      </c>
      <c r="C251" s="19">
        <f>'A) Base RI'!U250</f>
        <v>338</v>
      </c>
      <c r="D251" s="14">
        <f t="shared" si="16"/>
        <v>338</v>
      </c>
      <c r="E251" s="19">
        <f t="shared" si="15"/>
        <v>0</v>
      </c>
      <c r="F251" s="14">
        <f t="shared" si="15"/>
        <v>0</v>
      </c>
      <c r="G251" s="19">
        <f t="shared" si="15"/>
        <v>0</v>
      </c>
      <c r="H251" s="49">
        <f t="shared" si="15"/>
        <v>0</v>
      </c>
      <c r="I251" s="14">
        <f t="shared" si="15"/>
        <v>0</v>
      </c>
      <c r="J251" s="14">
        <f t="shared" si="13"/>
        <v>0</v>
      </c>
      <c r="K251" s="130">
        <f t="shared" si="14"/>
        <v>33323.943661971825</v>
      </c>
    </row>
    <row r="252" spans="1:11" x14ac:dyDescent="0.25">
      <c r="A252" s="57">
        <f>'A) Base RI'!A251</f>
        <v>5821</v>
      </c>
      <c r="B252" s="40" t="str">
        <f>'A) Base RI'!B251</f>
        <v>Missy</v>
      </c>
      <c r="C252" s="19">
        <f>'A) Base RI'!U251</f>
        <v>361</v>
      </c>
      <c r="D252" s="14">
        <f t="shared" si="16"/>
        <v>361</v>
      </c>
      <c r="E252" s="19">
        <f t="shared" si="15"/>
        <v>0</v>
      </c>
      <c r="F252" s="14">
        <f t="shared" si="15"/>
        <v>0</v>
      </c>
      <c r="G252" s="19">
        <f t="shared" si="15"/>
        <v>0</v>
      </c>
      <c r="H252" s="49">
        <f t="shared" si="15"/>
        <v>0</v>
      </c>
      <c r="I252" s="14">
        <f t="shared" si="15"/>
        <v>0</v>
      </c>
      <c r="J252" s="14">
        <f t="shared" si="13"/>
        <v>0</v>
      </c>
      <c r="K252" s="130">
        <f t="shared" si="14"/>
        <v>35591.549295774646</v>
      </c>
    </row>
    <row r="253" spans="1:11" x14ac:dyDescent="0.25">
      <c r="A253" s="57">
        <f>'A) Base RI'!A252</f>
        <v>5822</v>
      </c>
      <c r="B253" s="40" t="str">
        <f>'A) Base RI'!B252</f>
        <v>Payerne</v>
      </c>
      <c r="C253" s="19">
        <f>'A) Base RI'!U252</f>
        <v>9301</v>
      </c>
      <c r="D253" s="14">
        <f t="shared" si="16"/>
        <v>1000</v>
      </c>
      <c r="E253" s="19">
        <f t="shared" si="15"/>
        <v>2000</v>
      </c>
      <c r="F253" s="14">
        <f t="shared" si="15"/>
        <v>2000</v>
      </c>
      <c r="G253" s="19">
        <f t="shared" si="15"/>
        <v>4000</v>
      </c>
      <c r="H253" s="49">
        <f t="shared" si="15"/>
        <v>301</v>
      </c>
      <c r="I253" s="14">
        <f t="shared" si="15"/>
        <v>0</v>
      </c>
      <c r="J253" s="14">
        <f t="shared" si="13"/>
        <v>0</v>
      </c>
      <c r="K253" s="130">
        <f t="shared" si="14"/>
        <v>4393091.5492957747</v>
      </c>
    </row>
    <row r="254" spans="1:11" x14ac:dyDescent="0.25">
      <c r="A254" s="57">
        <f>'A) Base RI'!A253</f>
        <v>5827</v>
      </c>
      <c r="B254" s="40" t="str">
        <f>'A) Base RI'!B253</f>
        <v>Trey</v>
      </c>
      <c r="C254" s="19">
        <f>'A) Base RI'!U253</f>
        <v>260</v>
      </c>
      <c r="D254" s="14">
        <f t="shared" si="16"/>
        <v>260</v>
      </c>
      <c r="E254" s="19">
        <f t="shared" si="15"/>
        <v>0</v>
      </c>
      <c r="F254" s="14">
        <f t="shared" si="15"/>
        <v>0</v>
      </c>
      <c r="G254" s="19">
        <f t="shared" si="15"/>
        <v>0</v>
      </c>
      <c r="H254" s="49">
        <f t="shared" si="15"/>
        <v>0</v>
      </c>
      <c r="I254" s="14">
        <f t="shared" si="15"/>
        <v>0</v>
      </c>
      <c r="J254" s="14">
        <f t="shared" si="13"/>
        <v>0</v>
      </c>
      <c r="K254" s="130">
        <f t="shared" si="14"/>
        <v>25633.802816901407</v>
      </c>
    </row>
    <row r="255" spans="1:11" x14ac:dyDescent="0.25">
      <c r="A255" s="57">
        <f>'A) Base RI'!A254</f>
        <v>5828</v>
      </c>
      <c r="B255" s="40" t="str">
        <f>'A) Base RI'!B254</f>
        <v>Treytorrens (Payerne)</v>
      </c>
      <c r="C255" s="19">
        <f>'A) Base RI'!U254</f>
        <v>131</v>
      </c>
      <c r="D255" s="14">
        <f t="shared" si="16"/>
        <v>131</v>
      </c>
      <c r="E255" s="19">
        <f t="shared" si="15"/>
        <v>0</v>
      </c>
      <c r="F255" s="14">
        <f t="shared" si="15"/>
        <v>0</v>
      </c>
      <c r="G255" s="19">
        <f t="shared" si="15"/>
        <v>0</v>
      </c>
      <c r="H255" s="49">
        <f t="shared" si="15"/>
        <v>0</v>
      </c>
      <c r="I255" s="14">
        <f t="shared" si="15"/>
        <v>0</v>
      </c>
      <c r="J255" s="14">
        <f t="shared" si="13"/>
        <v>0</v>
      </c>
      <c r="K255" s="130">
        <f t="shared" si="14"/>
        <v>12915.492957746477</v>
      </c>
    </row>
    <row r="256" spans="1:11" x14ac:dyDescent="0.25">
      <c r="A256" s="57">
        <f>'A) Base RI'!A255</f>
        <v>5830</v>
      </c>
      <c r="B256" s="40" t="str">
        <f>'A) Base RI'!B255</f>
        <v>Villarzel</v>
      </c>
      <c r="C256" s="19">
        <f>'A) Base RI'!U255</f>
        <v>424</v>
      </c>
      <c r="D256" s="14">
        <f t="shared" si="16"/>
        <v>424</v>
      </c>
      <c r="E256" s="19">
        <f t="shared" si="15"/>
        <v>0</v>
      </c>
      <c r="F256" s="14">
        <f t="shared" si="15"/>
        <v>0</v>
      </c>
      <c r="G256" s="19">
        <f t="shared" si="15"/>
        <v>0</v>
      </c>
      <c r="H256" s="49">
        <f t="shared" si="15"/>
        <v>0</v>
      </c>
      <c r="I256" s="14">
        <f t="shared" si="15"/>
        <v>0</v>
      </c>
      <c r="J256" s="14">
        <f t="shared" si="13"/>
        <v>0</v>
      </c>
      <c r="K256" s="130">
        <f t="shared" si="14"/>
        <v>41802.816901408449</v>
      </c>
    </row>
    <row r="257" spans="1:11" x14ac:dyDescent="0.25">
      <c r="A257" s="57">
        <f>'A) Base RI'!A256</f>
        <v>5831</v>
      </c>
      <c r="B257" s="40" t="str">
        <f>'A) Base RI'!B256</f>
        <v>Valbroye</v>
      </c>
      <c r="C257" s="19">
        <f>'A) Base RI'!U256</f>
        <v>2974</v>
      </c>
      <c r="D257" s="14">
        <f t="shared" si="16"/>
        <v>1000</v>
      </c>
      <c r="E257" s="19">
        <f t="shared" si="15"/>
        <v>1974</v>
      </c>
      <c r="F257" s="14">
        <f t="shared" si="15"/>
        <v>0</v>
      </c>
      <c r="G257" s="19">
        <f t="shared" si="15"/>
        <v>0</v>
      </c>
      <c r="H257" s="49">
        <f t="shared" si="15"/>
        <v>0</v>
      </c>
      <c r="I257" s="14">
        <f t="shared" si="15"/>
        <v>0</v>
      </c>
      <c r="J257" s="14">
        <f t="shared" si="13"/>
        <v>0</v>
      </c>
      <c r="K257" s="130">
        <f t="shared" si="14"/>
        <v>779760.56338028167</v>
      </c>
    </row>
    <row r="258" spans="1:11" x14ac:dyDescent="0.25">
      <c r="A258" s="57">
        <f>'A) Base RI'!A257</f>
        <v>5841</v>
      </c>
      <c r="B258" s="40" t="str">
        <f>'A) Base RI'!B257</f>
        <v>Château-d'Oex</v>
      </c>
      <c r="C258" s="19">
        <f>'A) Base RI'!U257</f>
        <v>3477</v>
      </c>
      <c r="D258" s="14">
        <f t="shared" si="16"/>
        <v>1000</v>
      </c>
      <c r="E258" s="19">
        <f t="shared" si="15"/>
        <v>2000</v>
      </c>
      <c r="F258" s="14">
        <f t="shared" si="15"/>
        <v>477</v>
      </c>
      <c r="G258" s="19">
        <f t="shared" si="15"/>
        <v>0</v>
      </c>
      <c r="H258" s="49">
        <f t="shared" si="15"/>
        <v>0</v>
      </c>
      <c r="I258" s="14">
        <f t="shared" si="15"/>
        <v>0</v>
      </c>
      <c r="J258" s="14">
        <f t="shared" si="13"/>
        <v>0</v>
      </c>
      <c r="K258" s="130">
        <f t="shared" si="14"/>
        <v>1023873.2394366197</v>
      </c>
    </row>
    <row r="259" spans="1:11" x14ac:dyDescent="0.25">
      <c r="A259" s="57">
        <f>'A) Base RI'!A258</f>
        <v>5842</v>
      </c>
      <c r="B259" s="40" t="str">
        <f>'A) Base RI'!B258</f>
        <v>Rossinière</v>
      </c>
      <c r="C259" s="19">
        <f>'A) Base RI'!U258</f>
        <v>546</v>
      </c>
      <c r="D259" s="14">
        <f t="shared" si="16"/>
        <v>546</v>
      </c>
      <c r="E259" s="19">
        <f t="shared" si="15"/>
        <v>0</v>
      </c>
      <c r="F259" s="14">
        <f t="shared" si="15"/>
        <v>0</v>
      </c>
      <c r="G259" s="19">
        <f t="shared" ref="E259:I310" si="17">IF($C259&gt;G$4,IF($C259&lt;G$5,$C259-G$4,G$5-G$4),0)</f>
        <v>0</v>
      </c>
      <c r="H259" s="49">
        <f t="shared" si="17"/>
        <v>0</v>
      </c>
      <c r="I259" s="14">
        <f t="shared" si="17"/>
        <v>0</v>
      </c>
      <c r="J259" s="14">
        <f t="shared" si="13"/>
        <v>0</v>
      </c>
      <c r="K259" s="130">
        <f t="shared" si="14"/>
        <v>53830.985915492951</v>
      </c>
    </row>
    <row r="260" spans="1:11" x14ac:dyDescent="0.25">
      <c r="A260" s="57">
        <f>'A) Base RI'!A259</f>
        <v>5843</v>
      </c>
      <c r="B260" s="40" t="str">
        <f>'A) Base RI'!B259</f>
        <v>Rougemont</v>
      </c>
      <c r="C260" s="19">
        <f>'A) Base RI'!U259</f>
        <v>892</v>
      </c>
      <c r="D260" s="14">
        <f t="shared" si="16"/>
        <v>892</v>
      </c>
      <c r="E260" s="19">
        <f t="shared" si="17"/>
        <v>0</v>
      </c>
      <c r="F260" s="14">
        <f t="shared" si="17"/>
        <v>0</v>
      </c>
      <c r="G260" s="19">
        <f t="shared" si="17"/>
        <v>0</v>
      </c>
      <c r="H260" s="49">
        <f t="shared" si="17"/>
        <v>0</v>
      </c>
      <c r="I260" s="14">
        <f t="shared" si="17"/>
        <v>0</v>
      </c>
      <c r="J260" s="14">
        <f t="shared" si="13"/>
        <v>0</v>
      </c>
      <c r="K260" s="130">
        <f t="shared" si="14"/>
        <v>87943.661971830981</v>
      </c>
    </row>
    <row r="261" spans="1:11" x14ac:dyDescent="0.25">
      <c r="A261" s="57">
        <f>'A) Base RI'!A260</f>
        <v>5851</v>
      </c>
      <c r="B261" s="40" t="str">
        <f>'A) Base RI'!B260</f>
        <v>Allaman</v>
      </c>
      <c r="C261" s="19">
        <f>'A) Base RI'!U260</f>
        <v>432</v>
      </c>
      <c r="D261" s="14">
        <f t="shared" si="16"/>
        <v>432</v>
      </c>
      <c r="E261" s="19">
        <f t="shared" si="17"/>
        <v>0</v>
      </c>
      <c r="F261" s="14">
        <f t="shared" si="17"/>
        <v>0</v>
      </c>
      <c r="G261" s="19">
        <f t="shared" si="17"/>
        <v>0</v>
      </c>
      <c r="H261" s="49">
        <f t="shared" si="17"/>
        <v>0</v>
      </c>
      <c r="I261" s="14">
        <f t="shared" si="17"/>
        <v>0</v>
      </c>
      <c r="J261" s="14">
        <f t="shared" si="13"/>
        <v>0</v>
      </c>
      <c r="K261" s="130">
        <f t="shared" si="14"/>
        <v>42591.549295774646</v>
      </c>
    </row>
    <row r="262" spans="1:11" x14ac:dyDescent="0.25">
      <c r="A262" s="57">
        <f>'A) Base RI'!A261</f>
        <v>5852</v>
      </c>
      <c r="B262" s="40" t="str">
        <f>'A) Base RI'!B261</f>
        <v>Bursinel</v>
      </c>
      <c r="C262" s="19">
        <f>'A) Base RI'!U261</f>
        <v>485</v>
      </c>
      <c r="D262" s="14">
        <f t="shared" si="16"/>
        <v>485</v>
      </c>
      <c r="E262" s="19">
        <f t="shared" si="17"/>
        <v>0</v>
      </c>
      <c r="F262" s="14">
        <f t="shared" si="17"/>
        <v>0</v>
      </c>
      <c r="G262" s="19">
        <f t="shared" si="17"/>
        <v>0</v>
      </c>
      <c r="H262" s="49">
        <f t="shared" si="17"/>
        <v>0</v>
      </c>
      <c r="I262" s="14">
        <f t="shared" si="17"/>
        <v>0</v>
      </c>
      <c r="J262" s="14">
        <f t="shared" si="13"/>
        <v>0</v>
      </c>
      <c r="K262" s="130">
        <f t="shared" si="14"/>
        <v>47816.9014084507</v>
      </c>
    </row>
    <row r="263" spans="1:11" x14ac:dyDescent="0.25">
      <c r="A263" s="57">
        <f>'A) Base RI'!A262</f>
        <v>5853</v>
      </c>
      <c r="B263" s="40" t="str">
        <f>'A) Base RI'!B262</f>
        <v>Bursins</v>
      </c>
      <c r="C263" s="19">
        <f>'A) Base RI'!U262</f>
        <v>766</v>
      </c>
      <c r="D263" s="14">
        <f t="shared" si="16"/>
        <v>766</v>
      </c>
      <c r="E263" s="19">
        <f t="shared" si="17"/>
        <v>0</v>
      </c>
      <c r="F263" s="14">
        <f t="shared" si="17"/>
        <v>0</v>
      </c>
      <c r="G263" s="19">
        <f t="shared" si="17"/>
        <v>0</v>
      </c>
      <c r="H263" s="49">
        <f t="shared" si="17"/>
        <v>0</v>
      </c>
      <c r="I263" s="14">
        <f t="shared" si="17"/>
        <v>0</v>
      </c>
      <c r="J263" s="14">
        <f t="shared" si="13"/>
        <v>0</v>
      </c>
      <c r="K263" s="130">
        <f t="shared" si="14"/>
        <v>75521.126760563377</v>
      </c>
    </row>
    <row r="264" spans="1:11" x14ac:dyDescent="0.25">
      <c r="A264" s="57">
        <f>'A) Base RI'!A263</f>
        <v>5854</v>
      </c>
      <c r="B264" s="40" t="str">
        <f>'A) Base RI'!B263</f>
        <v>Burtigny</v>
      </c>
      <c r="C264" s="19">
        <f>'A) Base RI'!U263</f>
        <v>359</v>
      </c>
      <c r="D264" s="14">
        <f t="shared" si="16"/>
        <v>359</v>
      </c>
      <c r="E264" s="19">
        <f t="shared" si="17"/>
        <v>0</v>
      </c>
      <c r="F264" s="14">
        <f t="shared" si="17"/>
        <v>0</v>
      </c>
      <c r="G264" s="19">
        <f t="shared" si="17"/>
        <v>0</v>
      </c>
      <c r="H264" s="49">
        <f t="shared" si="17"/>
        <v>0</v>
      </c>
      <c r="I264" s="14">
        <f t="shared" si="17"/>
        <v>0</v>
      </c>
      <c r="J264" s="14">
        <f t="shared" si="13"/>
        <v>0</v>
      </c>
      <c r="K264" s="130">
        <f t="shared" si="14"/>
        <v>35394.366197183095</v>
      </c>
    </row>
    <row r="265" spans="1:11" x14ac:dyDescent="0.25">
      <c r="A265" s="57">
        <f>'A) Base RI'!A264</f>
        <v>5855</v>
      </c>
      <c r="B265" s="40" t="str">
        <f>'A) Base RI'!B264</f>
        <v>Dully</v>
      </c>
      <c r="C265" s="19">
        <f>'A) Base RI'!U264</f>
        <v>633</v>
      </c>
      <c r="D265" s="14">
        <f t="shared" si="16"/>
        <v>633</v>
      </c>
      <c r="E265" s="19">
        <f t="shared" si="17"/>
        <v>0</v>
      </c>
      <c r="F265" s="14">
        <f t="shared" si="17"/>
        <v>0</v>
      </c>
      <c r="G265" s="19">
        <f t="shared" si="17"/>
        <v>0</v>
      </c>
      <c r="H265" s="49">
        <f t="shared" si="17"/>
        <v>0</v>
      </c>
      <c r="I265" s="14">
        <f t="shared" si="17"/>
        <v>0</v>
      </c>
      <c r="J265" s="14">
        <f t="shared" ref="J265:J316" si="18">IF(C265&gt;$J$4,C265-$J$4,0)</f>
        <v>0</v>
      </c>
      <c r="K265" s="130">
        <f t="shared" ref="K265:K316" si="19">(D265*D$7)+(E265*E$7)+(F265*F$7)+(G265*G$7)+(H265*H$7)+(I265*I$7)+(J265*J$7)</f>
        <v>62408.450704225346</v>
      </c>
    </row>
    <row r="266" spans="1:11" x14ac:dyDescent="0.25">
      <c r="A266" s="57">
        <f>'A) Base RI'!A265</f>
        <v>5856</v>
      </c>
      <c r="B266" s="40" t="str">
        <f>'A) Base RI'!B265</f>
        <v>Essertines-sur-Rolle</v>
      </c>
      <c r="C266" s="19">
        <f>'A) Base RI'!U265</f>
        <v>695</v>
      </c>
      <c r="D266" s="14">
        <f t="shared" si="16"/>
        <v>695</v>
      </c>
      <c r="E266" s="19">
        <f t="shared" si="17"/>
        <v>0</v>
      </c>
      <c r="F266" s="14">
        <f t="shared" si="17"/>
        <v>0</v>
      </c>
      <c r="G266" s="19">
        <f t="shared" si="17"/>
        <v>0</v>
      </c>
      <c r="H266" s="49">
        <f t="shared" si="17"/>
        <v>0</v>
      </c>
      <c r="I266" s="14">
        <f t="shared" si="17"/>
        <v>0</v>
      </c>
      <c r="J266" s="14">
        <f t="shared" si="18"/>
        <v>0</v>
      </c>
      <c r="K266" s="130">
        <f t="shared" si="19"/>
        <v>68521.126760563377</v>
      </c>
    </row>
    <row r="267" spans="1:11" x14ac:dyDescent="0.25">
      <c r="A267" s="57">
        <f>'A) Base RI'!A266</f>
        <v>5857</v>
      </c>
      <c r="B267" s="40" t="str">
        <f>'A) Base RI'!B266</f>
        <v>Gilly</v>
      </c>
      <c r="C267" s="19">
        <f>'A) Base RI'!U266</f>
        <v>1230</v>
      </c>
      <c r="D267" s="14">
        <f t="shared" si="16"/>
        <v>1000</v>
      </c>
      <c r="E267" s="19">
        <f t="shared" si="17"/>
        <v>230</v>
      </c>
      <c r="F267" s="14">
        <f t="shared" si="17"/>
        <v>0</v>
      </c>
      <c r="G267" s="19">
        <f t="shared" si="17"/>
        <v>0</v>
      </c>
      <c r="H267" s="49">
        <f t="shared" si="17"/>
        <v>0</v>
      </c>
      <c r="I267" s="14">
        <f t="shared" si="17"/>
        <v>0</v>
      </c>
      <c r="J267" s="14">
        <f t="shared" si="18"/>
        <v>0</v>
      </c>
      <c r="K267" s="130">
        <f t="shared" si="19"/>
        <v>177957.74647887325</v>
      </c>
    </row>
    <row r="268" spans="1:11" x14ac:dyDescent="0.25">
      <c r="A268" s="57">
        <f>'A) Base RI'!A267</f>
        <v>5858</v>
      </c>
      <c r="B268" s="40" t="str">
        <f>'A) Base RI'!B267</f>
        <v>Luins</v>
      </c>
      <c r="C268" s="19">
        <f>'A) Base RI'!U267</f>
        <v>625</v>
      </c>
      <c r="D268" s="14">
        <f t="shared" si="16"/>
        <v>625</v>
      </c>
      <c r="E268" s="19">
        <f t="shared" si="17"/>
        <v>0</v>
      </c>
      <c r="F268" s="14">
        <f t="shared" si="17"/>
        <v>0</v>
      </c>
      <c r="G268" s="19">
        <f t="shared" si="17"/>
        <v>0</v>
      </c>
      <c r="H268" s="49">
        <f t="shared" si="17"/>
        <v>0</v>
      </c>
      <c r="I268" s="14">
        <f t="shared" si="17"/>
        <v>0</v>
      </c>
      <c r="J268" s="14">
        <f t="shared" si="18"/>
        <v>0</v>
      </c>
      <c r="K268" s="130">
        <f t="shared" si="19"/>
        <v>61619.718309859149</v>
      </c>
    </row>
    <row r="269" spans="1:11" x14ac:dyDescent="0.25">
      <c r="A269" s="57">
        <f>'A) Base RI'!A268</f>
        <v>5859</v>
      </c>
      <c r="B269" s="40" t="str">
        <f>'A) Base RI'!B268</f>
        <v>Mont-sur-Rolle</v>
      </c>
      <c r="C269" s="19">
        <f>'A) Base RI'!U268</f>
        <v>2660</v>
      </c>
      <c r="D269" s="14">
        <f t="shared" si="16"/>
        <v>1000</v>
      </c>
      <c r="E269" s="19">
        <f t="shared" si="17"/>
        <v>1660</v>
      </c>
      <c r="F269" s="14">
        <f t="shared" si="17"/>
        <v>0</v>
      </c>
      <c r="G269" s="19">
        <f t="shared" si="17"/>
        <v>0</v>
      </c>
      <c r="H269" s="49">
        <f t="shared" si="17"/>
        <v>0</v>
      </c>
      <c r="I269" s="14">
        <f t="shared" si="17"/>
        <v>0</v>
      </c>
      <c r="J269" s="14">
        <f t="shared" si="18"/>
        <v>0</v>
      </c>
      <c r="K269" s="130">
        <f t="shared" si="19"/>
        <v>671408.45070422534</v>
      </c>
    </row>
    <row r="270" spans="1:11" x14ac:dyDescent="0.25">
      <c r="A270" s="57">
        <f>'A) Base RI'!A269</f>
        <v>5860</v>
      </c>
      <c r="B270" s="40" t="str">
        <f>'A) Base RI'!B269</f>
        <v>Perroy</v>
      </c>
      <c r="C270" s="19">
        <f>'A) Base RI'!U269</f>
        <v>1453</v>
      </c>
      <c r="D270" s="14">
        <f t="shared" si="16"/>
        <v>1000</v>
      </c>
      <c r="E270" s="19">
        <f t="shared" si="17"/>
        <v>453</v>
      </c>
      <c r="F270" s="14">
        <f t="shared" si="17"/>
        <v>0</v>
      </c>
      <c r="G270" s="19">
        <f t="shared" si="17"/>
        <v>0</v>
      </c>
      <c r="H270" s="49">
        <f t="shared" si="17"/>
        <v>0</v>
      </c>
      <c r="I270" s="14">
        <f t="shared" si="17"/>
        <v>0</v>
      </c>
      <c r="J270" s="14">
        <f t="shared" si="18"/>
        <v>0</v>
      </c>
      <c r="K270" s="130">
        <f t="shared" si="19"/>
        <v>254908.45070422534</v>
      </c>
    </row>
    <row r="271" spans="1:11" x14ac:dyDescent="0.25">
      <c r="A271" s="57">
        <f>'A) Base RI'!A270</f>
        <v>5861</v>
      </c>
      <c r="B271" s="40" t="str">
        <f>'A) Base RI'!B270</f>
        <v>Rolle</v>
      </c>
      <c r="C271" s="19">
        <f>'A) Base RI'!U270</f>
        <v>6142</v>
      </c>
      <c r="D271" s="14">
        <f t="shared" si="16"/>
        <v>1000</v>
      </c>
      <c r="E271" s="19">
        <f t="shared" si="17"/>
        <v>2000</v>
      </c>
      <c r="F271" s="14">
        <f t="shared" si="17"/>
        <v>2000</v>
      </c>
      <c r="G271" s="19">
        <f t="shared" si="17"/>
        <v>1142</v>
      </c>
      <c r="H271" s="49">
        <f t="shared" si="17"/>
        <v>0</v>
      </c>
      <c r="I271" s="14">
        <f t="shared" si="17"/>
        <v>0</v>
      </c>
      <c r="J271" s="14">
        <f t="shared" si="18"/>
        <v>0</v>
      </c>
      <c r="K271" s="130">
        <f t="shared" si="19"/>
        <v>2450197.1830985914</v>
      </c>
    </row>
    <row r="272" spans="1:11" x14ac:dyDescent="0.25">
      <c r="A272" s="57">
        <f>'A) Base RI'!A271</f>
        <v>5862</v>
      </c>
      <c r="B272" s="40" t="str">
        <f>'A) Base RI'!B271</f>
        <v>Tartegnin</v>
      </c>
      <c r="C272" s="19">
        <f>'A) Base RI'!U271</f>
        <v>236</v>
      </c>
      <c r="D272" s="14">
        <f t="shared" si="16"/>
        <v>236</v>
      </c>
      <c r="E272" s="19">
        <f t="shared" si="17"/>
        <v>0</v>
      </c>
      <c r="F272" s="14">
        <f t="shared" si="17"/>
        <v>0</v>
      </c>
      <c r="G272" s="19">
        <f t="shared" si="17"/>
        <v>0</v>
      </c>
      <c r="H272" s="49">
        <f t="shared" si="17"/>
        <v>0</v>
      </c>
      <c r="I272" s="14">
        <f t="shared" si="17"/>
        <v>0</v>
      </c>
      <c r="J272" s="14">
        <f t="shared" si="18"/>
        <v>0</v>
      </c>
      <c r="K272" s="130">
        <f t="shared" si="19"/>
        <v>23267.605633802814</v>
      </c>
    </row>
    <row r="273" spans="1:11" x14ac:dyDescent="0.25">
      <c r="A273" s="57">
        <f>'A) Base RI'!A272</f>
        <v>5863</v>
      </c>
      <c r="B273" s="40" t="str">
        <f>'A) Base RI'!B272</f>
        <v>Vinzel</v>
      </c>
      <c r="C273" s="19">
        <f>'A) Base RI'!U272</f>
        <v>352</v>
      </c>
      <c r="D273" s="14">
        <f t="shared" si="16"/>
        <v>352</v>
      </c>
      <c r="E273" s="19">
        <f t="shared" si="17"/>
        <v>0</v>
      </c>
      <c r="F273" s="14">
        <f t="shared" si="17"/>
        <v>0</v>
      </c>
      <c r="G273" s="19">
        <f t="shared" si="17"/>
        <v>0</v>
      </c>
      <c r="H273" s="49">
        <f t="shared" si="17"/>
        <v>0</v>
      </c>
      <c r="I273" s="14">
        <f t="shared" si="17"/>
        <v>0</v>
      </c>
      <c r="J273" s="14">
        <f t="shared" si="18"/>
        <v>0</v>
      </c>
      <c r="K273" s="130">
        <f t="shared" si="19"/>
        <v>34704.225352112677</v>
      </c>
    </row>
    <row r="274" spans="1:11" x14ac:dyDescent="0.25">
      <c r="A274" s="57">
        <f>'A) Base RI'!A273</f>
        <v>5871</v>
      </c>
      <c r="B274" s="40" t="str">
        <f>'A) Base RI'!B273</f>
        <v>L'Abbaye</v>
      </c>
      <c r="C274" s="19">
        <f>'A) Base RI'!U273</f>
        <v>1439</v>
      </c>
      <c r="D274" s="14">
        <f t="shared" si="16"/>
        <v>1000</v>
      </c>
      <c r="E274" s="19">
        <f t="shared" si="17"/>
        <v>439</v>
      </c>
      <c r="F274" s="14">
        <f t="shared" si="17"/>
        <v>0</v>
      </c>
      <c r="G274" s="19">
        <f t="shared" si="17"/>
        <v>0</v>
      </c>
      <c r="H274" s="49">
        <f t="shared" si="17"/>
        <v>0</v>
      </c>
      <c r="I274" s="14">
        <f t="shared" si="17"/>
        <v>0</v>
      </c>
      <c r="J274" s="14">
        <f t="shared" si="18"/>
        <v>0</v>
      </c>
      <c r="K274" s="130">
        <f t="shared" si="19"/>
        <v>250077.46478873241</v>
      </c>
    </row>
    <row r="275" spans="1:11" x14ac:dyDescent="0.25">
      <c r="A275" s="57">
        <f>'A) Base RI'!A274</f>
        <v>5872</v>
      </c>
      <c r="B275" s="40" t="str">
        <f>'A) Base RI'!B274</f>
        <v>Le Chenit</v>
      </c>
      <c r="C275" s="19">
        <f>'A) Base RI'!U274</f>
        <v>4608</v>
      </c>
      <c r="D275" s="14">
        <f t="shared" si="16"/>
        <v>1000</v>
      </c>
      <c r="E275" s="19">
        <f t="shared" si="17"/>
        <v>2000</v>
      </c>
      <c r="F275" s="14">
        <f t="shared" si="17"/>
        <v>1608</v>
      </c>
      <c r="G275" s="19">
        <f t="shared" si="17"/>
        <v>0</v>
      </c>
      <c r="H275" s="49">
        <f t="shared" si="17"/>
        <v>0</v>
      </c>
      <c r="I275" s="14">
        <f t="shared" si="17"/>
        <v>0</v>
      </c>
      <c r="J275" s="14">
        <f t="shared" si="18"/>
        <v>0</v>
      </c>
      <c r="K275" s="130">
        <f t="shared" si="19"/>
        <v>1581408.4507042253</v>
      </c>
    </row>
    <row r="276" spans="1:11" x14ac:dyDescent="0.25">
      <c r="A276" s="57">
        <f>'A) Base RI'!A275</f>
        <v>5873</v>
      </c>
      <c r="B276" s="40" t="str">
        <f>'A) Base RI'!B275</f>
        <v>Le Lieu</v>
      </c>
      <c r="C276" s="19">
        <f>'A) Base RI'!U275</f>
        <v>873</v>
      </c>
      <c r="D276" s="14">
        <f t="shared" si="16"/>
        <v>873</v>
      </c>
      <c r="E276" s="19">
        <f t="shared" si="17"/>
        <v>0</v>
      </c>
      <c r="F276" s="14">
        <f t="shared" si="17"/>
        <v>0</v>
      </c>
      <c r="G276" s="19">
        <f t="shared" si="17"/>
        <v>0</v>
      </c>
      <c r="H276" s="49">
        <f t="shared" si="17"/>
        <v>0</v>
      </c>
      <c r="I276" s="14">
        <f t="shared" si="17"/>
        <v>0</v>
      </c>
      <c r="J276" s="14">
        <f t="shared" si="18"/>
        <v>0</v>
      </c>
      <c r="K276" s="130">
        <f t="shared" si="19"/>
        <v>86070.422535211255</v>
      </c>
    </row>
    <row r="277" spans="1:11" x14ac:dyDescent="0.25">
      <c r="A277" s="57">
        <f>'A) Base RI'!A276</f>
        <v>5881</v>
      </c>
      <c r="B277" s="40" t="str">
        <f>'A) Base RI'!B276</f>
        <v>Blonay</v>
      </c>
      <c r="C277" s="19">
        <f>'A) Base RI'!U276</f>
        <v>6116</v>
      </c>
      <c r="D277" s="14">
        <f t="shared" si="16"/>
        <v>1000</v>
      </c>
      <c r="E277" s="19">
        <f t="shared" si="17"/>
        <v>2000</v>
      </c>
      <c r="F277" s="14">
        <f t="shared" si="17"/>
        <v>2000</v>
      </c>
      <c r="G277" s="19">
        <f t="shared" si="17"/>
        <v>1116</v>
      </c>
      <c r="H277" s="49">
        <f t="shared" si="17"/>
        <v>0</v>
      </c>
      <c r="I277" s="14">
        <f t="shared" si="17"/>
        <v>0</v>
      </c>
      <c r="J277" s="14">
        <f t="shared" si="18"/>
        <v>0</v>
      </c>
      <c r="K277" s="130">
        <f t="shared" si="19"/>
        <v>2434816.9014084507</v>
      </c>
    </row>
    <row r="278" spans="1:11" x14ac:dyDescent="0.25">
      <c r="A278" s="57">
        <f>'A) Base RI'!A277</f>
        <v>5882</v>
      </c>
      <c r="B278" s="40" t="str">
        <f>'A) Base RI'!B277</f>
        <v>Chardonne</v>
      </c>
      <c r="C278" s="19">
        <f>'A) Base RI'!U277</f>
        <v>2916</v>
      </c>
      <c r="D278" s="14">
        <f t="shared" si="16"/>
        <v>1000</v>
      </c>
      <c r="E278" s="19">
        <f t="shared" si="17"/>
        <v>1916</v>
      </c>
      <c r="F278" s="14">
        <f t="shared" si="17"/>
        <v>0</v>
      </c>
      <c r="G278" s="19">
        <f t="shared" si="17"/>
        <v>0</v>
      </c>
      <c r="H278" s="49">
        <f t="shared" si="17"/>
        <v>0</v>
      </c>
      <c r="I278" s="14">
        <f t="shared" si="17"/>
        <v>0</v>
      </c>
      <c r="J278" s="14">
        <f t="shared" si="18"/>
        <v>0</v>
      </c>
      <c r="K278" s="130">
        <f t="shared" si="19"/>
        <v>759746.47887323948</v>
      </c>
    </row>
    <row r="279" spans="1:11" x14ac:dyDescent="0.25">
      <c r="A279" s="57">
        <f>'A) Base RI'!A278</f>
        <v>5883</v>
      </c>
      <c r="B279" s="40" t="str">
        <f>'A) Base RI'!B278</f>
        <v>Corseaux</v>
      </c>
      <c r="C279" s="19">
        <f>'A) Base RI'!U278</f>
        <v>2212</v>
      </c>
      <c r="D279" s="14">
        <f t="shared" si="16"/>
        <v>1000</v>
      </c>
      <c r="E279" s="19">
        <f t="shared" si="17"/>
        <v>1212</v>
      </c>
      <c r="F279" s="14">
        <f t="shared" si="17"/>
        <v>0</v>
      </c>
      <c r="G279" s="19">
        <f t="shared" si="17"/>
        <v>0</v>
      </c>
      <c r="H279" s="49">
        <f t="shared" si="17"/>
        <v>0</v>
      </c>
      <c r="I279" s="14">
        <f t="shared" si="17"/>
        <v>0</v>
      </c>
      <c r="J279" s="14">
        <f t="shared" si="18"/>
        <v>0</v>
      </c>
      <c r="K279" s="130">
        <f t="shared" si="19"/>
        <v>516816.90140845074</v>
      </c>
    </row>
    <row r="280" spans="1:11" x14ac:dyDescent="0.25">
      <c r="A280" s="57">
        <f>'A) Base RI'!A279</f>
        <v>5884</v>
      </c>
      <c r="B280" s="40" t="str">
        <f>'A) Base RI'!B279</f>
        <v>Corsier-sur-Vevey</v>
      </c>
      <c r="C280" s="19">
        <f>'A) Base RI'!U279</f>
        <v>3403</v>
      </c>
      <c r="D280" s="14">
        <f t="shared" si="16"/>
        <v>1000</v>
      </c>
      <c r="E280" s="19">
        <f t="shared" si="17"/>
        <v>2000</v>
      </c>
      <c r="F280" s="14">
        <f t="shared" si="17"/>
        <v>403</v>
      </c>
      <c r="G280" s="19">
        <f t="shared" si="17"/>
        <v>0</v>
      </c>
      <c r="H280" s="49">
        <f t="shared" si="17"/>
        <v>0</v>
      </c>
      <c r="I280" s="14">
        <f t="shared" si="17"/>
        <v>0</v>
      </c>
      <c r="J280" s="14">
        <f t="shared" si="18"/>
        <v>0</v>
      </c>
      <c r="K280" s="130">
        <f t="shared" si="19"/>
        <v>987394.36619718303</v>
      </c>
    </row>
    <row r="281" spans="1:11" x14ac:dyDescent="0.25">
      <c r="A281" s="57">
        <f>'A) Base RI'!A280</f>
        <v>5885</v>
      </c>
      <c r="B281" s="40" t="str">
        <f>'A) Base RI'!B280</f>
        <v>Jongny</v>
      </c>
      <c r="C281" s="19">
        <f>'A) Base RI'!U280</f>
        <v>1488</v>
      </c>
      <c r="D281" s="14">
        <f t="shared" si="16"/>
        <v>1000</v>
      </c>
      <c r="E281" s="19">
        <f t="shared" si="17"/>
        <v>488</v>
      </c>
      <c r="F281" s="14">
        <f t="shared" si="17"/>
        <v>0</v>
      </c>
      <c r="G281" s="19">
        <f t="shared" si="17"/>
        <v>0</v>
      </c>
      <c r="H281" s="49">
        <f t="shared" si="17"/>
        <v>0</v>
      </c>
      <c r="I281" s="14">
        <f t="shared" si="17"/>
        <v>0</v>
      </c>
      <c r="J281" s="14">
        <f t="shared" si="18"/>
        <v>0</v>
      </c>
      <c r="K281" s="130">
        <f t="shared" si="19"/>
        <v>266985.91549295775</v>
      </c>
    </row>
    <row r="282" spans="1:11" x14ac:dyDescent="0.25">
      <c r="A282" s="57">
        <f>'A) Base RI'!A281</f>
        <v>5886</v>
      </c>
      <c r="B282" s="40" t="str">
        <f>'A) Base RI'!B281</f>
        <v>Montreux</v>
      </c>
      <c r="C282" s="19">
        <f>'A) Base RI'!U281</f>
        <v>26402</v>
      </c>
      <c r="D282" s="14">
        <f t="shared" si="16"/>
        <v>1000</v>
      </c>
      <c r="E282" s="19">
        <f t="shared" si="17"/>
        <v>2000</v>
      </c>
      <c r="F282" s="14">
        <f t="shared" si="17"/>
        <v>2000</v>
      </c>
      <c r="G282" s="19">
        <f t="shared" si="17"/>
        <v>4000</v>
      </c>
      <c r="H282" s="49">
        <f t="shared" si="17"/>
        <v>3000</v>
      </c>
      <c r="I282" s="14">
        <f t="shared" si="17"/>
        <v>3000</v>
      </c>
      <c r="J282" s="14">
        <f t="shared" si="18"/>
        <v>11402</v>
      </c>
      <c r="K282" s="130">
        <f t="shared" si="19"/>
        <v>21416154.929577462</v>
      </c>
    </row>
    <row r="283" spans="1:11" x14ac:dyDescent="0.25">
      <c r="A283" s="57">
        <f>'A) Base RI'!A282</f>
        <v>5888</v>
      </c>
      <c r="B283" s="40" t="str">
        <f>'A) Base RI'!B282</f>
        <v>Saint-Légier-La Chiésaz</v>
      </c>
      <c r="C283" s="19">
        <f>'A) Base RI'!U282</f>
        <v>5130</v>
      </c>
      <c r="D283" s="14">
        <f t="shared" si="16"/>
        <v>1000</v>
      </c>
      <c r="E283" s="19">
        <f t="shared" si="17"/>
        <v>2000</v>
      </c>
      <c r="F283" s="14">
        <f t="shared" si="17"/>
        <v>2000</v>
      </c>
      <c r="G283" s="19">
        <f t="shared" si="17"/>
        <v>130</v>
      </c>
      <c r="H283" s="49">
        <f t="shared" si="17"/>
        <v>0</v>
      </c>
      <c r="I283" s="14">
        <f t="shared" si="17"/>
        <v>0</v>
      </c>
      <c r="J283" s="14">
        <f t="shared" si="18"/>
        <v>0</v>
      </c>
      <c r="K283" s="130">
        <f t="shared" si="19"/>
        <v>1851549.295774648</v>
      </c>
    </row>
    <row r="284" spans="1:11" x14ac:dyDescent="0.25">
      <c r="A284" s="57">
        <f>'A) Base RI'!A283</f>
        <v>5889</v>
      </c>
      <c r="B284" s="40" t="str">
        <f>'A) Base RI'!B283</f>
        <v>La Tour-de-Peilz</v>
      </c>
      <c r="C284" s="19">
        <f>'A) Base RI'!U283</f>
        <v>11637</v>
      </c>
      <c r="D284" s="14">
        <f t="shared" si="16"/>
        <v>1000</v>
      </c>
      <c r="E284" s="19">
        <f t="shared" si="17"/>
        <v>2000</v>
      </c>
      <c r="F284" s="14">
        <f t="shared" si="17"/>
        <v>2000</v>
      </c>
      <c r="G284" s="19">
        <f t="shared" si="17"/>
        <v>4000</v>
      </c>
      <c r="H284" s="49">
        <f t="shared" si="17"/>
        <v>2637</v>
      </c>
      <c r="I284" s="14">
        <f t="shared" si="17"/>
        <v>0</v>
      </c>
      <c r="J284" s="14">
        <f t="shared" si="18"/>
        <v>0</v>
      </c>
      <c r="K284" s="130">
        <f t="shared" si="19"/>
        <v>6350725.3521126751</v>
      </c>
    </row>
    <row r="285" spans="1:11" x14ac:dyDescent="0.25">
      <c r="A285" s="57">
        <f>'A) Base RI'!A284</f>
        <v>5890</v>
      </c>
      <c r="B285" s="40" t="str">
        <f>'A) Base RI'!B284</f>
        <v>Vevey</v>
      </c>
      <c r="C285" s="19">
        <f>'A) Base RI'!U284</f>
        <v>19605</v>
      </c>
      <c r="D285" s="14">
        <f t="shared" si="16"/>
        <v>1000</v>
      </c>
      <c r="E285" s="19">
        <f t="shared" si="17"/>
        <v>2000</v>
      </c>
      <c r="F285" s="14">
        <f t="shared" si="17"/>
        <v>2000</v>
      </c>
      <c r="G285" s="19">
        <f t="shared" si="17"/>
        <v>4000</v>
      </c>
      <c r="H285" s="49">
        <f t="shared" si="17"/>
        <v>3000</v>
      </c>
      <c r="I285" s="14">
        <f t="shared" si="17"/>
        <v>3000</v>
      </c>
      <c r="J285" s="14">
        <f t="shared" si="18"/>
        <v>4605</v>
      </c>
      <c r="K285" s="130">
        <f t="shared" si="19"/>
        <v>14379823.943661971</v>
      </c>
    </row>
    <row r="286" spans="1:11" x14ac:dyDescent="0.25">
      <c r="A286" s="57">
        <f>'A) Base RI'!A285</f>
        <v>5891</v>
      </c>
      <c r="B286" s="40" t="str">
        <f>'A) Base RI'!B285</f>
        <v>Veytaux</v>
      </c>
      <c r="C286" s="19">
        <f>'A) Base RI'!U285</f>
        <v>850</v>
      </c>
      <c r="D286" s="14">
        <f t="shared" si="16"/>
        <v>850</v>
      </c>
      <c r="E286" s="19">
        <f t="shared" si="17"/>
        <v>0</v>
      </c>
      <c r="F286" s="14">
        <f t="shared" si="17"/>
        <v>0</v>
      </c>
      <c r="G286" s="19">
        <f t="shared" si="17"/>
        <v>0</v>
      </c>
      <c r="H286" s="49">
        <f t="shared" si="17"/>
        <v>0</v>
      </c>
      <c r="I286" s="14">
        <f t="shared" si="17"/>
        <v>0</v>
      </c>
      <c r="J286" s="14">
        <f t="shared" si="18"/>
        <v>0</v>
      </c>
      <c r="K286" s="130">
        <f t="shared" si="19"/>
        <v>83802.816901408441</v>
      </c>
    </row>
    <row r="287" spans="1:11" x14ac:dyDescent="0.25">
      <c r="A287" s="57">
        <f>'A) Base RI'!A286</f>
        <v>5902</v>
      </c>
      <c r="B287" s="40" t="str">
        <f>'A) Base RI'!B286</f>
        <v>Belmont-sur-Yverdon</v>
      </c>
      <c r="C287" s="19">
        <f>'A) Base RI'!U286</f>
        <v>368</v>
      </c>
      <c r="D287" s="14">
        <f t="shared" si="16"/>
        <v>368</v>
      </c>
      <c r="E287" s="19">
        <f t="shared" si="17"/>
        <v>0</v>
      </c>
      <c r="F287" s="14">
        <f t="shared" si="17"/>
        <v>0</v>
      </c>
      <c r="G287" s="19">
        <f t="shared" si="17"/>
        <v>0</v>
      </c>
      <c r="H287" s="49">
        <f t="shared" si="17"/>
        <v>0</v>
      </c>
      <c r="I287" s="14">
        <f t="shared" si="17"/>
        <v>0</v>
      </c>
      <c r="J287" s="14">
        <f t="shared" si="18"/>
        <v>0</v>
      </c>
      <c r="K287" s="130">
        <f t="shared" si="19"/>
        <v>36281.690140845065</v>
      </c>
    </row>
    <row r="288" spans="1:11" x14ac:dyDescent="0.25">
      <c r="A288" s="57">
        <f>'A) Base RI'!A287</f>
        <v>5903</v>
      </c>
      <c r="B288" s="40" t="str">
        <f>'A) Base RI'!B287</f>
        <v>Bioley-Magnoux</v>
      </c>
      <c r="C288" s="19">
        <f>'A) Base RI'!U287</f>
        <v>230</v>
      </c>
      <c r="D288" s="14">
        <f t="shared" si="16"/>
        <v>230</v>
      </c>
      <c r="E288" s="19">
        <f t="shared" si="17"/>
        <v>0</v>
      </c>
      <c r="F288" s="14">
        <f t="shared" si="17"/>
        <v>0</v>
      </c>
      <c r="G288" s="19">
        <f t="shared" si="17"/>
        <v>0</v>
      </c>
      <c r="H288" s="49">
        <f t="shared" si="17"/>
        <v>0</v>
      </c>
      <c r="I288" s="14">
        <f t="shared" si="17"/>
        <v>0</v>
      </c>
      <c r="J288" s="14">
        <f t="shared" si="18"/>
        <v>0</v>
      </c>
      <c r="K288" s="130">
        <f t="shared" si="19"/>
        <v>22676.056338028167</v>
      </c>
    </row>
    <row r="289" spans="1:11" x14ac:dyDescent="0.25">
      <c r="A289" s="57">
        <f>'A) Base RI'!A288</f>
        <v>5904</v>
      </c>
      <c r="B289" s="40" t="str">
        <f>'A) Base RI'!B288</f>
        <v>Chamblon</v>
      </c>
      <c r="C289" s="19">
        <f>'A) Base RI'!U288</f>
        <v>548</v>
      </c>
      <c r="D289" s="14">
        <f t="shared" si="16"/>
        <v>548</v>
      </c>
      <c r="E289" s="19">
        <f t="shared" si="17"/>
        <v>0</v>
      </c>
      <c r="F289" s="14">
        <f t="shared" si="17"/>
        <v>0</v>
      </c>
      <c r="G289" s="19">
        <f t="shared" si="17"/>
        <v>0</v>
      </c>
      <c r="H289" s="49">
        <f t="shared" si="17"/>
        <v>0</v>
      </c>
      <c r="I289" s="14">
        <f t="shared" si="17"/>
        <v>0</v>
      </c>
      <c r="J289" s="14">
        <f t="shared" si="18"/>
        <v>0</v>
      </c>
      <c r="K289" s="130">
        <f t="shared" si="19"/>
        <v>54028.169014084502</v>
      </c>
    </row>
    <row r="290" spans="1:11" x14ac:dyDescent="0.25">
      <c r="A290" s="57">
        <f>'A) Base RI'!A289</f>
        <v>5905</v>
      </c>
      <c r="B290" s="40" t="str">
        <f>'A) Base RI'!B289</f>
        <v>Champvent</v>
      </c>
      <c r="C290" s="19">
        <f>'A) Base RI'!U289</f>
        <v>652</v>
      </c>
      <c r="D290" s="14">
        <f t="shared" si="16"/>
        <v>652</v>
      </c>
      <c r="E290" s="19">
        <f t="shared" si="17"/>
        <v>0</v>
      </c>
      <c r="F290" s="14">
        <f t="shared" si="17"/>
        <v>0</v>
      </c>
      <c r="G290" s="19">
        <f t="shared" si="17"/>
        <v>0</v>
      </c>
      <c r="H290" s="49">
        <f t="shared" si="17"/>
        <v>0</v>
      </c>
      <c r="I290" s="14">
        <f t="shared" si="17"/>
        <v>0</v>
      </c>
      <c r="J290" s="14">
        <f t="shared" si="18"/>
        <v>0</v>
      </c>
      <c r="K290" s="130">
        <f t="shared" si="19"/>
        <v>64281.690140845065</v>
      </c>
    </row>
    <row r="291" spans="1:11" x14ac:dyDescent="0.25">
      <c r="A291" s="57">
        <f>'A) Base RI'!A290</f>
        <v>5907</v>
      </c>
      <c r="B291" s="40" t="str">
        <f>'A) Base RI'!B290</f>
        <v>Chavannes-le-Chêne</v>
      </c>
      <c r="C291" s="19">
        <f>'A) Base RI'!U290</f>
        <v>300</v>
      </c>
      <c r="D291" s="14">
        <f t="shared" si="16"/>
        <v>300</v>
      </c>
      <c r="E291" s="19">
        <f t="shared" si="17"/>
        <v>0</v>
      </c>
      <c r="F291" s="14">
        <f t="shared" si="17"/>
        <v>0</v>
      </c>
      <c r="G291" s="19">
        <f t="shared" si="17"/>
        <v>0</v>
      </c>
      <c r="H291" s="49">
        <f t="shared" si="17"/>
        <v>0</v>
      </c>
      <c r="I291" s="14">
        <f t="shared" si="17"/>
        <v>0</v>
      </c>
      <c r="J291" s="14">
        <f t="shared" si="18"/>
        <v>0</v>
      </c>
      <c r="K291" s="130">
        <f t="shared" si="19"/>
        <v>29577.464788732392</v>
      </c>
    </row>
    <row r="292" spans="1:11" x14ac:dyDescent="0.25">
      <c r="A292" s="57">
        <f>'A) Base RI'!A291</f>
        <v>5908</v>
      </c>
      <c r="B292" s="40" t="str">
        <f>'A) Base RI'!B291</f>
        <v>Chêne-Pâquier</v>
      </c>
      <c r="C292" s="19">
        <f>'A) Base RI'!U291</f>
        <v>140</v>
      </c>
      <c r="D292" s="14">
        <f t="shared" si="16"/>
        <v>140</v>
      </c>
      <c r="E292" s="19">
        <f t="shared" si="17"/>
        <v>0</v>
      </c>
      <c r="F292" s="14">
        <f t="shared" si="17"/>
        <v>0</v>
      </c>
      <c r="G292" s="19">
        <f t="shared" si="17"/>
        <v>0</v>
      </c>
      <c r="H292" s="49">
        <f t="shared" si="17"/>
        <v>0</v>
      </c>
      <c r="I292" s="14">
        <f t="shared" si="17"/>
        <v>0</v>
      </c>
      <c r="J292" s="14">
        <f t="shared" si="18"/>
        <v>0</v>
      </c>
      <c r="K292" s="130">
        <f t="shared" si="19"/>
        <v>13802.816901408451</v>
      </c>
    </row>
    <row r="293" spans="1:11" x14ac:dyDescent="0.25">
      <c r="A293" s="57">
        <f>'A) Base RI'!A292</f>
        <v>5909</v>
      </c>
      <c r="B293" s="40" t="str">
        <f>'A) Base RI'!B292</f>
        <v>Cheseaux-Noréaz</v>
      </c>
      <c r="C293" s="19">
        <f>'A) Base RI'!U292</f>
        <v>670</v>
      </c>
      <c r="D293" s="14">
        <f t="shared" si="16"/>
        <v>670</v>
      </c>
      <c r="E293" s="19">
        <f t="shared" si="17"/>
        <v>0</v>
      </c>
      <c r="F293" s="14">
        <f t="shared" si="17"/>
        <v>0</v>
      </c>
      <c r="G293" s="19">
        <f t="shared" si="17"/>
        <v>0</v>
      </c>
      <c r="H293" s="49">
        <f t="shared" si="17"/>
        <v>0</v>
      </c>
      <c r="I293" s="14">
        <f t="shared" si="17"/>
        <v>0</v>
      </c>
      <c r="J293" s="14">
        <f t="shared" si="18"/>
        <v>0</v>
      </c>
      <c r="K293" s="130">
        <f t="shared" si="19"/>
        <v>66056.338028169004</v>
      </c>
    </row>
    <row r="294" spans="1:11" x14ac:dyDescent="0.25">
      <c r="A294" s="57">
        <f>'A) Base RI'!A293</f>
        <v>5910</v>
      </c>
      <c r="B294" s="40" t="str">
        <f>'A) Base RI'!B293</f>
        <v>Cronay</v>
      </c>
      <c r="C294" s="19">
        <f>'A) Base RI'!U293</f>
        <v>380</v>
      </c>
      <c r="D294" s="14">
        <f t="shared" si="16"/>
        <v>380</v>
      </c>
      <c r="E294" s="19">
        <f t="shared" si="17"/>
        <v>0</v>
      </c>
      <c r="F294" s="14">
        <f t="shared" si="17"/>
        <v>0</v>
      </c>
      <c r="G294" s="19">
        <f t="shared" si="17"/>
        <v>0</v>
      </c>
      <c r="H294" s="49">
        <f t="shared" si="17"/>
        <v>0</v>
      </c>
      <c r="I294" s="14">
        <f t="shared" si="17"/>
        <v>0</v>
      </c>
      <c r="J294" s="14">
        <f t="shared" si="18"/>
        <v>0</v>
      </c>
      <c r="K294" s="130">
        <f t="shared" si="19"/>
        <v>37464.788732394365</v>
      </c>
    </row>
    <row r="295" spans="1:11" x14ac:dyDescent="0.25">
      <c r="A295" s="57">
        <f>'A) Base RI'!A294</f>
        <v>5911</v>
      </c>
      <c r="B295" s="40" t="str">
        <f>'A) Base RI'!B294</f>
        <v>Cuarny</v>
      </c>
      <c r="C295" s="19">
        <f>'A) Base RI'!U294</f>
        <v>237</v>
      </c>
      <c r="D295" s="14">
        <f t="shared" si="16"/>
        <v>237</v>
      </c>
      <c r="E295" s="19">
        <f t="shared" si="17"/>
        <v>0</v>
      </c>
      <c r="F295" s="14">
        <f t="shared" si="17"/>
        <v>0</v>
      </c>
      <c r="G295" s="19">
        <f t="shared" si="17"/>
        <v>0</v>
      </c>
      <c r="H295" s="49">
        <f t="shared" si="17"/>
        <v>0</v>
      </c>
      <c r="I295" s="14">
        <f t="shared" si="17"/>
        <v>0</v>
      </c>
      <c r="J295" s="14">
        <f t="shared" si="18"/>
        <v>0</v>
      </c>
      <c r="K295" s="130">
        <f t="shared" si="19"/>
        <v>23366.197183098589</v>
      </c>
    </row>
    <row r="296" spans="1:11" x14ac:dyDescent="0.25">
      <c r="A296" s="57">
        <f>'A) Base RI'!A295</f>
        <v>5912</v>
      </c>
      <c r="B296" s="40" t="str">
        <f>'A) Base RI'!B295</f>
        <v>Démoret</v>
      </c>
      <c r="C296" s="19">
        <f>'A) Base RI'!U295</f>
        <v>126</v>
      </c>
      <c r="D296" s="14">
        <f t="shared" si="16"/>
        <v>126</v>
      </c>
      <c r="E296" s="19">
        <f t="shared" si="17"/>
        <v>0</v>
      </c>
      <c r="F296" s="14">
        <f t="shared" si="17"/>
        <v>0</v>
      </c>
      <c r="G296" s="19">
        <f t="shared" si="17"/>
        <v>0</v>
      </c>
      <c r="H296" s="49">
        <f t="shared" si="17"/>
        <v>0</v>
      </c>
      <c r="I296" s="14">
        <f t="shared" si="17"/>
        <v>0</v>
      </c>
      <c r="J296" s="14">
        <f t="shared" si="18"/>
        <v>0</v>
      </c>
      <c r="K296" s="130">
        <f t="shared" si="19"/>
        <v>12422.535211267605</v>
      </c>
    </row>
    <row r="297" spans="1:11" x14ac:dyDescent="0.25">
      <c r="A297" s="57">
        <f>'A) Base RI'!A296</f>
        <v>5913</v>
      </c>
      <c r="B297" s="40" t="str">
        <f>'A) Base RI'!B296</f>
        <v>Donneloye</v>
      </c>
      <c r="C297" s="19">
        <f>'A) Base RI'!U296</f>
        <v>779</v>
      </c>
      <c r="D297" s="14">
        <f t="shared" si="16"/>
        <v>779</v>
      </c>
      <c r="E297" s="19">
        <f t="shared" si="17"/>
        <v>0</v>
      </c>
      <c r="F297" s="14">
        <f t="shared" si="17"/>
        <v>0</v>
      </c>
      <c r="G297" s="19">
        <f t="shared" si="17"/>
        <v>0</v>
      </c>
      <c r="H297" s="49">
        <f t="shared" si="17"/>
        <v>0</v>
      </c>
      <c r="I297" s="14">
        <f t="shared" si="17"/>
        <v>0</v>
      </c>
      <c r="J297" s="14">
        <f t="shared" si="18"/>
        <v>0</v>
      </c>
      <c r="K297" s="130">
        <f t="shared" si="19"/>
        <v>76802.816901408441</v>
      </c>
    </row>
    <row r="298" spans="1:11" x14ac:dyDescent="0.25">
      <c r="A298" s="57">
        <f>'A) Base RI'!A297</f>
        <v>5914</v>
      </c>
      <c r="B298" s="40" t="str">
        <f>'A) Base RI'!B297</f>
        <v>Ependes</v>
      </c>
      <c r="C298" s="19">
        <f>'A) Base RI'!U297</f>
        <v>350</v>
      </c>
      <c r="D298" s="14">
        <f t="shared" si="16"/>
        <v>350</v>
      </c>
      <c r="E298" s="19">
        <f t="shared" si="17"/>
        <v>0</v>
      </c>
      <c r="F298" s="14">
        <f t="shared" si="17"/>
        <v>0</v>
      </c>
      <c r="G298" s="19">
        <f t="shared" si="17"/>
        <v>0</v>
      </c>
      <c r="H298" s="49">
        <f t="shared" si="17"/>
        <v>0</v>
      </c>
      <c r="I298" s="14">
        <f t="shared" si="17"/>
        <v>0</v>
      </c>
      <c r="J298" s="14">
        <f t="shared" si="18"/>
        <v>0</v>
      </c>
      <c r="K298" s="130">
        <f t="shared" si="19"/>
        <v>34507.042253521126</v>
      </c>
    </row>
    <row r="299" spans="1:11" x14ac:dyDescent="0.25">
      <c r="A299" s="57">
        <f>'A) Base RI'!A298</f>
        <v>5919</v>
      </c>
      <c r="B299" s="40" t="str">
        <f>'A) Base RI'!B298</f>
        <v>Mathod</v>
      </c>
      <c r="C299" s="19">
        <f>'A) Base RI'!U298</f>
        <v>614</v>
      </c>
      <c r="D299" s="14">
        <f t="shared" ref="D299:D316" si="20">IF($C299&gt;D$4,IF($C299&lt;D$5,$C299-D$4,D$5-D$4),0)</f>
        <v>614</v>
      </c>
      <c r="E299" s="19">
        <f t="shared" si="17"/>
        <v>0</v>
      </c>
      <c r="F299" s="14">
        <f t="shared" si="17"/>
        <v>0</v>
      </c>
      <c r="G299" s="19">
        <f t="shared" si="17"/>
        <v>0</v>
      </c>
      <c r="H299" s="49">
        <f t="shared" si="17"/>
        <v>0</v>
      </c>
      <c r="I299" s="14">
        <f t="shared" si="17"/>
        <v>0</v>
      </c>
      <c r="J299" s="14">
        <f t="shared" si="18"/>
        <v>0</v>
      </c>
      <c r="K299" s="130">
        <f t="shared" si="19"/>
        <v>60535.211267605628</v>
      </c>
    </row>
    <row r="300" spans="1:11" x14ac:dyDescent="0.25">
      <c r="A300" s="57">
        <f>'A) Base RI'!A299</f>
        <v>5921</v>
      </c>
      <c r="B300" s="40" t="str">
        <f>'A) Base RI'!B299</f>
        <v>Molondin</v>
      </c>
      <c r="C300" s="19">
        <f>'A) Base RI'!U299</f>
        <v>218</v>
      </c>
      <c r="D300" s="14">
        <f t="shared" si="20"/>
        <v>218</v>
      </c>
      <c r="E300" s="19">
        <f t="shared" si="17"/>
        <v>0</v>
      </c>
      <c r="F300" s="14">
        <f t="shared" si="17"/>
        <v>0</v>
      </c>
      <c r="G300" s="19">
        <f t="shared" si="17"/>
        <v>0</v>
      </c>
      <c r="H300" s="49">
        <f t="shared" si="17"/>
        <v>0</v>
      </c>
      <c r="I300" s="14">
        <f t="shared" si="17"/>
        <v>0</v>
      </c>
      <c r="J300" s="14">
        <f t="shared" si="18"/>
        <v>0</v>
      </c>
      <c r="K300" s="130">
        <f t="shared" si="19"/>
        <v>21492.957746478871</v>
      </c>
    </row>
    <row r="301" spans="1:11" x14ac:dyDescent="0.25">
      <c r="A301" s="57">
        <f>'A) Base RI'!A300</f>
        <v>5922</v>
      </c>
      <c r="B301" s="40" t="str">
        <f>'A) Base RI'!B300</f>
        <v>Montagny-près-Yverdon</v>
      </c>
      <c r="C301" s="19">
        <f>'A) Base RI'!U300</f>
        <v>733</v>
      </c>
      <c r="D301" s="14">
        <f t="shared" si="20"/>
        <v>733</v>
      </c>
      <c r="E301" s="19">
        <f t="shared" si="17"/>
        <v>0</v>
      </c>
      <c r="F301" s="14">
        <f t="shared" si="17"/>
        <v>0</v>
      </c>
      <c r="G301" s="19">
        <f t="shared" si="17"/>
        <v>0</v>
      </c>
      <c r="H301" s="49">
        <f t="shared" si="17"/>
        <v>0</v>
      </c>
      <c r="I301" s="14">
        <f t="shared" si="17"/>
        <v>0</v>
      </c>
      <c r="J301" s="14">
        <f t="shared" si="18"/>
        <v>0</v>
      </c>
      <c r="K301" s="130">
        <f t="shared" si="19"/>
        <v>72267.605633802814</v>
      </c>
    </row>
    <row r="302" spans="1:11" x14ac:dyDescent="0.25">
      <c r="A302" s="57">
        <f>'A) Base RI'!A301</f>
        <v>5923</v>
      </c>
      <c r="B302" s="40" t="str">
        <f>'A) Base RI'!B301</f>
        <v>Oppens</v>
      </c>
      <c r="C302" s="19">
        <f>'A) Base RI'!U301</f>
        <v>182</v>
      </c>
      <c r="D302" s="14">
        <f t="shared" si="20"/>
        <v>182</v>
      </c>
      <c r="E302" s="19">
        <f t="shared" si="17"/>
        <v>0</v>
      </c>
      <c r="F302" s="14">
        <f t="shared" si="17"/>
        <v>0</v>
      </c>
      <c r="G302" s="19">
        <f t="shared" si="17"/>
        <v>0</v>
      </c>
      <c r="H302" s="49">
        <f t="shared" si="17"/>
        <v>0</v>
      </c>
      <c r="I302" s="14">
        <f t="shared" si="17"/>
        <v>0</v>
      </c>
      <c r="J302" s="14">
        <f t="shared" si="18"/>
        <v>0</v>
      </c>
      <c r="K302" s="130">
        <f t="shared" si="19"/>
        <v>17943.661971830985</v>
      </c>
    </row>
    <row r="303" spans="1:11" x14ac:dyDescent="0.25">
      <c r="A303" s="57">
        <f>'A) Base RI'!A302</f>
        <v>5924</v>
      </c>
      <c r="B303" s="40" t="str">
        <f>'A) Base RI'!B302</f>
        <v>Orges</v>
      </c>
      <c r="C303" s="19">
        <f>'A) Base RI'!U302</f>
        <v>292</v>
      </c>
      <c r="D303" s="14">
        <f t="shared" si="20"/>
        <v>292</v>
      </c>
      <c r="E303" s="19">
        <f t="shared" si="17"/>
        <v>0</v>
      </c>
      <c r="F303" s="14">
        <f t="shared" si="17"/>
        <v>0</v>
      </c>
      <c r="G303" s="19">
        <f t="shared" si="17"/>
        <v>0</v>
      </c>
      <c r="H303" s="49">
        <f t="shared" si="17"/>
        <v>0</v>
      </c>
      <c r="I303" s="14">
        <f t="shared" si="17"/>
        <v>0</v>
      </c>
      <c r="J303" s="14">
        <f t="shared" si="18"/>
        <v>0</v>
      </c>
      <c r="K303" s="130">
        <f t="shared" si="19"/>
        <v>28788.732394366194</v>
      </c>
    </row>
    <row r="304" spans="1:11" x14ac:dyDescent="0.25">
      <c r="A304" s="57">
        <f>'A) Base RI'!A303</f>
        <v>5925</v>
      </c>
      <c r="B304" s="40" t="str">
        <f>'A) Base RI'!B303</f>
        <v>Orzens</v>
      </c>
      <c r="C304" s="19">
        <f>'A) Base RI'!U303</f>
        <v>200</v>
      </c>
      <c r="D304" s="14">
        <f t="shared" si="20"/>
        <v>200</v>
      </c>
      <c r="E304" s="19">
        <f t="shared" si="17"/>
        <v>0</v>
      </c>
      <c r="F304" s="14">
        <f t="shared" si="17"/>
        <v>0</v>
      </c>
      <c r="G304" s="19">
        <f t="shared" si="17"/>
        <v>0</v>
      </c>
      <c r="H304" s="49">
        <f t="shared" si="17"/>
        <v>0</v>
      </c>
      <c r="I304" s="14">
        <f t="shared" si="17"/>
        <v>0</v>
      </c>
      <c r="J304" s="14">
        <f t="shared" si="18"/>
        <v>0</v>
      </c>
      <c r="K304" s="130">
        <f t="shared" si="19"/>
        <v>19718.309859154928</v>
      </c>
    </row>
    <row r="305" spans="1:11" x14ac:dyDescent="0.25">
      <c r="A305" s="57">
        <f>'A) Base RI'!A304</f>
        <v>5926</v>
      </c>
      <c r="B305" s="40" t="str">
        <f>'A) Base RI'!B304</f>
        <v>Pomy</v>
      </c>
      <c r="C305" s="19">
        <f>'A) Base RI'!U304</f>
        <v>760</v>
      </c>
      <c r="D305" s="14">
        <f t="shared" si="20"/>
        <v>760</v>
      </c>
      <c r="E305" s="19">
        <f t="shared" si="17"/>
        <v>0</v>
      </c>
      <c r="F305" s="14">
        <f t="shared" si="17"/>
        <v>0</v>
      </c>
      <c r="G305" s="19">
        <f t="shared" si="17"/>
        <v>0</v>
      </c>
      <c r="H305" s="49">
        <f t="shared" si="17"/>
        <v>0</v>
      </c>
      <c r="I305" s="14">
        <f t="shared" si="17"/>
        <v>0</v>
      </c>
      <c r="J305" s="14">
        <f t="shared" si="18"/>
        <v>0</v>
      </c>
      <c r="K305" s="130">
        <f t="shared" si="19"/>
        <v>74929.57746478873</v>
      </c>
    </row>
    <row r="306" spans="1:11" x14ac:dyDescent="0.25">
      <c r="A306" s="57">
        <f>'A) Base RI'!A305</f>
        <v>5928</v>
      </c>
      <c r="B306" s="40" t="str">
        <f>'A) Base RI'!B305</f>
        <v>Rovray</v>
      </c>
      <c r="C306" s="19">
        <f>'A) Base RI'!U305</f>
        <v>172</v>
      </c>
      <c r="D306" s="14">
        <f t="shared" si="20"/>
        <v>172</v>
      </c>
      <c r="E306" s="19">
        <f t="shared" si="17"/>
        <v>0</v>
      </c>
      <c r="F306" s="14">
        <f t="shared" si="17"/>
        <v>0</v>
      </c>
      <c r="G306" s="19">
        <f t="shared" si="17"/>
        <v>0</v>
      </c>
      <c r="H306" s="49">
        <f t="shared" si="17"/>
        <v>0</v>
      </c>
      <c r="I306" s="14">
        <f t="shared" si="17"/>
        <v>0</v>
      </c>
      <c r="J306" s="14">
        <f t="shared" si="18"/>
        <v>0</v>
      </c>
      <c r="K306" s="130">
        <f t="shared" si="19"/>
        <v>16957.74647887324</v>
      </c>
    </row>
    <row r="307" spans="1:11" x14ac:dyDescent="0.25">
      <c r="A307" s="57">
        <f>'A) Base RI'!A306</f>
        <v>5929</v>
      </c>
      <c r="B307" s="40" t="str">
        <f>'A) Base RI'!B306</f>
        <v>Suchy</v>
      </c>
      <c r="C307" s="19">
        <f>'A) Base RI'!U306</f>
        <v>606</v>
      </c>
      <c r="D307" s="14">
        <f t="shared" si="20"/>
        <v>606</v>
      </c>
      <c r="E307" s="19">
        <f t="shared" si="17"/>
        <v>0</v>
      </c>
      <c r="F307" s="14">
        <f t="shared" si="17"/>
        <v>0</v>
      </c>
      <c r="G307" s="19">
        <f t="shared" si="17"/>
        <v>0</v>
      </c>
      <c r="H307" s="49">
        <f t="shared" si="17"/>
        <v>0</v>
      </c>
      <c r="I307" s="14">
        <f t="shared" si="17"/>
        <v>0</v>
      </c>
      <c r="J307" s="14">
        <f t="shared" si="18"/>
        <v>0</v>
      </c>
      <c r="K307" s="130">
        <f t="shared" si="19"/>
        <v>59746.47887323943</v>
      </c>
    </row>
    <row r="308" spans="1:11" x14ac:dyDescent="0.25">
      <c r="A308" s="57">
        <f>'A) Base RI'!A307</f>
        <v>5930</v>
      </c>
      <c r="B308" s="40" t="str">
        <f>'A) Base RI'!B307</f>
        <v>Suscévaz</v>
      </c>
      <c r="C308" s="19">
        <f>'A) Base RI'!U307</f>
        <v>202</v>
      </c>
      <c r="D308" s="14">
        <f t="shared" si="20"/>
        <v>202</v>
      </c>
      <c r="E308" s="19">
        <f t="shared" si="17"/>
        <v>0</v>
      </c>
      <c r="F308" s="14">
        <f t="shared" si="17"/>
        <v>0</v>
      </c>
      <c r="G308" s="19">
        <f t="shared" si="17"/>
        <v>0</v>
      </c>
      <c r="H308" s="49">
        <f t="shared" si="17"/>
        <v>0</v>
      </c>
      <c r="I308" s="14">
        <f t="shared" si="17"/>
        <v>0</v>
      </c>
      <c r="J308" s="14">
        <f t="shared" si="18"/>
        <v>0</v>
      </c>
      <c r="K308" s="130">
        <f t="shared" si="19"/>
        <v>19915.492957746479</v>
      </c>
    </row>
    <row r="309" spans="1:11" x14ac:dyDescent="0.25">
      <c r="A309" s="57">
        <f>'A) Base RI'!A308</f>
        <v>5931</v>
      </c>
      <c r="B309" s="40" t="str">
        <f>'A) Base RI'!B308</f>
        <v>Treycovagnes</v>
      </c>
      <c r="C309" s="19">
        <f>'A) Base RI'!U308</f>
        <v>446</v>
      </c>
      <c r="D309" s="14">
        <f t="shared" si="20"/>
        <v>446</v>
      </c>
      <c r="E309" s="19">
        <f t="shared" si="17"/>
        <v>0</v>
      </c>
      <c r="F309" s="14">
        <f t="shared" si="17"/>
        <v>0</v>
      </c>
      <c r="G309" s="19">
        <f t="shared" si="17"/>
        <v>0</v>
      </c>
      <c r="H309" s="49">
        <f t="shared" si="17"/>
        <v>0</v>
      </c>
      <c r="I309" s="14">
        <f t="shared" si="17"/>
        <v>0</v>
      </c>
      <c r="J309" s="14">
        <f t="shared" si="18"/>
        <v>0</v>
      </c>
      <c r="K309" s="130">
        <f t="shared" si="19"/>
        <v>43971.830985915491</v>
      </c>
    </row>
    <row r="310" spans="1:11" x14ac:dyDescent="0.25">
      <c r="A310" s="57">
        <f>'A) Base RI'!A309</f>
        <v>5932</v>
      </c>
      <c r="B310" s="40" t="str">
        <f>'A) Base RI'!B309</f>
        <v>Ursins</v>
      </c>
      <c r="C310" s="19">
        <f>'A) Base RI'!U309</f>
        <v>210</v>
      </c>
      <c r="D310" s="14">
        <f t="shared" si="20"/>
        <v>210</v>
      </c>
      <c r="E310" s="19">
        <f t="shared" si="17"/>
        <v>0</v>
      </c>
      <c r="F310" s="14">
        <f t="shared" si="17"/>
        <v>0</v>
      </c>
      <c r="G310" s="19">
        <f t="shared" ref="E310:I316" si="21">IF($C310&gt;G$4,IF($C310&lt;G$5,$C310-G$4,G$5-G$4),0)</f>
        <v>0</v>
      </c>
      <c r="H310" s="49">
        <f t="shared" si="21"/>
        <v>0</v>
      </c>
      <c r="I310" s="14">
        <f t="shared" si="21"/>
        <v>0</v>
      </c>
      <c r="J310" s="14">
        <f t="shared" si="18"/>
        <v>0</v>
      </c>
      <c r="K310" s="130">
        <f t="shared" si="19"/>
        <v>20704.225352112673</v>
      </c>
    </row>
    <row r="311" spans="1:11" x14ac:dyDescent="0.25">
      <c r="A311" s="57">
        <f>'A) Base RI'!A310</f>
        <v>5933</v>
      </c>
      <c r="B311" s="40" t="str">
        <f>'A) Base RI'!B310</f>
        <v>Valeyres-sous-Montagny</v>
      </c>
      <c r="C311" s="19">
        <f>'A) Base RI'!U310</f>
        <v>689</v>
      </c>
      <c r="D311" s="14">
        <f t="shared" si="20"/>
        <v>689</v>
      </c>
      <c r="E311" s="19">
        <f t="shared" si="21"/>
        <v>0</v>
      </c>
      <c r="F311" s="14">
        <f t="shared" si="21"/>
        <v>0</v>
      </c>
      <c r="G311" s="19">
        <f t="shared" si="21"/>
        <v>0</v>
      </c>
      <c r="H311" s="49">
        <f t="shared" si="21"/>
        <v>0</v>
      </c>
      <c r="I311" s="14">
        <f t="shared" si="21"/>
        <v>0</v>
      </c>
      <c r="J311" s="14">
        <f t="shared" si="18"/>
        <v>0</v>
      </c>
      <c r="K311" s="130">
        <f t="shared" si="19"/>
        <v>67929.57746478873</v>
      </c>
    </row>
    <row r="312" spans="1:11" x14ac:dyDescent="0.25">
      <c r="A312" s="57">
        <f>'A) Base RI'!A311</f>
        <v>5934</v>
      </c>
      <c r="B312" s="40" t="str">
        <f>'A) Base RI'!B311</f>
        <v>Valeyres-sous-Ursins</v>
      </c>
      <c r="C312" s="19">
        <f>'A) Base RI'!U311</f>
        <v>247</v>
      </c>
      <c r="D312" s="14">
        <f t="shared" si="20"/>
        <v>247</v>
      </c>
      <c r="E312" s="19">
        <f t="shared" si="21"/>
        <v>0</v>
      </c>
      <c r="F312" s="14">
        <f t="shared" si="21"/>
        <v>0</v>
      </c>
      <c r="G312" s="19">
        <f t="shared" si="21"/>
        <v>0</v>
      </c>
      <c r="H312" s="49">
        <f t="shared" si="21"/>
        <v>0</v>
      </c>
      <c r="I312" s="14">
        <f t="shared" si="21"/>
        <v>0</v>
      </c>
      <c r="J312" s="14">
        <f t="shared" si="18"/>
        <v>0</v>
      </c>
      <c r="K312" s="130">
        <f t="shared" si="19"/>
        <v>24352.112676056335</v>
      </c>
    </row>
    <row r="313" spans="1:11" x14ac:dyDescent="0.25">
      <c r="A313" s="57">
        <f>'A) Base RI'!A312</f>
        <v>5935</v>
      </c>
      <c r="B313" s="40" t="str">
        <f>'A) Base RI'!B312</f>
        <v>Villars-Epeney</v>
      </c>
      <c r="C313" s="19">
        <f>'A) Base RI'!U312</f>
        <v>105</v>
      </c>
      <c r="D313" s="14">
        <f t="shared" si="20"/>
        <v>105</v>
      </c>
      <c r="E313" s="19">
        <f t="shared" si="21"/>
        <v>0</v>
      </c>
      <c r="F313" s="14">
        <f t="shared" si="21"/>
        <v>0</v>
      </c>
      <c r="G313" s="19">
        <f t="shared" si="21"/>
        <v>0</v>
      </c>
      <c r="H313" s="49">
        <f t="shared" si="21"/>
        <v>0</v>
      </c>
      <c r="I313" s="14">
        <f t="shared" si="21"/>
        <v>0</v>
      </c>
      <c r="J313" s="14">
        <f t="shared" si="18"/>
        <v>0</v>
      </c>
      <c r="K313" s="130">
        <f t="shared" si="19"/>
        <v>10352.112676056337</v>
      </c>
    </row>
    <row r="314" spans="1:11" x14ac:dyDescent="0.25">
      <c r="A314" s="57">
        <f>'A) Base RI'!A313</f>
        <v>5937</v>
      </c>
      <c r="B314" s="40" t="str">
        <f>'A) Base RI'!B313</f>
        <v>Vugelles-La Mothe</v>
      </c>
      <c r="C314" s="19">
        <f>'A) Base RI'!U313</f>
        <v>134</v>
      </c>
      <c r="D314" s="14">
        <f t="shared" si="20"/>
        <v>134</v>
      </c>
      <c r="E314" s="19">
        <f t="shared" si="21"/>
        <v>0</v>
      </c>
      <c r="F314" s="14">
        <f t="shared" si="21"/>
        <v>0</v>
      </c>
      <c r="G314" s="19">
        <f t="shared" si="21"/>
        <v>0</v>
      </c>
      <c r="H314" s="49">
        <f t="shared" si="21"/>
        <v>0</v>
      </c>
      <c r="I314" s="14">
        <f t="shared" si="21"/>
        <v>0</v>
      </c>
      <c r="J314" s="14">
        <f t="shared" si="18"/>
        <v>0</v>
      </c>
      <c r="K314" s="130">
        <f t="shared" si="19"/>
        <v>13211.267605633802</v>
      </c>
    </row>
    <row r="315" spans="1:11" x14ac:dyDescent="0.25">
      <c r="A315" s="57">
        <f>'A) Base RI'!A314</f>
        <v>5938</v>
      </c>
      <c r="B315" s="40" t="str">
        <f>'A) Base RI'!B314</f>
        <v>Yverdon-les-Bains</v>
      </c>
      <c r="C315" s="19">
        <f>'A) Base RI'!U314</f>
        <v>29570</v>
      </c>
      <c r="D315" s="14">
        <f t="shared" si="20"/>
        <v>1000</v>
      </c>
      <c r="E315" s="19">
        <f t="shared" si="21"/>
        <v>2000</v>
      </c>
      <c r="F315" s="14">
        <f t="shared" si="21"/>
        <v>2000</v>
      </c>
      <c r="G315" s="19">
        <f t="shared" si="21"/>
        <v>4000</v>
      </c>
      <c r="H315" s="49">
        <f t="shared" si="21"/>
        <v>3000</v>
      </c>
      <c r="I315" s="14">
        <f t="shared" si="21"/>
        <v>3000</v>
      </c>
      <c r="J315" s="14">
        <f t="shared" si="18"/>
        <v>14570</v>
      </c>
      <c r="K315" s="130">
        <f t="shared" si="19"/>
        <v>24695704.225352112</v>
      </c>
    </row>
    <row r="316" spans="1:11" x14ac:dyDescent="0.25">
      <c r="A316" s="58">
        <f>'A) Base RI'!A315</f>
        <v>5939</v>
      </c>
      <c r="B316" s="360" t="str">
        <f>'A) Base RI'!B315</f>
        <v>Yvonand</v>
      </c>
      <c r="C316" s="19">
        <f>'A) Base RI'!U315</f>
        <v>3236</v>
      </c>
      <c r="D316" s="14">
        <f t="shared" si="20"/>
        <v>1000</v>
      </c>
      <c r="E316" s="19">
        <f t="shared" si="21"/>
        <v>2000</v>
      </c>
      <c r="F316" s="14">
        <f t="shared" si="21"/>
        <v>236</v>
      </c>
      <c r="G316" s="19">
        <f t="shared" si="21"/>
        <v>0</v>
      </c>
      <c r="H316" s="49">
        <f t="shared" si="21"/>
        <v>0</v>
      </c>
      <c r="I316" s="14">
        <f t="shared" si="21"/>
        <v>0</v>
      </c>
      <c r="J316" s="14">
        <f t="shared" si="18"/>
        <v>0</v>
      </c>
      <c r="K316" s="130">
        <f t="shared" si="19"/>
        <v>905070.42253521131</v>
      </c>
    </row>
    <row r="317" spans="1:11" x14ac:dyDescent="0.25">
      <c r="B317" s="67">
        <f>COUNTA(B8:B316)</f>
        <v>309</v>
      </c>
      <c r="C317" s="15">
        <f>SUM(C8:C316)</f>
        <v>778251</v>
      </c>
      <c r="D317" s="15">
        <f t="shared" ref="D317:J317" si="22">SUM(D8:D316)</f>
        <v>214495</v>
      </c>
      <c r="E317" s="15">
        <f t="shared" si="22"/>
        <v>162969</v>
      </c>
      <c r="F317" s="15">
        <f t="shared" si="22"/>
        <v>82942</v>
      </c>
      <c r="G317" s="15">
        <f t="shared" si="22"/>
        <v>88144</v>
      </c>
      <c r="H317" s="15">
        <f t="shared" si="22"/>
        <v>37734</v>
      </c>
      <c r="I317" s="15">
        <f t="shared" si="22"/>
        <v>25169</v>
      </c>
      <c r="J317" s="15">
        <f t="shared" si="22"/>
        <v>166798</v>
      </c>
      <c r="K317" s="45">
        <f>SUM(K8:K316)</f>
        <v>399519429.57746452</v>
      </c>
    </row>
    <row r="318" spans="1:11" x14ac:dyDescent="0.25">
      <c r="C318" s="85"/>
    </row>
    <row r="328" spans="3:3" x14ac:dyDescent="0.25">
      <c r="C328" s="70"/>
    </row>
  </sheetData>
  <sheetProtection password="E95E" sheet="1" objects="1" scenarios="1"/>
  <mergeCells count="6">
    <mergeCell ref="K6:K7"/>
    <mergeCell ref="C3:J3"/>
    <mergeCell ref="A6:A7"/>
    <mergeCell ref="B6:B7"/>
    <mergeCell ref="C6:C7"/>
    <mergeCell ref="D6:J6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00B050"/>
  </sheetPr>
  <dimension ref="A1:M314"/>
  <sheetViews>
    <sheetView workbookViewId="0">
      <selection activeCell="B32" sqref="B32"/>
    </sheetView>
  </sheetViews>
  <sheetFormatPr baseColWidth="10" defaultColWidth="11" defaultRowHeight="15" x14ac:dyDescent="0.25"/>
  <cols>
    <col min="1" max="1" width="7.25" style="18" customWidth="1"/>
    <col min="2" max="2" width="25.375" style="18" customWidth="1"/>
    <col min="3" max="3" width="9.25" style="18" customWidth="1"/>
    <col min="4" max="4" width="13.625" style="18" customWidth="1"/>
    <col min="5" max="5" width="9" style="18" bestFit="1" customWidth="1"/>
    <col min="6" max="6" width="13.25" style="19" customWidth="1"/>
    <col min="7" max="7" width="11" style="20"/>
    <col min="8" max="8" width="11" style="18"/>
    <col min="9" max="9" width="13.375" style="8" customWidth="1"/>
    <col min="10" max="12" width="11" style="18"/>
    <col min="13" max="13" width="11.625" style="20" bestFit="1" customWidth="1"/>
    <col min="14" max="16384" width="11" style="18"/>
  </cols>
  <sheetData>
    <row r="1" spans="1:12" ht="21" x14ac:dyDescent="0.25">
      <c r="A1" s="59" t="s">
        <v>467</v>
      </c>
      <c r="B1" s="50"/>
      <c r="C1" s="107"/>
      <c r="D1" s="107"/>
    </row>
    <row r="3" spans="1:12" ht="60" x14ac:dyDescent="0.25">
      <c r="A3" s="436" t="s">
        <v>50</v>
      </c>
      <c r="B3" s="436" t="s">
        <v>101</v>
      </c>
      <c r="C3" s="436" t="s">
        <v>310</v>
      </c>
      <c r="D3" s="436" t="s">
        <v>3</v>
      </c>
      <c r="E3" s="128" t="s">
        <v>360</v>
      </c>
      <c r="F3" s="433" t="s">
        <v>317</v>
      </c>
      <c r="G3" s="456" t="s">
        <v>83</v>
      </c>
      <c r="H3" s="436" t="s">
        <v>358</v>
      </c>
      <c r="I3" s="433" t="s">
        <v>359</v>
      </c>
    </row>
    <row r="4" spans="1:12" x14ac:dyDescent="0.25">
      <c r="A4" s="437"/>
      <c r="B4" s="437"/>
      <c r="C4" s="437"/>
      <c r="D4" s="437"/>
      <c r="E4" s="129">
        <f>+Paramètres!B32</f>
        <v>0.27</v>
      </c>
      <c r="F4" s="434"/>
      <c r="G4" s="457"/>
      <c r="H4" s="437"/>
      <c r="I4" s="434"/>
    </row>
    <row r="5" spans="1:12" x14ac:dyDescent="0.25">
      <c r="A5" s="54">
        <f>'A) Base RI'!A7</f>
        <v>5401</v>
      </c>
      <c r="B5" s="356" t="str">
        <f>'A) Base RI'!B7</f>
        <v>Aigle</v>
      </c>
      <c r="C5" s="108">
        <f>'A) Base RI'!U7</f>
        <v>9740</v>
      </c>
      <c r="D5" s="126">
        <f>'D) Ecrêtage'!N5</f>
        <v>28.152378566177404</v>
      </c>
      <c r="E5" s="42">
        <f t="shared" ref="E5" si="0">IF($D$314-D5&lt;0,0,$D$314-D5)</f>
        <v>17.158590864038764</v>
      </c>
      <c r="F5" s="319">
        <f t="shared" ref="F5" si="1">(C5*E5*G5)*$E$4</f>
        <v>3045847.2021618173</v>
      </c>
      <c r="G5" s="41">
        <f>'A) Base RI'!T7</f>
        <v>67.5</v>
      </c>
      <c r="H5" s="320">
        <f t="shared" ref="H5" si="2">G5/$G$314</f>
        <v>0.99691759739839658</v>
      </c>
      <c r="I5" s="66">
        <f>F5*H5</f>
        <v>3036458.674821787</v>
      </c>
      <c r="J5" s="56"/>
      <c r="K5" s="123"/>
      <c r="L5" s="20"/>
    </row>
    <row r="6" spans="1:12" x14ac:dyDescent="0.25">
      <c r="A6" s="57">
        <f>'A) Base RI'!A8</f>
        <v>5402</v>
      </c>
      <c r="B6" s="40" t="str">
        <f>'A) Base RI'!B8</f>
        <v>Bex</v>
      </c>
      <c r="C6" s="109">
        <f>'A) Base RI'!U8</f>
        <v>7424</v>
      </c>
      <c r="D6" s="126">
        <f>'D) Ecrêtage'!N6</f>
        <v>22.712641641877127</v>
      </c>
      <c r="E6" s="42">
        <f t="shared" ref="E6:E69" si="3">IF($D$314-D6&lt;0,0,$D$314-D6)</f>
        <v>22.598327788339041</v>
      </c>
      <c r="F6" s="319">
        <f t="shared" ref="F6:F69" si="4">(C6*E6*G6)*$E$4</f>
        <v>3216150.6220470583</v>
      </c>
      <c r="G6" s="41">
        <f>'A) Base RI'!T8</f>
        <v>71</v>
      </c>
      <c r="H6" s="320">
        <f t="shared" ref="H6:H69" si="5">G6/$G$314</f>
        <v>1.0486096209672024</v>
      </c>
      <c r="I6" s="66">
        <f t="shared" ref="I6:I69" si="6">F6*H6</f>
        <v>3372486.4847581983</v>
      </c>
      <c r="J6" s="56"/>
      <c r="L6" s="124"/>
    </row>
    <row r="7" spans="1:12" x14ac:dyDescent="0.25">
      <c r="A7" s="57">
        <f>'A) Base RI'!A9</f>
        <v>5403</v>
      </c>
      <c r="B7" s="40" t="str">
        <f>'A) Base RI'!B9</f>
        <v>Chessel</v>
      </c>
      <c r="C7" s="109">
        <f>'A) Base RI'!U9</f>
        <v>395</v>
      </c>
      <c r="D7" s="126">
        <f>'D) Ecrêtage'!N7</f>
        <v>21.105967688207866</v>
      </c>
      <c r="E7" s="42">
        <f t="shared" si="3"/>
        <v>24.205001742008303</v>
      </c>
      <c r="F7" s="319">
        <f t="shared" si="4"/>
        <v>196191.22111967413</v>
      </c>
      <c r="G7" s="41">
        <f>'A) Base RI'!T9</f>
        <v>76</v>
      </c>
      <c r="H7" s="320">
        <f t="shared" si="5"/>
        <v>1.1224553689226391</v>
      </c>
      <c r="I7" s="66">
        <f t="shared" si="6"/>
        <v>220215.88948126687</v>
      </c>
      <c r="J7" s="56"/>
      <c r="L7" s="124"/>
    </row>
    <row r="8" spans="1:12" x14ac:dyDescent="0.25">
      <c r="A8" s="57">
        <f>'A) Base RI'!A10</f>
        <v>5404</v>
      </c>
      <c r="B8" s="40" t="str">
        <f>'A) Base RI'!B10</f>
        <v>Corbeyrier</v>
      </c>
      <c r="C8" s="109">
        <f>'A) Base RI'!U10</f>
        <v>440</v>
      </c>
      <c r="D8" s="126">
        <f>'D) Ecrêtage'!N8</f>
        <v>25.795055194805197</v>
      </c>
      <c r="E8" s="42">
        <f t="shared" si="3"/>
        <v>19.515914235410971</v>
      </c>
      <c r="F8" s="319">
        <f t="shared" si="4"/>
        <v>162294.34278167767</v>
      </c>
      <c r="G8" s="41">
        <f>'A) Base RI'!T10</f>
        <v>70</v>
      </c>
      <c r="H8" s="320">
        <f t="shared" si="5"/>
        <v>1.0338404713761149</v>
      </c>
      <c r="I8" s="66">
        <f t="shared" si="6"/>
        <v>167786.4598430864</v>
      </c>
    </row>
    <row r="9" spans="1:12" x14ac:dyDescent="0.25">
      <c r="A9" s="57">
        <f>'A) Base RI'!A11</f>
        <v>5405</v>
      </c>
      <c r="B9" s="40" t="str">
        <f>'A) Base RI'!B11</f>
        <v>Gryon</v>
      </c>
      <c r="C9" s="109">
        <f>'A) Base RI'!U11</f>
        <v>1342</v>
      </c>
      <c r="D9" s="126">
        <f>'D) Ecrêtage'!N9</f>
        <v>48.334539427057464</v>
      </c>
      <c r="E9" s="42">
        <f t="shared" si="3"/>
        <v>0</v>
      </c>
      <c r="F9" s="319">
        <f t="shared" si="4"/>
        <v>0</v>
      </c>
      <c r="G9" s="41">
        <f>'A) Base RI'!T11</f>
        <v>75</v>
      </c>
      <c r="H9" s="320">
        <f t="shared" si="5"/>
        <v>1.1076862193315518</v>
      </c>
      <c r="I9" s="66">
        <f t="shared" si="6"/>
        <v>0</v>
      </c>
    </row>
    <row r="10" spans="1:12" x14ac:dyDescent="0.25">
      <c r="A10" s="57">
        <f>'A) Base RI'!A12</f>
        <v>5406</v>
      </c>
      <c r="B10" s="40" t="str">
        <f>'A) Base RI'!B12</f>
        <v>Lavey-Morcles</v>
      </c>
      <c r="C10" s="109">
        <f>'A) Base RI'!U12</f>
        <v>922</v>
      </c>
      <c r="D10" s="126">
        <f>'D) Ecrêtage'!N10</f>
        <v>21.961916378967953</v>
      </c>
      <c r="E10" s="42">
        <f t="shared" si="3"/>
        <v>23.349053051248216</v>
      </c>
      <c r="F10" s="319">
        <f t="shared" si="4"/>
        <v>412688.44192701887</v>
      </c>
      <c r="G10" s="41">
        <f>'A) Base RI'!T12</f>
        <v>71</v>
      </c>
      <c r="H10" s="320">
        <f t="shared" si="5"/>
        <v>1.0486096209672024</v>
      </c>
      <c r="I10" s="66">
        <f t="shared" si="6"/>
        <v>432749.07066663657</v>
      </c>
    </row>
    <row r="11" spans="1:12" x14ac:dyDescent="0.25">
      <c r="A11" s="57">
        <f>'A) Base RI'!A13</f>
        <v>5407</v>
      </c>
      <c r="B11" s="40" t="str">
        <f>'A) Base RI'!B13</f>
        <v>Leysin</v>
      </c>
      <c r="C11" s="109">
        <f>'A) Base RI'!U13</f>
        <v>4088</v>
      </c>
      <c r="D11" s="126">
        <f>'D) Ecrêtage'!N11</f>
        <v>20.20816407622058</v>
      </c>
      <c r="E11" s="42">
        <f t="shared" si="3"/>
        <v>25.102805353995588</v>
      </c>
      <c r="F11" s="319">
        <f t="shared" si="4"/>
        <v>2161182.8501270413</v>
      </c>
      <c r="G11" s="41">
        <f>'A) Base RI'!T13</f>
        <v>78</v>
      </c>
      <c r="H11" s="320">
        <f t="shared" si="5"/>
        <v>1.1519936681048137</v>
      </c>
      <c r="I11" s="66">
        <f t="shared" si="6"/>
        <v>2489668.9589630663</v>
      </c>
    </row>
    <row r="12" spans="1:12" x14ac:dyDescent="0.25">
      <c r="A12" s="57">
        <f>'A) Base RI'!A14</f>
        <v>5408</v>
      </c>
      <c r="B12" s="40" t="str">
        <f>'A) Base RI'!B14</f>
        <v>Noville</v>
      </c>
      <c r="C12" s="109">
        <f>'A) Base RI'!U14</f>
        <v>1056</v>
      </c>
      <c r="D12" s="126">
        <f>'D) Ecrêtage'!N12</f>
        <v>31.647310927748826</v>
      </c>
      <c r="E12" s="42">
        <f t="shared" si="3"/>
        <v>13.663658502467342</v>
      </c>
      <c r="F12" s="319">
        <f t="shared" si="4"/>
        <v>305818.91150954389</v>
      </c>
      <c r="G12" s="41">
        <f>'A) Base RI'!T14</f>
        <v>78.5</v>
      </c>
      <c r="H12" s="320">
        <f t="shared" si="5"/>
        <v>1.1593782429003576</v>
      </c>
      <c r="I12" s="66">
        <f t="shared" si="6"/>
        <v>354559.79227163497</v>
      </c>
    </row>
    <row r="13" spans="1:12" x14ac:dyDescent="0.25">
      <c r="A13" s="57">
        <f>'A) Base RI'!A15</f>
        <v>5409</v>
      </c>
      <c r="B13" s="40" t="str">
        <f>'A) Base RI'!B15</f>
        <v>Ollon</v>
      </c>
      <c r="C13" s="109">
        <f>'A) Base RI'!U15</f>
        <v>7473</v>
      </c>
      <c r="D13" s="126">
        <f>'D) Ecrêtage'!N13</f>
        <v>48.980963385230567</v>
      </c>
      <c r="E13" s="42">
        <f t="shared" si="3"/>
        <v>0</v>
      </c>
      <c r="F13" s="319">
        <f t="shared" si="4"/>
        <v>0</v>
      </c>
      <c r="G13" s="41">
        <f>'A) Base RI'!T15</f>
        <v>68</v>
      </c>
      <c r="H13" s="320">
        <f t="shared" si="5"/>
        <v>1.0043021721939402</v>
      </c>
      <c r="I13" s="66">
        <f t="shared" si="6"/>
        <v>0</v>
      </c>
    </row>
    <row r="14" spans="1:12" x14ac:dyDescent="0.25">
      <c r="A14" s="57">
        <f>'A) Base RI'!A16</f>
        <v>5410</v>
      </c>
      <c r="B14" s="40" t="str">
        <f>'A) Base RI'!B16</f>
        <v>Ormont-Dessous</v>
      </c>
      <c r="C14" s="109">
        <f>'A) Base RI'!U16</f>
        <v>1105</v>
      </c>
      <c r="D14" s="126">
        <f>'D) Ecrêtage'!N14</f>
        <v>32.988425589147958</v>
      </c>
      <c r="E14" s="42">
        <f t="shared" si="3"/>
        <v>12.32254384106821</v>
      </c>
      <c r="F14" s="319">
        <f t="shared" si="4"/>
        <v>288599.82996614196</v>
      </c>
      <c r="G14" s="41">
        <f>'A) Base RI'!T16</f>
        <v>78.5</v>
      </c>
      <c r="H14" s="320">
        <f t="shared" si="5"/>
        <v>1.1593782429003576</v>
      </c>
      <c r="I14" s="66">
        <f t="shared" si="6"/>
        <v>334596.36376748764</v>
      </c>
    </row>
    <row r="15" spans="1:12" x14ac:dyDescent="0.25">
      <c r="A15" s="57">
        <f>'A) Base RI'!A17</f>
        <v>5411</v>
      </c>
      <c r="B15" s="40" t="str">
        <f>'A) Base RI'!B17</f>
        <v>Ormont-Dessus</v>
      </c>
      <c r="C15" s="109">
        <f>'A) Base RI'!U17</f>
        <v>1479</v>
      </c>
      <c r="D15" s="126">
        <f>'D) Ecrêtage'!N15</f>
        <v>50.066210188249528</v>
      </c>
      <c r="E15" s="42">
        <f t="shared" si="3"/>
        <v>0</v>
      </c>
      <c r="F15" s="319">
        <f t="shared" si="4"/>
        <v>0</v>
      </c>
      <c r="G15" s="41">
        <f>'A) Base RI'!T17</f>
        <v>76</v>
      </c>
      <c r="H15" s="320">
        <f t="shared" si="5"/>
        <v>1.1224553689226391</v>
      </c>
      <c r="I15" s="66">
        <f t="shared" si="6"/>
        <v>0</v>
      </c>
    </row>
    <row r="16" spans="1:12" x14ac:dyDescent="0.25">
      <c r="A16" s="57">
        <f>'A) Base RI'!A18</f>
        <v>5412</v>
      </c>
      <c r="B16" s="40" t="str">
        <f>'A) Base RI'!B18</f>
        <v>Rennaz</v>
      </c>
      <c r="C16" s="109">
        <f>'A) Base RI'!U18</f>
        <v>843</v>
      </c>
      <c r="D16" s="126">
        <f>'D) Ecrêtage'!N16</f>
        <v>31.108218443829362</v>
      </c>
      <c r="E16" s="42">
        <f t="shared" si="3"/>
        <v>14.202750986386807</v>
      </c>
      <c r="F16" s="319">
        <f t="shared" si="4"/>
        <v>218206.45026077633</v>
      </c>
      <c r="G16" s="41">
        <f>'A) Base RI'!T18</f>
        <v>67.5</v>
      </c>
      <c r="H16" s="320">
        <f t="shared" si="5"/>
        <v>0.99691759739839658</v>
      </c>
      <c r="I16" s="66">
        <f t="shared" si="6"/>
        <v>217533.85013080586</v>
      </c>
    </row>
    <row r="17" spans="1:9" x14ac:dyDescent="0.25">
      <c r="A17" s="57">
        <f>'A) Base RI'!A19</f>
        <v>5413</v>
      </c>
      <c r="B17" s="40" t="str">
        <f>'A) Base RI'!B19</f>
        <v>Roche</v>
      </c>
      <c r="C17" s="109">
        <f>'A) Base RI'!U19</f>
        <v>1597</v>
      </c>
      <c r="D17" s="126">
        <f>'D) Ecrêtage'!N17</f>
        <v>24.373342756639289</v>
      </c>
      <c r="E17" s="42">
        <f t="shared" si="3"/>
        <v>20.937626673576879</v>
      </c>
      <c r="F17" s="319">
        <f t="shared" si="4"/>
        <v>613910.47668581398</v>
      </c>
      <c r="G17" s="41">
        <f>'A) Base RI'!T19</f>
        <v>68</v>
      </c>
      <c r="H17" s="320">
        <f t="shared" si="5"/>
        <v>1.0043021721939402</v>
      </c>
      <c r="I17" s="66">
        <f t="shared" si="6"/>
        <v>616551.62526818027</v>
      </c>
    </row>
    <row r="18" spans="1:9" x14ac:dyDescent="0.25">
      <c r="A18" s="57">
        <f>'A) Base RI'!A20</f>
        <v>5414</v>
      </c>
      <c r="B18" s="40" t="str">
        <f>'A) Base RI'!B20</f>
        <v>Villeneuve</v>
      </c>
      <c r="C18" s="109">
        <f>'A) Base RI'!U20</f>
        <v>5457</v>
      </c>
      <c r="D18" s="126">
        <f>'D) Ecrêtage'!N18</f>
        <v>29.29512026834302</v>
      </c>
      <c r="E18" s="42">
        <f t="shared" si="3"/>
        <v>16.015849161873149</v>
      </c>
      <c r="F18" s="319">
        <f t="shared" si="4"/>
        <v>1628233.8477662473</v>
      </c>
      <c r="G18" s="41">
        <f>'A) Base RI'!T20</f>
        <v>69</v>
      </c>
      <c r="H18" s="320">
        <f t="shared" si="5"/>
        <v>1.0190713217850276</v>
      </c>
      <c r="I18" s="66">
        <f t="shared" si="6"/>
        <v>1659286.4194182709</v>
      </c>
    </row>
    <row r="19" spans="1:9" x14ac:dyDescent="0.25">
      <c r="A19" s="57">
        <f>'A) Base RI'!A21</f>
        <v>5415</v>
      </c>
      <c r="B19" s="40" t="str">
        <f>'A) Base RI'!B21</f>
        <v>Yvorne</v>
      </c>
      <c r="C19" s="109">
        <f>'A) Base RI'!U21</f>
        <v>1061</v>
      </c>
      <c r="D19" s="126">
        <f>'D) Ecrêtage'!N19</f>
        <v>33.672709214783829</v>
      </c>
      <c r="E19" s="42">
        <f t="shared" si="3"/>
        <v>11.638260215432339</v>
      </c>
      <c r="F19" s="319">
        <f t="shared" si="4"/>
        <v>228379.84966817082</v>
      </c>
      <c r="G19" s="41">
        <f>'A) Base RI'!T21</f>
        <v>68.5</v>
      </c>
      <c r="H19" s="320">
        <f t="shared" si="5"/>
        <v>1.0116867469894839</v>
      </c>
      <c r="I19" s="66">
        <f t="shared" si="6"/>
        <v>231048.8671887391</v>
      </c>
    </row>
    <row r="20" spans="1:9" x14ac:dyDescent="0.25">
      <c r="A20" s="57">
        <f>'A) Base RI'!A22</f>
        <v>5421</v>
      </c>
      <c r="B20" s="40" t="str">
        <f>'A) Base RI'!B22</f>
        <v>Apples</v>
      </c>
      <c r="C20" s="109">
        <f>'A) Base RI'!U22</f>
        <v>1412</v>
      </c>
      <c r="D20" s="126">
        <f>'D) Ecrêtage'!N20</f>
        <v>41.788642649470702</v>
      </c>
      <c r="E20" s="42">
        <f t="shared" si="3"/>
        <v>3.5223267807454661</v>
      </c>
      <c r="F20" s="319">
        <f t="shared" si="4"/>
        <v>102056.74150374653</v>
      </c>
      <c r="G20" s="41">
        <f>'A) Base RI'!T22</f>
        <v>76</v>
      </c>
      <c r="H20" s="320">
        <f t="shared" si="5"/>
        <v>1.1224553689226391</v>
      </c>
      <c r="I20" s="66">
        <f t="shared" si="6"/>
        <v>114554.13743563021</v>
      </c>
    </row>
    <row r="21" spans="1:9" x14ac:dyDescent="0.25">
      <c r="A21" s="57">
        <f>'A) Base RI'!A23</f>
        <v>5422</v>
      </c>
      <c r="B21" s="40" t="str">
        <f>'A) Base RI'!B23</f>
        <v>Aubonne</v>
      </c>
      <c r="C21" s="109">
        <f>'A) Base RI'!U23</f>
        <v>3272</v>
      </c>
      <c r="D21" s="126">
        <f>'D) Ecrêtage'!N21</f>
        <v>64.946262371227874</v>
      </c>
      <c r="E21" s="42">
        <f t="shared" si="3"/>
        <v>0</v>
      </c>
      <c r="F21" s="319">
        <f t="shared" si="4"/>
        <v>0</v>
      </c>
      <c r="G21" s="41">
        <f>'A) Base RI'!T23</f>
        <v>68</v>
      </c>
      <c r="H21" s="320">
        <f t="shared" si="5"/>
        <v>1.0043021721939402</v>
      </c>
      <c r="I21" s="66">
        <f t="shared" si="6"/>
        <v>0</v>
      </c>
    </row>
    <row r="22" spans="1:9" x14ac:dyDescent="0.25">
      <c r="A22" s="57">
        <f>'A) Base RI'!A24</f>
        <v>5423</v>
      </c>
      <c r="B22" s="40" t="str">
        <f>'A) Base RI'!B24</f>
        <v>Ballens</v>
      </c>
      <c r="C22" s="109">
        <f>'A) Base RI'!U24</f>
        <v>508</v>
      </c>
      <c r="D22" s="126">
        <f>'D) Ecrêtage'!N22</f>
        <v>30.232392445509529</v>
      </c>
      <c r="E22" s="42">
        <f t="shared" si="3"/>
        <v>15.07857698470664</v>
      </c>
      <c r="F22" s="319">
        <f t="shared" si="4"/>
        <v>142704.25572634302</v>
      </c>
      <c r="G22" s="41">
        <f>'A) Base RI'!T24</f>
        <v>69</v>
      </c>
      <c r="H22" s="320">
        <f t="shared" si="5"/>
        <v>1.0190713217850276</v>
      </c>
      <c r="I22" s="66">
        <f t="shared" si="6"/>
        <v>145425.81450739296</v>
      </c>
    </row>
    <row r="23" spans="1:9" x14ac:dyDescent="0.25">
      <c r="A23" s="57">
        <f>'A) Base RI'!A25</f>
        <v>5424</v>
      </c>
      <c r="B23" s="40" t="str">
        <f>'A) Base RI'!B25</f>
        <v>Berolle</v>
      </c>
      <c r="C23" s="109">
        <f>'A) Base RI'!U25</f>
        <v>301</v>
      </c>
      <c r="D23" s="126">
        <f>'D) Ecrêtage'!N23</f>
        <v>30.093830090175604</v>
      </c>
      <c r="E23" s="42">
        <f t="shared" si="3"/>
        <v>15.217139340040564</v>
      </c>
      <c r="F23" s="319">
        <f t="shared" si="4"/>
        <v>95225.662390712445</v>
      </c>
      <c r="G23" s="41">
        <f>'A) Base RI'!T25</f>
        <v>77</v>
      </c>
      <c r="H23" s="320">
        <f t="shared" si="5"/>
        <v>1.1372245185137264</v>
      </c>
      <c r="I23" s="66">
        <f t="shared" si="6"/>
        <v>108292.95806242863</v>
      </c>
    </row>
    <row r="24" spans="1:9" x14ac:dyDescent="0.25">
      <c r="A24" s="57">
        <f>'A) Base RI'!A26</f>
        <v>5425</v>
      </c>
      <c r="B24" s="40" t="str">
        <f>'A) Base RI'!B26</f>
        <v>Bière</v>
      </c>
      <c r="C24" s="109">
        <f>'A) Base RI'!U26</f>
        <v>1546</v>
      </c>
      <c r="D24" s="126">
        <f>'D) Ecrêtage'!N24</f>
        <v>25.493558519138574</v>
      </c>
      <c r="E24" s="42">
        <f t="shared" si="3"/>
        <v>19.817410911077594</v>
      </c>
      <c r="F24" s="319">
        <f t="shared" si="4"/>
        <v>562508.48905013665</v>
      </c>
      <c r="G24" s="41">
        <f>'A) Base RI'!T26</f>
        <v>68</v>
      </c>
      <c r="H24" s="320">
        <f t="shared" si="5"/>
        <v>1.0043021721939402</v>
      </c>
      <c r="I24" s="66">
        <f t="shared" si="6"/>
        <v>564928.49743058346</v>
      </c>
    </row>
    <row r="25" spans="1:9" x14ac:dyDescent="0.25">
      <c r="A25" s="57">
        <f>'A) Base RI'!A27</f>
        <v>5426</v>
      </c>
      <c r="B25" s="40" t="str">
        <f>'A) Base RI'!B27</f>
        <v>Bougy-Villars</v>
      </c>
      <c r="C25" s="109">
        <f>'A) Base RI'!U27</f>
        <v>467</v>
      </c>
      <c r="D25" s="126">
        <f>'D) Ecrêtage'!N25</f>
        <v>83.746882167807556</v>
      </c>
      <c r="E25" s="42">
        <f t="shared" si="3"/>
        <v>0</v>
      </c>
      <c r="F25" s="319">
        <f t="shared" si="4"/>
        <v>0</v>
      </c>
      <c r="G25" s="41">
        <f>'A) Base RI'!T27</f>
        <v>62</v>
      </c>
      <c r="H25" s="320">
        <f t="shared" si="5"/>
        <v>0.91568727464741617</v>
      </c>
      <c r="I25" s="66">
        <f t="shared" si="6"/>
        <v>0</v>
      </c>
    </row>
    <row r="26" spans="1:9" x14ac:dyDescent="0.25">
      <c r="A26" s="57">
        <f>'A) Base RI'!A28</f>
        <v>5427</v>
      </c>
      <c r="B26" s="40" t="str">
        <f>'A) Base RI'!B28</f>
        <v>Féchy</v>
      </c>
      <c r="C26" s="109">
        <f>'A) Base RI'!U28</f>
        <v>887</v>
      </c>
      <c r="D26" s="126">
        <f>'D) Ecrêtage'!N26</f>
        <v>73.273631230856196</v>
      </c>
      <c r="E26" s="42">
        <f t="shared" si="3"/>
        <v>0</v>
      </c>
      <c r="F26" s="319">
        <f t="shared" si="4"/>
        <v>0</v>
      </c>
      <c r="G26" s="41">
        <f>'A) Base RI'!T28</f>
        <v>64</v>
      </c>
      <c r="H26" s="320">
        <f t="shared" si="5"/>
        <v>0.94522557382959083</v>
      </c>
      <c r="I26" s="66">
        <f t="shared" si="6"/>
        <v>0</v>
      </c>
    </row>
    <row r="27" spans="1:9" x14ac:dyDescent="0.25">
      <c r="A27" s="57">
        <f>'A) Base RI'!A29</f>
        <v>5428</v>
      </c>
      <c r="B27" s="40" t="str">
        <f>'A) Base RI'!B29</f>
        <v>Gimel</v>
      </c>
      <c r="C27" s="109">
        <f>'A) Base RI'!U29</f>
        <v>1948</v>
      </c>
      <c r="D27" s="126">
        <f>'D) Ecrêtage'!N27</f>
        <v>29.776500373343286</v>
      </c>
      <c r="E27" s="42">
        <f t="shared" si="3"/>
        <v>15.534469056872883</v>
      </c>
      <c r="F27" s="319">
        <f t="shared" si="4"/>
        <v>584191.41817842959</v>
      </c>
      <c r="G27" s="41">
        <f>'A) Base RI'!T29</f>
        <v>71.5</v>
      </c>
      <c r="H27" s="320">
        <f t="shared" si="5"/>
        <v>1.0559941957627461</v>
      </c>
      <c r="I27" s="66">
        <f t="shared" si="6"/>
        <v>616902.7468108288</v>
      </c>
    </row>
    <row r="28" spans="1:9" x14ac:dyDescent="0.25">
      <c r="A28" s="57">
        <f>'A) Base RI'!A30</f>
        <v>5429</v>
      </c>
      <c r="B28" s="40" t="str">
        <f>'A) Base RI'!B30</f>
        <v>Longirod</v>
      </c>
      <c r="C28" s="109">
        <f>'A) Base RI'!U30</f>
        <v>460</v>
      </c>
      <c r="D28" s="126">
        <f>'D) Ecrêtage'!N28</f>
        <v>26.459455448201822</v>
      </c>
      <c r="E28" s="42">
        <f t="shared" si="3"/>
        <v>18.851513982014346</v>
      </c>
      <c r="F28" s="319">
        <f t="shared" si="4"/>
        <v>189650.00096186076</v>
      </c>
      <c r="G28" s="41">
        <f>'A) Base RI'!T30</f>
        <v>81</v>
      </c>
      <c r="H28" s="320">
        <f t="shared" si="5"/>
        <v>1.1963011168780759</v>
      </c>
      <c r="I28" s="66">
        <f t="shared" si="6"/>
        <v>226878.50796660219</v>
      </c>
    </row>
    <row r="29" spans="1:9" x14ac:dyDescent="0.25">
      <c r="A29" s="57">
        <f>'A) Base RI'!A31</f>
        <v>5430</v>
      </c>
      <c r="B29" s="40" t="str">
        <f>'A) Base RI'!B31</f>
        <v>Marchissy</v>
      </c>
      <c r="C29" s="109">
        <f>'A) Base RI'!U31</f>
        <v>430</v>
      </c>
      <c r="D29" s="126">
        <f>'D) Ecrêtage'!N29</f>
        <v>24.588756255519574</v>
      </c>
      <c r="E29" s="42">
        <f t="shared" si="3"/>
        <v>20.722213174696595</v>
      </c>
      <c r="F29" s="319">
        <f t="shared" si="4"/>
        <v>190062.0670169997</v>
      </c>
      <c r="G29" s="41">
        <f>'A) Base RI'!T31</f>
        <v>79</v>
      </c>
      <c r="H29" s="320">
        <f t="shared" si="5"/>
        <v>1.1667628176959013</v>
      </c>
      <c r="I29" s="66">
        <f t="shared" si="6"/>
        <v>221757.35284986181</v>
      </c>
    </row>
    <row r="30" spans="1:9" x14ac:dyDescent="0.25">
      <c r="A30" s="57">
        <f>'A) Base RI'!A32</f>
        <v>5431</v>
      </c>
      <c r="B30" s="40" t="str">
        <f>'A) Base RI'!B32</f>
        <v>Mollens</v>
      </c>
      <c r="C30" s="109">
        <f>'A) Base RI'!U32</f>
        <v>295</v>
      </c>
      <c r="D30" s="126">
        <f>'D) Ecrêtage'!N30</f>
        <v>37.986546037562988</v>
      </c>
      <c r="E30" s="42">
        <f t="shared" si="3"/>
        <v>7.3244233926531805</v>
      </c>
      <c r="F30" s="319">
        <f t="shared" si="4"/>
        <v>43170.883918637104</v>
      </c>
      <c r="G30" s="41">
        <f>'A) Base RI'!T32</f>
        <v>74</v>
      </c>
      <c r="H30" s="320">
        <f t="shared" si="5"/>
        <v>1.0929170697404644</v>
      </c>
      <c r="I30" s="66">
        <f t="shared" si="6"/>
        <v>47182.195950462599</v>
      </c>
    </row>
    <row r="31" spans="1:9" x14ac:dyDescent="0.25">
      <c r="A31" s="57">
        <f>'A) Base RI'!A33</f>
        <v>5432</v>
      </c>
      <c r="B31" s="40" t="str">
        <f>'A) Base RI'!B33</f>
        <v>Montherod</v>
      </c>
      <c r="C31" s="109">
        <f>'A) Base RI'!U33</f>
        <v>522</v>
      </c>
      <c r="D31" s="126">
        <f>'D) Ecrêtage'!N31</f>
        <v>33.956741821396996</v>
      </c>
      <c r="E31" s="42">
        <f t="shared" si="3"/>
        <v>11.354227608819173</v>
      </c>
      <c r="F31" s="319">
        <f t="shared" si="4"/>
        <v>124820.657456584</v>
      </c>
      <c r="G31" s="41">
        <f>'A) Base RI'!T33</f>
        <v>78</v>
      </c>
      <c r="H31" s="320">
        <f t="shared" si="5"/>
        <v>1.1519936681048137</v>
      </c>
      <c r="I31" s="66">
        <f t="shared" si="6"/>
        <v>143792.60703866466</v>
      </c>
    </row>
    <row r="32" spans="1:9" x14ac:dyDescent="0.25">
      <c r="A32" s="57">
        <f>'A) Base RI'!A34</f>
        <v>5434</v>
      </c>
      <c r="B32" s="40" t="str">
        <f>'A) Base RI'!B34</f>
        <v>Saint-George</v>
      </c>
      <c r="C32" s="109">
        <f>'A) Base RI'!U34</f>
        <v>991</v>
      </c>
      <c r="D32" s="126">
        <f>'D) Ecrêtage'!N32</f>
        <v>36.221726634601922</v>
      </c>
      <c r="E32" s="42">
        <f t="shared" si="3"/>
        <v>9.089242795614247</v>
      </c>
      <c r="F32" s="319">
        <f t="shared" si="4"/>
        <v>166592.59559534153</v>
      </c>
      <c r="G32" s="41">
        <f>'A) Base RI'!T34</f>
        <v>68.5</v>
      </c>
      <c r="H32" s="320">
        <f t="shared" si="5"/>
        <v>1.0116867469894839</v>
      </c>
      <c r="I32" s="66">
        <f t="shared" si="6"/>
        <v>168539.52111038569</v>
      </c>
    </row>
    <row r="33" spans="1:9" x14ac:dyDescent="0.25">
      <c r="A33" s="57">
        <f>'A) Base RI'!A35</f>
        <v>5435</v>
      </c>
      <c r="B33" s="40" t="str">
        <f>'A) Base RI'!B35</f>
        <v>Saint-Livres</v>
      </c>
      <c r="C33" s="109">
        <f>'A) Base RI'!U35</f>
        <v>689</v>
      </c>
      <c r="D33" s="126">
        <f>'D) Ecrêtage'!N33</f>
        <v>32.508170631665301</v>
      </c>
      <c r="E33" s="42">
        <f t="shared" si="3"/>
        <v>12.802798798550867</v>
      </c>
      <c r="F33" s="319">
        <f t="shared" si="4"/>
        <v>164337.62157411483</v>
      </c>
      <c r="G33" s="41">
        <f>'A) Base RI'!T35</f>
        <v>69</v>
      </c>
      <c r="H33" s="320">
        <f t="shared" si="5"/>
        <v>1.0190713217850276</v>
      </c>
      <c r="I33" s="66">
        <f t="shared" si="6"/>
        <v>167471.75723654087</v>
      </c>
    </row>
    <row r="34" spans="1:9" x14ac:dyDescent="0.25">
      <c r="A34" s="57">
        <f>'A) Base RI'!A36</f>
        <v>5436</v>
      </c>
      <c r="B34" s="40" t="str">
        <f>'A) Base RI'!B36</f>
        <v>Saint-Oyens</v>
      </c>
      <c r="C34" s="109">
        <f>'A) Base RI'!U36</f>
        <v>350</v>
      </c>
      <c r="D34" s="126">
        <f>'D) Ecrêtage'!N34</f>
        <v>29.927442328042329</v>
      </c>
      <c r="E34" s="42">
        <f t="shared" si="3"/>
        <v>15.38352710217384</v>
      </c>
      <c r="F34" s="319">
        <f t="shared" si="4"/>
        <v>117753.20820358967</v>
      </c>
      <c r="G34" s="41">
        <f>'A) Base RI'!T36</f>
        <v>81</v>
      </c>
      <c r="H34" s="320">
        <f t="shared" si="5"/>
        <v>1.1963011168780759</v>
      </c>
      <c r="I34" s="66">
        <f t="shared" si="6"/>
        <v>140868.29448993094</v>
      </c>
    </row>
    <row r="35" spans="1:9" x14ac:dyDescent="0.25">
      <c r="A35" s="57">
        <f>'A) Base RI'!A37</f>
        <v>5437</v>
      </c>
      <c r="B35" s="40" t="str">
        <f>'A) Base RI'!B37</f>
        <v>Saubraz</v>
      </c>
      <c r="C35" s="109">
        <f>'A) Base RI'!U37</f>
        <v>420</v>
      </c>
      <c r="D35" s="126">
        <f>'D) Ecrêtage'!N35</f>
        <v>24.139983630952383</v>
      </c>
      <c r="E35" s="42">
        <f t="shared" si="3"/>
        <v>21.170985799263786</v>
      </c>
      <c r="F35" s="319">
        <f t="shared" si="4"/>
        <v>192063.18317092108</v>
      </c>
      <c r="G35" s="41">
        <f>'A) Base RI'!T37</f>
        <v>80</v>
      </c>
      <c r="H35" s="320">
        <f t="shared" si="5"/>
        <v>1.1815319672869886</v>
      </c>
      <c r="I35" s="66">
        <f t="shared" si="6"/>
        <v>226928.79065533963</v>
      </c>
    </row>
    <row r="36" spans="1:9" x14ac:dyDescent="0.25">
      <c r="A36" s="57">
        <f>'A) Base RI'!A38</f>
        <v>5451</v>
      </c>
      <c r="B36" s="40" t="str">
        <f>'A) Base RI'!B38</f>
        <v>Avenches</v>
      </c>
      <c r="C36" s="109">
        <f>'A) Base RI'!U38</f>
        <v>4129</v>
      </c>
      <c r="D36" s="126">
        <f>'D) Ecrêtage'!N36</f>
        <v>26.448976464889661</v>
      </c>
      <c r="E36" s="42">
        <f t="shared" si="3"/>
        <v>18.861992965326507</v>
      </c>
      <c r="F36" s="319">
        <f t="shared" si="4"/>
        <v>1429898.2619923768</v>
      </c>
      <c r="G36" s="41">
        <f>'A) Base RI'!T38</f>
        <v>68</v>
      </c>
      <c r="H36" s="320">
        <f t="shared" si="5"/>
        <v>1.0043021721939402</v>
      </c>
      <c r="I36" s="66">
        <f t="shared" si="6"/>
        <v>1436049.9305352839</v>
      </c>
    </row>
    <row r="37" spans="1:9" x14ac:dyDescent="0.25">
      <c r="A37" s="57">
        <f>'A) Base RI'!A39</f>
        <v>5456</v>
      </c>
      <c r="B37" s="40" t="str">
        <f>'A) Base RI'!B39</f>
        <v>Cudrefin</v>
      </c>
      <c r="C37" s="109">
        <f>'A) Base RI'!U39</f>
        <v>1555</v>
      </c>
      <c r="D37" s="126">
        <f>'D) Ecrêtage'!N37</f>
        <v>33.037825494577369</v>
      </c>
      <c r="E37" s="42">
        <f t="shared" si="3"/>
        <v>12.273143935638799</v>
      </c>
      <c r="F37" s="319">
        <f t="shared" si="4"/>
        <v>304019.88940129912</v>
      </c>
      <c r="G37" s="41">
        <f>'A) Base RI'!T39</f>
        <v>59</v>
      </c>
      <c r="H37" s="320">
        <f t="shared" si="5"/>
        <v>0.87137982587415408</v>
      </c>
      <c r="I37" s="66">
        <f t="shared" si="6"/>
        <v>264916.79828878358</v>
      </c>
    </row>
    <row r="38" spans="1:9" x14ac:dyDescent="0.25">
      <c r="A38" s="57">
        <f>'A) Base RI'!A40</f>
        <v>5458</v>
      </c>
      <c r="B38" s="40" t="str">
        <f>'A) Base RI'!B40</f>
        <v>Faoug</v>
      </c>
      <c r="C38" s="109">
        <f>'A) Base RI'!U40</f>
        <v>870</v>
      </c>
      <c r="D38" s="126">
        <f>'D) Ecrêtage'!N38</f>
        <v>36.427693067528736</v>
      </c>
      <c r="E38" s="42">
        <f t="shared" si="3"/>
        <v>8.8832763626874325</v>
      </c>
      <c r="F38" s="319">
        <f t="shared" si="4"/>
        <v>133547.6235260978</v>
      </c>
      <c r="G38" s="41">
        <f>'A) Base RI'!T40</f>
        <v>64</v>
      </c>
      <c r="H38" s="320">
        <f t="shared" si="5"/>
        <v>0.94522557382959083</v>
      </c>
      <c r="I38" s="66">
        <f t="shared" si="6"/>
        <v>126232.62908103396</v>
      </c>
    </row>
    <row r="39" spans="1:9" x14ac:dyDescent="0.25">
      <c r="A39" s="57">
        <f>'A) Base RI'!A41</f>
        <v>5464</v>
      </c>
      <c r="B39" s="40" t="str">
        <f>'A) Base RI'!B41</f>
        <v>Vully-les-Lacs</v>
      </c>
      <c r="C39" s="109">
        <f>'A) Base RI'!U41</f>
        <v>2935</v>
      </c>
      <c r="D39" s="126">
        <f>'D) Ecrêtage'!N39</f>
        <v>32.814441268953352</v>
      </c>
      <c r="E39" s="42">
        <f t="shared" si="3"/>
        <v>12.496528161262816</v>
      </c>
      <c r="F39" s="319">
        <f t="shared" si="4"/>
        <v>663492.54067331215</v>
      </c>
      <c r="G39" s="41">
        <f>'A) Base RI'!T41</f>
        <v>67</v>
      </c>
      <c r="H39" s="320">
        <f t="shared" si="5"/>
        <v>0.98953302260285292</v>
      </c>
      <c r="I39" s="66">
        <f t="shared" si="6"/>
        <v>656547.77924690885</v>
      </c>
    </row>
    <row r="40" spans="1:9" x14ac:dyDescent="0.25">
      <c r="A40" s="57">
        <f>'A) Base RI'!A42</f>
        <v>5471</v>
      </c>
      <c r="B40" s="40" t="str">
        <f>'A) Base RI'!B42</f>
        <v>Bettens</v>
      </c>
      <c r="C40" s="109">
        <f>'A) Base RI'!U42</f>
        <v>584</v>
      </c>
      <c r="D40" s="126">
        <f>'D) Ecrêtage'!N40</f>
        <v>28.166244156338333</v>
      </c>
      <c r="E40" s="42">
        <f t="shared" si="3"/>
        <v>17.144725273877835</v>
      </c>
      <c r="F40" s="319">
        <f t="shared" si="4"/>
        <v>189236.61968295401</v>
      </c>
      <c r="G40" s="41">
        <f>'A) Base RI'!T42</f>
        <v>70</v>
      </c>
      <c r="H40" s="320">
        <f t="shared" si="5"/>
        <v>1.0338404713761149</v>
      </c>
      <c r="I40" s="66">
        <f t="shared" si="6"/>
        <v>195640.47609464775</v>
      </c>
    </row>
    <row r="41" spans="1:9" x14ac:dyDescent="0.25">
      <c r="A41" s="57">
        <f>'A) Base RI'!A43</f>
        <v>5472</v>
      </c>
      <c r="B41" s="40" t="str">
        <f>'A) Base RI'!B43</f>
        <v>Bournens</v>
      </c>
      <c r="C41" s="109">
        <f>'A) Base RI'!U43</f>
        <v>370</v>
      </c>
      <c r="D41" s="126">
        <f>'D) Ecrêtage'!N41</f>
        <v>38.356219256756752</v>
      </c>
      <c r="E41" s="42">
        <f t="shared" si="3"/>
        <v>6.9547501734594164</v>
      </c>
      <c r="F41" s="319">
        <f t="shared" si="4"/>
        <v>55582.36338628766</v>
      </c>
      <c r="G41" s="41">
        <f>'A) Base RI'!T43</f>
        <v>80</v>
      </c>
      <c r="H41" s="320">
        <f t="shared" si="5"/>
        <v>1.1815319672869886</v>
      </c>
      <c r="I41" s="66">
        <f t="shared" si="6"/>
        <v>65672.339158260744</v>
      </c>
    </row>
    <row r="42" spans="1:9" x14ac:dyDescent="0.25">
      <c r="A42" s="57">
        <f>'A) Base RI'!A44</f>
        <v>5473</v>
      </c>
      <c r="B42" s="40" t="str">
        <f>'A) Base RI'!B44</f>
        <v>Boussens</v>
      </c>
      <c r="C42" s="109">
        <f>'A) Base RI'!U44</f>
        <v>980</v>
      </c>
      <c r="D42" s="126">
        <f>'D) Ecrêtage'!N42</f>
        <v>33.425564182194613</v>
      </c>
      <c r="E42" s="42">
        <f t="shared" si="3"/>
        <v>11.885405248021556</v>
      </c>
      <c r="F42" s="319">
        <f t="shared" si="4"/>
        <v>216996.59777522879</v>
      </c>
      <c r="G42" s="41">
        <f>'A) Base RI'!T44</f>
        <v>69</v>
      </c>
      <c r="H42" s="320">
        <f t="shared" si="5"/>
        <v>1.0190713217850276</v>
      </c>
      <c r="I42" s="66">
        <f t="shared" si="6"/>
        <v>221135.00971765639</v>
      </c>
    </row>
    <row r="43" spans="1:9" x14ac:dyDescent="0.25">
      <c r="A43" s="57">
        <f>'A) Base RI'!A45</f>
        <v>5474</v>
      </c>
      <c r="B43" s="40" t="str">
        <f>'A) Base RI'!B45</f>
        <v>La Chaux (Cossonay)</v>
      </c>
      <c r="C43" s="109">
        <f>'A) Base RI'!U45</f>
        <v>421</v>
      </c>
      <c r="D43" s="126">
        <f>'D) Ecrêtage'!N43</f>
        <v>30.700377322598221</v>
      </c>
      <c r="E43" s="42">
        <f t="shared" si="3"/>
        <v>14.610592107617947</v>
      </c>
      <c r="F43" s="319">
        <f t="shared" si="4"/>
        <v>127880.52237521578</v>
      </c>
      <c r="G43" s="41">
        <f>'A) Base RI'!T45</f>
        <v>77</v>
      </c>
      <c r="H43" s="320">
        <f t="shared" si="5"/>
        <v>1.1372245185137264</v>
      </c>
      <c r="I43" s="66">
        <f t="shared" si="6"/>
        <v>145428.86548543858</v>
      </c>
    </row>
    <row r="44" spans="1:9" x14ac:dyDescent="0.25">
      <c r="A44" s="57">
        <f>'A) Base RI'!A46</f>
        <v>5475</v>
      </c>
      <c r="B44" s="40" t="str">
        <f>'A) Base RI'!B46</f>
        <v>Chavannes-le-Veyron</v>
      </c>
      <c r="C44" s="109">
        <f>'A) Base RI'!U46</f>
        <v>143</v>
      </c>
      <c r="D44" s="126">
        <f>'D) Ecrêtage'!N44</f>
        <v>18.690870947234583</v>
      </c>
      <c r="E44" s="42">
        <f t="shared" si="3"/>
        <v>26.620098482981586</v>
      </c>
      <c r="F44" s="319">
        <f t="shared" si="4"/>
        <v>79140.754186949765</v>
      </c>
      <c r="G44" s="41">
        <f>'A) Base RI'!T46</f>
        <v>77</v>
      </c>
      <c r="H44" s="320">
        <f t="shared" si="5"/>
        <v>1.1372245185137264</v>
      </c>
      <c r="I44" s="66">
        <f t="shared" si="6"/>
        <v>90000.806075067128</v>
      </c>
    </row>
    <row r="45" spans="1:9" x14ac:dyDescent="0.25">
      <c r="A45" s="57">
        <f>'A) Base RI'!A47</f>
        <v>5476</v>
      </c>
      <c r="B45" s="40" t="str">
        <f>'A) Base RI'!B47</f>
        <v>Chevilly</v>
      </c>
      <c r="C45" s="109">
        <f>'A) Base RI'!U47</f>
        <v>299</v>
      </c>
      <c r="D45" s="126">
        <f>'D) Ecrêtage'!N45</f>
        <v>34.274087498870109</v>
      </c>
      <c r="E45" s="42">
        <f t="shared" si="3"/>
        <v>11.036881931346059</v>
      </c>
      <c r="F45" s="319">
        <f t="shared" si="4"/>
        <v>65934.553395499985</v>
      </c>
      <c r="G45" s="41">
        <f>'A) Base RI'!T47</f>
        <v>74</v>
      </c>
      <c r="H45" s="320">
        <f t="shared" si="5"/>
        <v>1.0929170697404644</v>
      </c>
      <c r="I45" s="66">
        <f t="shared" si="6"/>
        <v>72060.99889165604</v>
      </c>
    </row>
    <row r="46" spans="1:9" x14ac:dyDescent="0.25">
      <c r="A46" s="57">
        <f>'A) Base RI'!A48</f>
        <v>5477</v>
      </c>
      <c r="B46" s="40" t="str">
        <f>'A) Base RI'!B48</f>
        <v>Cossonay</v>
      </c>
      <c r="C46" s="109">
        <f>'A) Base RI'!U48</f>
        <v>3632</v>
      </c>
      <c r="D46" s="126">
        <f>'D) Ecrêtage'!N46</f>
        <v>34.674307621526786</v>
      </c>
      <c r="E46" s="42">
        <f t="shared" si="3"/>
        <v>10.636661808689382</v>
      </c>
      <c r="F46" s="319">
        <f t="shared" si="4"/>
        <v>722850.00729986967</v>
      </c>
      <c r="G46" s="41">
        <f>'A) Base RI'!T48</f>
        <v>69.3</v>
      </c>
      <c r="H46" s="320">
        <f t="shared" si="5"/>
        <v>1.0235020666623538</v>
      </c>
      <c r="I46" s="66">
        <f t="shared" si="6"/>
        <v>739838.47635831416</v>
      </c>
    </row>
    <row r="47" spans="1:9" x14ac:dyDescent="0.25">
      <c r="A47" s="57">
        <f>'A) Base RI'!A49</f>
        <v>5478</v>
      </c>
      <c r="B47" s="40" t="str">
        <f>'A) Base RI'!B49</f>
        <v>Cottens</v>
      </c>
      <c r="C47" s="109">
        <f>'A) Base RI'!U49</f>
        <v>483</v>
      </c>
      <c r="D47" s="126">
        <f>'D) Ecrêtage'!N47</f>
        <v>29.948897935202282</v>
      </c>
      <c r="E47" s="42">
        <f t="shared" si="3"/>
        <v>15.362071495013886</v>
      </c>
      <c r="F47" s="319">
        <f t="shared" si="4"/>
        <v>148249.21303119231</v>
      </c>
      <c r="G47" s="41">
        <f>'A) Base RI'!T49</f>
        <v>74</v>
      </c>
      <c r="H47" s="320">
        <f t="shared" si="5"/>
        <v>1.0929170697404644</v>
      </c>
      <c r="I47" s="66">
        <f t="shared" si="6"/>
        <v>162024.09549738056</v>
      </c>
    </row>
    <row r="48" spans="1:9" x14ac:dyDescent="0.25">
      <c r="A48" s="57">
        <f>'A) Base RI'!A50</f>
        <v>5479</v>
      </c>
      <c r="B48" s="40" t="str">
        <f>'A) Base RI'!B50</f>
        <v>Cuarnens</v>
      </c>
      <c r="C48" s="109">
        <f>'A) Base RI'!U50</f>
        <v>481</v>
      </c>
      <c r="D48" s="126">
        <f>'D) Ecrêtage'!N48</f>
        <v>24.039125469125473</v>
      </c>
      <c r="E48" s="42">
        <f t="shared" si="3"/>
        <v>21.271843961090696</v>
      </c>
      <c r="F48" s="319">
        <f t="shared" si="4"/>
        <v>212718.22689246733</v>
      </c>
      <c r="G48" s="41">
        <f>'A) Base RI'!T50</f>
        <v>77</v>
      </c>
      <c r="H48" s="320">
        <f t="shared" si="5"/>
        <v>1.1372245185137264</v>
      </c>
      <c r="I48" s="66">
        <f t="shared" si="6"/>
        <v>241908.38315687978</v>
      </c>
    </row>
    <row r="49" spans="1:9" x14ac:dyDescent="0.25">
      <c r="A49" s="57">
        <f>'A) Base RI'!A51</f>
        <v>5480</v>
      </c>
      <c r="B49" s="40" t="str">
        <f>'A) Base RI'!B51</f>
        <v>Daillens</v>
      </c>
      <c r="C49" s="109">
        <f>'A) Base RI'!U51</f>
        <v>958</v>
      </c>
      <c r="D49" s="126">
        <f>'D) Ecrêtage'!N49</f>
        <v>36.380055720544561</v>
      </c>
      <c r="E49" s="42">
        <f t="shared" si="3"/>
        <v>8.9309137096716071</v>
      </c>
      <c r="F49" s="319">
        <f t="shared" si="4"/>
        <v>164014.97995019972</v>
      </c>
      <c r="G49" s="41">
        <f>'A) Base RI'!T51</f>
        <v>71</v>
      </c>
      <c r="H49" s="320">
        <f t="shared" si="5"/>
        <v>1.0486096209672024</v>
      </c>
      <c r="I49" s="66">
        <f t="shared" si="6"/>
        <v>171987.68595852223</v>
      </c>
    </row>
    <row r="50" spans="1:9" x14ac:dyDescent="0.25">
      <c r="A50" s="57">
        <f>'A) Base RI'!A52</f>
        <v>5481</v>
      </c>
      <c r="B50" s="40" t="str">
        <f>'A) Base RI'!B52</f>
        <v>Dizy</v>
      </c>
      <c r="C50" s="109">
        <f>'A) Base RI'!U52</f>
        <v>222</v>
      </c>
      <c r="D50" s="126">
        <f>'D) Ecrêtage'!N50</f>
        <v>40.091228190215531</v>
      </c>
      <c r="E50" s="42">
        <f t="shared" si="3"/>
        <v>5.2197412400006371</v>
      </c>
      <c r="F50" s="319">
        <f t="shared" si="4"/>
        <v>24716.831904125418</v>
      </c>
      <c r="G50" s="41">
        <f>'A) Base RI'!T52</f>
        <v>79</v>
      </c>
      <c r="H50" s="320">
        <f t="shared" si="5"/>
        <v>1.1667628176959013</v>
      </c>
      <c r="I50" s="66">
        <f t="shared" si="6"/>
        <v>28838.680436973322</v>
      </c>
    </row>
    <row r="51" spans="1:9" x14ac:dyDescent="0.25">
      <c r="A51" s="57">
        <f>'A) Base RI'!A53</f>
        <v>5482</v>
      </c>
      <c r="B51" s="40" t="str">
        <f>'A) Base RI'!B53</f>
        <v>Eclépens</v>
      </c>
      <c r="C51" s="109">
        <f>'A) Base RI'!U53</f>
        <v>1043</v>
      </c>
      <c r="D51" s="126">
        <f>'D) Ecrêtage'!N51</f>
        <v>25.687447163283171</v>
      </c>
      <c r="E51" s="42">
        <f t="shared" si="3"/>
        <v>19.623522266932998</v>
      </c>
      <c r="F51" s="319">
        <f t="shared" si="4"/>
        <v>254204.28485718611</v>
      </c>
      <c r="G51" s="41">
        <f>'A) Base RI'!T53</f>
        <v>46</v>
      </c>
      <c r="H51" s="320">
        <f t="shared" si="5"/>
        <v>0.67938088119001838</v>
      </c>
      <c r="I51" s="66">
        <f t="shared" si="6"/>
        <v>172701.53104855356</v>
      </c>
    </row>
    <row r="52" spans="1:9" x14ac:dyDescent="0.25">
      <c r="A52" s="57">
        <f>'A) Base RI'!A54</f>
        <v>5483</v>
      </c>
      <c r="B52" s="40" t="str">
        <f>'A) Base RI'!B54</f>
        <v>Ferreyres</v>
      </c>
      <c r="C52" s="109">
        <f>'A) Base RI'!U54</f>
        <v>316</v>
      </c>
      <c r="D52" s="126">
        <f>'D) Ecrêtage'!N52</f>
        <v>30.929922551632242</v>
      </c>
      <c r="E52" s="42">
        <f t="shared" si="3"/>
        <v>14.381046878583927</v>
      </c>
      <c r="F52" s="319">
        <f t="shared" si="4"/>
        <v>93251.309895739352</v>
      </c>
      <c r="G52" s="41">
        <f>'A) Base RI'!T54</f>
        <v>76</v>
      </c>
      <c r="H52" s="320">
        <f t="shared" si="5"/>
        <v>1.1224553689226391</v>
      </c>
      <c r="I52" s="66">
        <f t="shared" si="6"/>
        <v>104670.43345154147</v>
      </c>
    </row>
    <row r="53" spans="1:9" x14ac:dyDescent="0.25">
      <c r="A53" s="57">
        <f>'A) Base RI'!A55</f>
        <v>5484</v>
      </c>
      <c r="B53" s="40" t="str">
        <f>'A) Base RI'!B55</f>
        <v>Gollion</v>
      </c>
      <c r="C53" s="109">
        <f>'A) Base RI'!U55</f>
        <v>902</v>
      </c>
      <c r="D53" s="126">
        <f>'D) Ecrêtage'!N53</f>
        <v>32.221420566908378</v>
      </c>
      <c r="E53" s="42">
        <f t="shared" si="3"/>
        <v>13.08954886330779</v>
      </c>
      <c r="F53" s="319">
        <f t="shared" si="4"/>
        <v>235899.32603257851</v>
      </c>
      <c r="G53" s="41">
        <f>'A) Base RI'!T55</f>
        <v>74</v>
      </c>
      <c r="H53" s="320">
        <f t="shared" si="5"/>
        <v>1.0929170697404644</v>
      </c>
      <c r="I53" s="66">
        <f t="shared" si="6"/>
        <v>257818.40016127616</v>
      </c>
    </row>
    <row r="54" spans="1:9" x14ac:dyDescent="0.25">
      <c r="A54" s="57">
        <f>'A) Base RI'!A56</f>
        <v>5485</v>
      </c>
      <c r="B54" s="40" t="str">
        <f>'A) Base RI'!B56</f>
        <v>Grancy</v>
      </c>
      <c r="C54" s="109">
        <f>'A) Base RI'!U56</f>
        <v>408</v>
      </c>
      <c r="D54" s="126">
        <f>'D) Ecrêtage'!N54</f>
        <v>36.945950980392155</v>
      </c>
      <c r="E54" s="42">
        <f t="shared" si="3"/>
        <v>8.3650184498240137</v>
      </c>
      <c r="F54" s="319">
        <f t="shared" si="4"/>
        <v>64504.330270282939</v>
      </c>
      <c r="G54" s="41">
        <f>'A) Base RI'!T56</f>
        <v>70</v>
      </c>
      <c r="H54" s="320">
        <f t="shared" si="5"/>
        <v>1.0338404713761149</v>
      </c>
      <c r="I54" s="66">
        <f t="shared" si="6"/>
        <v>66687.187212429912</v>
      </c>
    </row>
    <row r="55" spans="1:9" x14ac:dyDescent="0.25">
      <c r="A55" s="57">
        <f>'A) Base RI'!A57</f>
        <v>5486</v>
      </c>
      <c r="B55" s="40" t="str">
        <f>'A) Base RI'!B57</f>
        <v>L'Isle</v>
      </c>
      <c r="C55" s="109">
        <f>'A) Base RI'!U57</f>
        <v>1033</v>
      </c>
      <c r="D55" s="126">
        <f>'D) Ecrêtage'!N55</f>
        <v>28.881496662760483</v>
      </c>
      <c r="E55" s="42">
        <f t="shared" si="3"/>
        <v>16.429472767455685</v>
      </c>
      <c r="F55" s="319">
        <f t="shared" si="4"/>
        <v>348258.16296740097</v>
      </c>
      <c r="G55" s="41">
        <f>'A) Base RI'!T57</f>
        <v>76</v>
      </c>
      <c r="H55" s="320">
        <f t="shared" si="5"/>
        <v>1.1224553689226391</v>
      </c>
      <c r="I55" s="66">
        <f t="shared" si="6"/>
        <v>390904.24479389464</v>
      </c>
    </row>
    <row r="56" spans="1:9" x14ac:dyDescent="0.25">
      <c r="A56" s="57">
        <f>'A) Base RI'!A58</f>
        <v>5487</v>
      </c>
      <c r="B56" s="40" t="str">
        <f>'A) Base RI'!B58</f>
        <v>Lussery-Villars</v>
      </c>
      <c r="C56" s="109">
        <f>'A) Base RI'!U58</f>
        <v>462</v>
      </c>
      <c r="D56" s="126">
        <f>'D) Ecrêtage'!N56</f>
        <v>28.449781321619554</v>
      </c>
      <c r="E56" s="42">
        <f t="shared" si="3"/>
        <v>16.861188108596615</v>
      </c>
      <c r="F56" s="319">
        <f t="shared" si="4"/>
        <v>143021.99311731124</v>
      </c>
      <c r="G56" s="41">
        <f>'A) Base RI'!T58</f>
        <v>68</v>
      </c>
      <c r="H56" s="320">
        <f t="shared" si="5"/>
        <v>1.0043021721939402</v>
      </c>
      <c r="I56" s="66">
        <f t="shared" si="6"/>
        <v>143637.29835922245</v>
      </c>
    </row>
    <row r="57" spans="1:9" x14ac:dyDescent="0.25">
      <c r="A57" s="57">
        <f>'A) Base RI'!A59</f>
        <v>5488</v>
      </c>
      <c r="B57" s="40" t="str">
        <f>'A) Base RI'!B59</f>
        <v>Mauraz</v>
      </c>
      <c r="C57" s="109">
        <f>'A) Base RI'!U59</f>
        <v>53</v>
      </c>
      <c r="D57" s="126">
        <f>'D) Ecrêtage'!N57</f>
        <v>30.281073431922493</v>
      </c>
      <c r="E57" s="42">
        <f t="shared" si="3"/>
        <v>15.029895998293675</v>
      </c>
      <c r="F57" s="319">
        <f t="shared" si="4"/>
        <v>15915.758068433106</v>
      </c>
      <c r="G57" s="41">
        <f>'A) Base RI'!T59</f>
        <v>74</v>
      </c>
      <c r="H57" s="320">
        <f t="shared" si="5"/>
        <v>1.0929170697404644</v>
      </c>
      <c r="I57" s="66">
        <f t="shared" si="6"/>
        <v>17394.603670850065</v>
      </c>
    </row>
    <row r="58" spans="1:9" x14ac:dyDescent="0.25">
      <c r="A58" s="57">
        <f>'A) Base RI'!A60</f>
        <v>5489</v>
      </c>
      <c r="B58" s="40" t="str">
        <f>'A) Base RI'!B60</f>
        <v>Mex</v>
      </c>
      <c r="C58" s="109">
        <f>'A) Base RI'!U60</f>
        <v>710</v>
      </c>
      <c r="D58" s="126">
        <f>'D) Ecrêtage'!N58</f>
        <v>64.233835325502184</v>
      </c>
      <c r="E58" s="42">
        <f t="shared" si="3"/>
        <v>0</v>
      </c>
      <c r="F58" s="319">
        <f t="shared" si="4"/>
        <v>0</v>
      </c>
      <c r="G58" s="41">
        <f>'A) Base RI'!T60</f>
        <v>61</v>
      </c>
      <c r="H58" s="320">
        <f t="shared" si="5"/>
        <v>0.90091812505632873</v>
      </c>
      <c r="I58" s="66">
        <f t="shared" si="6"/>
        <v>0</v>
      </c>
    </row>
    <row r="59" spans="1:9" x14ac:dyDescent="0.25">
      <c r="A59" s="57">
        <f>'A) Base RI'!A61</f>
        <v>5490</v>
      </c>
      <c r="B59" s="40" t="str">
        <f>'A) Base RI'!B61</f>
        <v>Moiry</v>
      </c>
      <c r="C59" s="109">
        <f>'A) Base RI'!U61</f>
        <v>304</v>
      </c>
      <c r="D59" s="126">
        <f>'D) Ecrêtage'!N59</f>
        <v>24.493181855100715</v>
      </c>
      <c r="E59" s="42">
        <f t="shared" si="3"/>
        <v>20.817787575115453</v>
      </c>
      <c r="F59" s="319">
        <f t="shared" si="4"/>
        <v>138406.64433740359</v>
      </c>
      <c r="G59" s="41">
        <f>'A) Base RI'!T61</f>
        <v>81</v>
      </c>
      <c r="H59" s="320">
        <f t="shared" si="5"/>
        <v>1.1963011168780759</v>
      </c>
      <c r="I59" s="66">
        <f t="shared" si="6"/>
        <v>165576.02320418254</v>
      </c>
    </row>
    <row r="60" spans="1:9" x14ac:dyDescent="0.25">
      <c r="A60" s="57">
        <f>'A) Base RI'!A62</f>
        <v>5491</v>
      </c>
      <c r="B60" s="40" t="str">
        <f>'A) Base RI'!B62</f>
        <v>Mont-la-Ville</v>
      </c>
      <c r="C60" s="109">
        <f>'A) Base RI'!U62</f>
        <v>402</v>
      </c>
      <c r="D60" s="126">
        <f>'D) Ecrêtage'!N60</f>
        <v>21.782170070699134</v>
      </c>
      <c r="E60" s="42">
        <f t="shared" si="3"/>
        <v>23.528799359517034</v>
      </c>
      <c r="F60" s="319">
        <f t="shared" si="4"/>
        <v>194090.00706863042</v>
      </c>
      <c r="G60" s="41">
        <f>'A) Base RI'!T62</f>
        <v>76</v>
      </c>
      <c r="H60" s="320">
        <f t="shared" si="5"/>
        <v>1.1224553689226391</v>
      </c>
      <c r="I60" s="66">
        <f t="shared" si="6"/>
        <v>217857.37048841719</v>
      </c>
    </row>
    <row r="61" spans="1:9" x14ac:dyDescent="0.25">
      <c r="A61" s="57">
        <f>'A) Base RI'!A63</f>
        <v>5492</v>
      </c>
      <c r="B61" s="40" t="str">
        <f>'A) Base RI'!B63</f>
        <v>Montricher</v>
      </c>
      <c r="C61" s="109">
        <f>'A) Base RI'!U63</f>
        <v>951</v>
      </c>
      <c r="D61" s="126">
        <f>'D) Ecrêtage'!N61</f>
        <v>167.41386683448781</v>
      </c>
      <c r="E61" s="42">
        <f t="shared" si="3"/>
        <v>0</v>
      </c>
      <c r="F61" s="319">
        <f t="shared" si="4"/>
        <v>0</v>
      </c>
      <c r="G61" s="41">
        <f>'A) Base RI'!T63</f>
        <v>64</v>
      </c>
      <c r="H61" s="320">
        <f t="shared" si="5"/>
        <v>0.94522557382959083</v>
      </c>
      <c r="I61" s="66">
        <f t="shared" si="6"/>
        <v>0</v>
      </c>
    </row>
    <row r="62" spans="1:9" x14ac:dyDescent="0.25">
      <c r="A62" s="57">
        <f>'A) Base RI'!A64</f>
        <v>5493</v>
      </c>
      <c r="B62" s="40" t="str">
        <f>'A) Base RI'!B64</f>
        <v>Orny</v>
      </c>
      <c r="C62" s="109">
        <f>'A) Base RI'!U64</f>
        <v>371</v>
      </c>
      <c r="D62" s="126">
        <f>'D) Ecrêtage'!N62</f>
        <v>24.472001567829949</v>
      </c>
      <c r="E62" s="42">
        <f t="shared" si="3"/>
        <v>20.83896786238622</v>
      </c>
      <c r="F62" s="319">
        <f t="shared" si="4"/>
        <v>152383.07698659165</v>
      </c>
      <c r="G62" s="41">
        <f>'A) Base RI'!T64</f>
        <v>73</v>
      </c>
      <c r="H62" s="320">
        <f t="shared" si="5"/>
        <v>1.0781479201493771</v>
      </c>
      <c r="I62" s="66">
        <f t="shared" si="6"/>
        <v>164291.4975190562</v>
      </c>
    </row>
    <row r="63" spans="1:9" x14ac:dyDescent="0.25">
      <c r="A63" s="57">
        <f>'A) Base RI'!A65</f>
        <v>5494</v>
      </c>
      <c r="B63" s="40" t="str">
        <f>'A) Base RI'!B65</f>
        <v>Pampigny</v>
      </c>
      <c r="C63" s="109">
        <f>'A) Base RI'!U65</f>
        <v>1116</v>
      </c>
      <c r="D63" s="126">
        <f>'D) Ecrêtage'!N63</f>
        <v>32.973111492291061</v>
      </c>
      <c r="E63" s="42">
        <f t="shared" si="3"/>
        <v>12.337857937925108</v>
      </c>
      <c r="F63" s="319">
        <f t="shared" si="4"/>
        <v>278823.25153916958</v>
      </c>
      <c r="G63" s="41">
        <f>'A) Base RI'!T65</f>
        <v>75</v>
      </c>
      <c r="H63" s="320">
        <f t="shared" si="5"/>
        <v>1.1076862193315518</v>
      </c>
      <c r="I63" s="66">
        <f t="shared" si="6"/>
        <v>308848.67335915304</v>
      </c>
    </row>
    <row r="64" spans="1:9" x14ac:dyDescent="0.25">
      <c r="A64" s="57">
        <f>'A) Base RI'!A66</f>
        <v>5495</v>
      </c>
      <c r="B64" s="40" t="str">
        <f>'A) Base RI'!B66</f>
        <v>Penthalaz</v>
      </c>
      <c r="C64" s="109">
        <f>'A) Base RI'!U66</f>
        <v>3252</v>
      </c>
      <c r="D64" s="126">
        <f>'D) Ecrêtage'!N64</f>
        <v>30.57688441208736</v>
      </c>
      <c r="E64" s="42">
        <f t="shared" si="3"/>
        <v>14.734085018128809</v>
      </c>
      <c r="F64" s="319">
        <f t="shared" si="4"/>
        <v>957346.58468951879</v>
      </c>
      <c r="G64" s="41">
        <f>'A) Base RI'!T66</f>
        <v>74</v>
      </c>
      <c r="H64" s="320">
        <f t="shared" si="5"/>
        <v>1.0929170697404644</v>
      </c>
      <c r="I64" s="66">
        <f t="shared" si="6"/>
        <v>1046300.4240649103</v>
      </c>
    </row>
    <row r="65" spans="1:9" x14ac:dyDescent="0.25">
      <c r="A65" s="57">
        <f>'A) Base RI'!A67</f>
        <v>5496</v>
      </c>
      <c r="B65" s="40" t="str">
        <f>'A) Base RI'!B67</f>
        <v>Penthaz</v>
      </c>
      <c r="C65" s="109">
        <f>'A) Base RI'!U67</f>
        <v>1703</v>
      </c>
      <c r="D65" s="126">
        <f>'D) Ecrêtage'!N65</f>
        <v>31.066146402785474</v>
      </c>
      <c r="E65" s="42">
        <f t="shared" si="3"/>
        <v>14.244823027430694</v>
      </c>
      <c r="F65" s="319">
        <f t="shared" si="4"/>
        <v>465043.75741324644</v>
      </c>
      <c r="G65" s="41">
        <f>'A) Base RI'!T67</f>
        <v>71</v>
      </c>
      <c r="H65" s="320">
        <f t="shared" si="5"/>
        <v>1.0486096209672024</v>
      </c>
      <c r="I65" s="66">
        <f t="shared" si="6"/>
        <v>487649.35819426802</v>
      </c>
    </row>
    <row r="66" spans="1:9" x14ac:dyDescent="0.25">
      <c r="A66" s="57">
        <f>'A) Base RI'!A68</f>
        <v>5497</v>
      </c>
      <c r="B66" s="40" t="str">
        <f>'A) Base RI'!B68</f>
        <v>Pompaples</v>
      </c>
      <c r="C66" s="109">
        <f>'A) Base RI'!U68</f>
        <v>859</v>
      </c>
      <c r="D66" s="126">
        <f>'D) Ecrêtage'!N66</f>
        <v>25.928531061487995</v>
      </c>
      <c r="E66" s="42">
        <f t="shared" si="3"/>
        <v>19.382438368728174</v>
      </c>
      <c r="F66" s="319">
        <f t="shared" si="4"/>
        <v>296694.34943670226</v>
      </c>
      <c r="G66" s="41">
        <f>'A) Base RI'!T68</f>
        <v>66</v>
      </c>
      <c r="H66" s="320">
        <f t="shared" si="5"/>
        <v>0.97476387301176559</v>
      </c>
      <c r="I66" s="66">
        <f t="shared" si="6"/>
        <v>289206.93315762607</v>
      </c>
    </row>
    <row r="67" spans="1:9" x14ac:dyDescent="0.25">
      <c r="A67" s="57">
        <f>'A) Base RI'!A69</f>
        <v>5498</v>
      </c>
      <c r="B67" s="40" t="str">
        <f>'A) Base RI'!B69</f>
        <v>La Sarraz</v>
      </c>
      <c r="C67" s="109">
        <f>'A) Base RI'!U69</f>
        <v>2567</v>
      </c>
      <c r="D67" s="126">
        <f>'D) Ecrêtage'!N67</f>
        <v>28.751312462372059</v>
      </c>
      <c r="E67" s="42">
        <f t="shared" si="3"/>
        <v>16.559656967844109</v>
      </c>
      <c r="F67" s="319">
        <f t="shared" si="4"/>
        <v>757503.95475764293</v>
      </c>
      <c r="G67" s="41">
        <f>'A) Base RI'!T69</f>
        <v>66</v>
      </c>
      <c r="H67" s="320">
        <f t="shared" si="5"/>
        <v>0.97476387301176559</v>
      </c>
      <c r="I67" s="66">
        <f t="shared" si="6"/>
        <v>738387.48876128928</v>
      </c>
    </row>
    <row r="68" spans="1:9" x14ac:dyDescent="0.25">
      <c r="A68" s="57">
        <f>'A) Base RI'!A70</f>
        <v>5499</v>
      </c>
      <c r="B68" s="40" t="str">
        <f>'A) Base RI'!B70</f>
        <v>Senarclens</v>
      </c>
      <c r="C68" s="109">
        <f>'A) Base RI'!U70</f>
        <v>459</v>
      </c>
      <c r="D68" s="126">
        <f>'D) Ecrêtage'!N68</f>
        <v>40.492237011592955</v>
      </c>
      <c r="E68" s="42">
        <f t="shared" si="3"/>
        <v>4.8187324186232132</v>
      </c>
      <c r="F68" s="319">
        <f t="shared" si="4"/>
        <v>40907.207341838286</v>
      </c>
      <c r="G68" s="41">
        <f>'A) Base RI'!T70</f>
        <v>68.5</v>
      </c>
      <c r="H68" s="320">
        <f t="shared" si="5"/>
        <v>1.0116867469894839</v>
      </c>
      <c r="I68" s="66">
        <f t="shared" si="6"/>
        <v>41385.279524088706</v>
      </c>
    </row>
    <row r="69" spans="1:9" x14ac:dyDescent="0.25">
      <c r="A69" s="57">
        <f>'A) Base RI'!A71</f>
        <v>5500</v>
      </c>
      <c r="B69" s="40" t="str">
        <f>'A) Base RI'!B71</f>
        <v>Sévery</v>
      </c>
      <c r="C69" s="109">
        <f>'A) Base RI'!U71</f>
        <v>243</v>
      </c>
      <c r="D69" s="126">
        <f>'D) Ecrêtage'!N69</f>
        <v>33.040134557071688</v>
      </c>
      <c r="E69" s="42">
        <f t="shared" si="3"/>
        <v>12.27083487314448</v>
      </c>
      <c r="F69" s="319">
        <f t="shared" si="4"/>
        <v>61186.800178052719</v>
      </c>
      <c r="G69" s="41">
        <f>'A) Base RI'!T71</f>
        <v>76</v>
      </c>
      <c r="H69" s="320">
        <f t="shared" si="5"/>
        <v>1.1224553689226391</v>
      </c>
      <c r="I69" s="66">
        <f t="shared" si="6"/>
        <v>68679.45236705197</v>
      </c>
    </row>
    <row r="70" spans="1:9" x14ac:dyDescent="0.25">
      <c r="A70" s="57">
        <f>'A) Base RI'!A72</f>
        <v>5501</v>
      </c>
      <c r="B70" s="40" t="str">
        <f>'A) Base RI'!B72</f>
        <v>Sullens</v>
      </c>
      <c r="C70" s="109">
        <f>'A) Base RI'!U72</f>
        <v>978</v>
      </c>
      <c r="D70" s="126">
        <f>'D) Ecrêtage'!N70</f>
        <v>36.541564563248613</v>
      </c>
      <c r="E70" s="42">
        <f t="shared" ref="E70:E133" si="7">IF($D$314-D70&lt;0,0,$D$314-D70)</f>
        <v>8.7694048669675553</v>
      </c>
      <c r="F70" s="319">
        <f t="shared" ref="F70:F133" si="8">(C70*E70*G70)*$E$4</f>
        <v>162095.4334420017</v>
      </c>
      <c r="G70" s="41">
        <f>'A) Base RI'!T72</f>
        <v>70</v>
      </c>
      <c r="H70" s="320">
        <f t="shared" ref="H70:H133" si="9">G70/$G$314</f>
        <v>1.0338404713761149</v>
      </c>
      <c r="I70" s="66">
        <f t="shared" ref="I70:I133" si="10">F70*H70</f>
        <v>167580.81931759469</v>
      </c>
    </row>
    <row r="71" spans="1:9" x14ac:dyDescent="0.25">
      <c r="A71" s="57">
        <f>'A) Base RI'!A73</f>
        <v>5503</v>
      </c>
      <c r="B71" s="40" t="str">
        <f>'A) Base RI'!B73</f>
        <v>Vufflens-la-Ville</v>
      </c>
      <c r="C71" s="109">
        <f>'A) Base RI'!U73</f>
        <v>1252</v>
      </c>
      <c r="D71" s="126">
        <f>'D) Ecrêtage'!N71</f>
        <v>51.859157686010839</v>
      </c>
      <c r="E71" s="42">
        <f t="shared" si="7"/>
        <v>0</v>
      </c>
      <c r="F71" s="319">
        <f t="shared" si="8"/>
        <v>0</v>
      </c>
      <c r="G71" s="41">
        <f>'A) Base RI'!T73</f>
        <v>67</v>
      </c>
      <c r="H71" s="320">
        <f t="shared" si="9"/>
        <v>0.98953302260285292</v>
      </c>
      <c r="I71" s="66">
        <f t="shared" si="10"/>
        <v>0</v>
      </c>
    </row>
    <row r="72" spans="1:9" x14ac:dyDescent="0.25">
      <c r="A72" s="57">
        <f>'A) Base RI'!A74</f>
        <v>5511</v>
      </c>
      <c r="B72" s="40" t="str">
        <f>'A) Base RI'!B74</f>
        <v>Assens</v>
      </c>
      <c r="C72" s="109">
        <f>'A) Base RI'!U74</f>
        <v>1060</v>
      </c>
      <c r="D72" s="126">
        <f>'D) Ecrêtage'!N72</f>
        <v>37.729572102425877</v>
      </c>
      <c r="E72" s="42">
        <f t="shared" si="7"/>
        <v>7.5813973277902917</v>
      </c>
      <c r="F72" s="319">
        <f t="shared" si="8"/>
        <v>151885.71406495073</v>
      </c>
      <c r="G72" s="41">
        <f>'A) Base RI'!T74</f>
        <v>70</v>
      </c>
      <c r="H72" s="320">
        <f t="shared" si="9"/>
        <v>1.0338404713761149</v>
      </c>
      <c r="I72" s="66">
        <f t="shared" si="10"/>
        <v>157025.59822420648</v>
      </c>
    </row>
    <row r="73" spans="1:9" x14ac:dyDescent="0.25">
      <c r="A73" s="57">
        <f>'A) Base RI'!A75</f>
        <v>5512</v>
      </c>
      <c r="B73" s="40" t="str">
        <f>'A) Base RI'!B75</f>
        <v>Bercher</v>
      </c>
      <c r="C73" s="109">
        <f>'A) Base RI'!U75</f>
        <v>1157</v>
      </c>
      <c r="D73" s="126">
        <f>'D) Ecrêtage'!N73</f>
        <v>30.333848123146947</v>
      </c>
      <c r="E73" s="42">
        <f t="shared" si="7"/>
        <v>14.977121307069222</v>
      </c>
      <c r="F73" s="319">
        <f t="shared" si="8"/>
        <v>369617.531084113</v>
      </c>
      <c r="G73" s="41">
        <f>'A) Base RI'!T75</f>
        <v>79</v>
      </c>
      <c r="H73" s="320">
        <f t="shared" si="9"/>
        <v>1.1667628176959013</v>
      </c>
      <c r="I73" s="66">
        <f t="shared" si="10"/>
        <v>431255.99203750206</v>
      </c>
    </row>
    <row r="74" spans="1:9" x14ac:dyDescent="0.25">
      <c r="A74" s="57">
        <f>'A) Base RI'!A76</f>
        <v>5513</v>
      </c>
      <c r="B74" s="40" t="str">
        <f>'A) Base RI'!B76</f>
        <v>Bioley-Orjulaz</v>
      </c>
      <c r="C74" s="109">
        <f>'A) Base RI'!U76</f>
        <v>483</v>
      </c>
      <c r="D74" s="126">
        <f>'D) Ecrêtage'!N74</f>
        <v>46.462169834995926</v>
      </c>
      <c r="E74" s="42">
        <f t="shared" si="7"/>
        <v>0</v>
      </c>
      <c r="F74" s="319">
        <f t="shared" si="8"/>
        <v>0</v>
      </c>
      <c r="G74" s="41">
        <f>'A) Base RI'!T76</f>
        <v>66</v>
      </c>
      <c r="H74" s="320">
        <f t="shared" si="9"/>
        <v>0.97476387301176559</v>
      </c>
      <c r="I74" s="66">
        <f t="shared" si="10"/>
        <v>0</v>
      </c>
    </row>
    <row r="75" spans="1:9" x14ac:dyDescent="0.25">
      <c r="A75" s="57">
        <f>'A) Base RI'!A77</f>
        <v>5514</v>
      </c>
      <c r="B75" s="40" t="str">
        <f>'A) Base RI'!B77</f>
        <v>Bottens</v>
      </c>
      <c r="C75" s="109">
        <f>'A) Base RI'!U77</f>
        <v>1240</v>
      </c>
      <c r="D75" s="126">
        <f>'D) Ecrêtage'!N75</f>
        <v>32.725762038335674</v>
      </c>
      <c r="E75" s="42">
        <f t="shared" si="7"/>
        <v>12.585207391880495</v>
      </c>
      <c r="F75" s="319">
        <f t="shared" si="8"/>
        <v>290733.39300130971</v>
      </c>
      <c r="G75" s="41">
        <f>'A) Base RI'!T77</f>
        <v>69</v>
      </c>
      <c r="H75" s="320">
        <f t="shared" si="9"/>
        <v>1.0190713217850276</v>
      </c>
      <c r="I75" s="66">
        <f t="shared" si="10"/>
        <v>296278.06309289054</v>
      </c>
    </row>
    <row r="76" spans="1:9" x14ac:dyDescent="0.25">
      <c r="A76" s="57">
        <f>'A) Base RI'!A78</f>
        <v>5515</v>
      </c>
      <c r="B76" s="40" t="str">
        <f>'A) Base RI'!B78</f>
        <v>Bretigny-sur-Morrens</v>
      </c>
      <c r="C76" s="109">
        <f>'A) Base RI'!U78</f>
        <v>817</v>
      </c>
      <c r="D76" s="126">
        <f>'D) Ecrêtage'!N76</f>
        <v>31.40144481145521</v>
      </c>
      <c r="E76" s="42">
        <f t="shared" si="7"/>
        <v>13.909524618760958</v>
      </c>
      <c r="F76" s="319">
        <f t="shared" si="8"/>
        <v>223986.04860263105</v>
      </c>
      <c r="G76" s="41">
        <f>'A) Base RI'!T78</f>
        <v>73</v>
      </c>
      <c r="H76" s="320">
        <f t="shared" si="9"/>
        <v>1.0781479201493771</v>
      </c>
      <c r="I76" s="66">
        <f t="shared" si="10"/>
        <v>241490.09244340396</v>
      </c>
    </row>
    <row r="77" spans="1:9" x14ac:dyDescent="0.25">
      <c r="A77" s="57">
        <f>'A) Base RI'!A79</f>
        <v>5516</v>
      </c>
      <c r="B77" s="40" t="str">
        <f>'A) Base RI'!B79</f>
        <v>Cugy</v>
      </c>
      <c r="C77" s="109">
        <f>'A) Base RI'!U79</f>
        <v>2739</v>
      </c>
      <c r="D77" s="126">
        <f>'D) Ecrêtage'!N77</f>
        <v>39.325503781359188</v>
      </c>
      <c r="E77" s="42">
        <f t="shared" si="7"/>
        <v>5.9854656488569802</v>
      </c>
      <c r="F77" s="319">
        <f t="shared" si="8"/>
        <v>309850.19879094418</v>
      </c>
      <c r="G77" s="41">
        <f>'A) Base RI'!T79</f>
        <v>70</v>
      </c>
      <c r="H77" s="320">
        <f t="shared" si="9"/>
        <v>1.0338404713761149</v>
      </c>
      <c r="I77" s="66">
        <f t="shared" si="10"/>
        <v>320335.67557401262</v>
      </c>
    </row>
    <row r="78" spans="1:9" x14ac:dyDescent="0.25">
      <c r="A78" s="57">
        <f>'A) Base RI'!A80</f>
        <v>5518</v>
      </c>
      <c r="B78" s="40" t="str">
        <f>'A) Base RI'!B80</f>
        <v>Echallens</v>
      </c>
      <c r="C78" s="109">
        <f>'A) Base RI'!U80</f>
        <v>5677</v>
      </c>
      <c r="D78" s="126">
        <f>'D) Ecrêtage'!N78</f>
        <v>32.987044784788317</v>
      </c>
      <c r="E78" s="42">
        <f t="shared" si="7"/>
        <v>12.323924645427851</v>
      </c>
      <c r="F78" s="319">
        <f t="shared" si="8"/>
        <v>1397859.1458376367</v>
      </c>
      <c r="G78" s="41">
        <f>'A) Base RI'!T80</f>
        <v>74</v>
      </c>
      <c r="H78" s="320">
        <f t="shared" si="9"/>
        <v>1.0929170697404644</v>
      </c>
      <c r="I78" s="66">
        <f t="shared" si="10"/>
        <v>1527744.1215787784</v>
      </c>
    </row>
    <row r="79" spans="1:9" x14ac:dyDescent="0.25">
      <c r="A79" s="57">
        <f>'A) Base RI'!A81</f>
        <v>5520</v>
      </c>
      <c r="B79" s="40" t="str">
        <f>'A) Base RI'!B81</f>
        <v>Essertines-sur-Yverdon</v>
      </c>
      <c r="C79" s="109">
        <f>'A) Base RI'!U81</f>
        <v>943</v>
      </c>
      <c r="D79" s="126">
        <f>'D) Ecrêtage'!N79</f>
        <v>29.79480018594111</v>
      </c>
      <c r="E79" s="42">
        <f t="shared" si="7"/>
        <v>15.516169244275059</v>
      </c>
      <c r="F79" s="319">
        <f t="shared" si="8"/>
        <v>288391.74514379574</v>
      </c>
      <c r="G79" s="41">
        <f>'A) Base RI'!T81</f>
        <v>73</v>
      </c>
      <c r="H79" s="320">
        <f t="shared" si="9"/>
        <v>1.0781479201493771</v>
      </c>
      <c r="I79" s="66">
        <f t="shared" si="10"/>
        <v>310928.96021503262</v>
      </c>
    </row>
    <row r="80" spans="1:9" x14ac:dyDescent="0.25">
      <c r="A80" s="57">
        <f>'A) Base RI'!A82</f>
        <v>5521</v>
      </c>
      <c r="B80" s="40" t="str">
        <f>'A) Base RI'!B82</f>
        <v>Etagnières</v>
      </c>
      <c r="C80" s="109">
        <f>'A) Base RI'!U82</f>
        <v>1118</v>
      </c>
      <c r="D80" s="126">
        <f>'D) Ecrêtage'!N80</f>
        <v>36.366768569118037</v>
      </c>
      <c r="E80" s="42">
        <f t="shared" si="7"/>
        <v>8.9442008610981318</v>
      </c>
      <c r="F80" s="319">
        <f t="shared" si="8"/>
        <v>197092.44245096901</v>
      </c>
      <c r="G80" s="41">
        <f>'A) Base RI'!T82</f>
        <v>73</v>
      </c>
      <c r="H80" s="320">
        <f t="shared" si="9"/>
        <v>1.0781479201493771</v>
      </c>
      <c r="I80" s="66">
        <f t="shared" si="10"/>
        <v>212494.80690567303</v>
      </c>
    </row>
    <row r="81" spans="1:9" x14ac:dyDescent="0.25">
      <c r="A81" s="57">
        <f>'A) Base RI'!A83</f>
        <v>5522</v>
      </c>
      <c r="B81" s="40" t="str">
        <f>'A) Base RI'!B83</f>
        <v>Fey</v>
      </c>
      <c r="C81" s="109">
        <f>'A) Base RI'!U83</f>
        <v>696</v>
      </c>
      <c r="D81" s="126">
        <f>'D) Ecrêtage'!N81</f>
        <v>27.455688697318006</v>
      </c>
      <c r="E81" s="42">
        <f t="shared" si="7"/>
        <v>17.855280732898162</v>
      </c>
      <c r="F81" s="319">
        <f t="shared" si="8"/>
        <v>251652.3266494667</v>
      </c>
      <c r="G81" s="41">
        <f>'A) Base RI'!T83</f>
        <v>75</v>
      </c>
      <c r="H81" s="320">
        <f t="shared" si="9"/>
        <v>1.1076862193315518</v>
      </c>
      <c r="I81" s="66">
        <f t="shared" si="10"/>
        <v>278751.81429233646</v>
      </c>
    </row>
    <row r="82" spans="1:9" x14ac:dyDescent="0.25">
      <c r="A82" s="57">
        <f>'A) Base RI'!A84</f>
        <v>5523</v>
      </c>
      <c r="B82" s="40" t="str">
        <f>'A) Base RI'!B84</f>
        <v>Froideville</v>
      </c>
      <c r="C82" s="109">
        <f>'A) Base RI'!U84</f>
        <v>2459</v>
      </c>
      <c r="D82" s="126">
        <f>'D) Ecrêtage'!N82</f>
        <v>31.394085903555151</v>
      </c>
      <c r="E82" s="42">
        <f t="shared" si="7"/>
        <v>13.916883526661017</v>
      </c>
      <c r="F82" s="319">
        <f t="shared" si="8"/>
        <v>702227.57246905984</v>
      </c>
      <c r="G82" s="41">
        <f>'A) Base RI'!T84</f>
        <v>76</v>
      </c>
      <c r="H82" s="320">
        <f t="shared" si="9"/>
        <v>1.1224553689226391</v>
      </c>
      <c r="I82" s="66">
        <f t="shared" si="10"/>
        <v>788219.10892340785</v>
      </c>
    </row>
    <row r="83" spans="1:9" x14ac:dyDescent="0.25">
      <c r="A83" s="57">
        <f>'A) Base RI'!A85</f>
        <v>5527</v>
      </c>
      <c r="B83" s="40" t="str">
        <f>'A) Base RI'!B85</f>
        <v>Morrens</v>
      </c>
      <c r="C83" s="109">
        <f>'A) Base RI'!U85</f>
        <v>1074</v>
      </c>
      <c r="D83" s="126">
        <f>'D) Ecrêtage'!N83</f>
        <v>34.972734938495037</v>
      </c>
      <c r="E83" s="42">
        <f t="shared" si="7"/>
        <v>10.338234491721131</v>
      </c>
      <c r="F83" s="319">
        <f t="shared" si="8"/>
        <v>212849.56789155985</v>
      </c>
      <c r="G83" s="41">
        <f>'A) Base RI'!T85</f>
        <v>71</v>
      </c>
      <c r="H83" s="320">
        <f t="shared" si="9"/>
        <v>1.0486096209672024</v>
      </c>
      <c r="I83" s="66">
        <f t="shared" si="10"/>
        <v>223196.10470980141</v>
      </c>
    </row>
    <row r="84" spans="1:9" x14ac:dyDescent="0.25">
      <c r="A84" s="57">
        <f>'A) Base RI'!A86</f>
        <v>5529</v>
      </c>
      <c r="B84" s="40" t="str">
        <f>'A) Base RI'!B86</f>
        <v>Oulens-sous-Echallens</v>
      </c>
      <c r="C84" s="109">
        <f>'A) Base RI'!U86</f>
        <v>560</v>
      </c>
      <c r="D84" s="126">
        <f>'D) Ecrêtage'!N84</f>
        <v>35.490825704225358</v>
      </c>
      <c r="E84" s="42">
        <f t="shared" si="7"/>
        <v>9.8201437259908104</v>
      </c>
      <c r="F84" s="319">
        <f t="shared" si="8"/>
        <v>105421.20692725656</v>
      </c>
      <c r="G84" s="41">
        <f>'A) Base RI'!T86</f>
        <v>71</v>
      </c>
      <c r="H84" s="320">
        <f t="shared" si="9"/>
        <v>1.0486096209672024</v>
      </c>
      <c r="I84" s="66">
        <f t="shared" si="10"/>
        <v>110545.69183789552</v>
      </c>
    </row>
    <row r="85" spans="1:9" x14ac:dyDescent="0.25">
      <c r="A85" s="57">
        <f>'A) Base RI'!A87</f>
        <v>5530</v>
      </c>
      <c r="B85" s="40" t="str">
        <f>'A) Base RI'!B87</f>
        <v>Pailly</v>
      </c>
      <c r="C85" s="109">
        <f>'A) Base RI'!U87</f>
        <v>534</v>
      </c>
      <c r="D85" s="126">
        <f>'D) Ecrêtage'!N85</f>
        <v>28.599302726430679</v>
      </c>
      <c r="E85" s="42">
        <f t="shared" si="7"/>
        <v>16.71166670378549</v>
      </c>
      <c r="F85" s="319">
        <f t="shared" si="8"/>
        <v>186735.32816476389</v>
      </c>
      <c r="G85" s="41">
        <f>'A) Base RI'!T87</f>
        <v>77.5</v>
      </c>
      <c r="H85" s="320">
        <f t="shared" si="9"/>
        <v>1.1446090933092701</v>
      </c>
      <c r="I85" s="66">
        <f t="shared" si="10"/>
        <v>213738.95465947941</v>
      </c>
    </row>
    <row r="86" spans="1:9" x14ac:dyDescent="0.25">
      <c r="A86" s="57">
        <f>'A) Base RI'!A88</f>
        <v>5531</v>
      </c>
      <c r="B86" s="40" t="str">
        <f>'A) Base RI'!B88</f>
        <v>Penthéréaz</v>
      </c>
      <c r="C86" s="109">
        <f>'A) Base RI'!U88</f>
        <v>411</v>
      </c>
      <c r="D86" s="126">
        <f>'D) Ecrêtage'!N86</f>
        <v>29.444525859379869</v>
      </c>
      <c r="E86" s="42">
        <f t="shared" si="7"/>
        <v>15.866443570836299</v>
      </c>
      <c r="F86" s="319">
        <f t="shared" si="8"/>
        <v>137334.54095834494</v>
      </c>
      <c r="G86" s="41">
        <f>'A) Base RI'!T88</f>
        <v>78</v>
      </c>
      <c r="H86" s="320">
        <f t="shared" si="9"/>
        <v>1.1519936681048137</v>
      </c>
      <c r="I86" s="66">
        <f t="shared" si="10"/>
        <v>158208.52159609456</v>
      </c>
    </row>
    <row r="87" spans="1:9" x14ac:dyDescent="0.25">
      <c r="A87" s="57">
        <f>'A) Base RI'!A89</f>
        <v>5533</v>
      </c>
      <c r="B87" s="40" t="str">
        <f>'A) Base RI'!B89</f>
        <v>Poliez-Pittet</v>
      </c>
      <c r="C87" s="109">
        <f>'A) Base RI'!U89</f>
        <v>844</v>
      </c>
      <c r="D87" s="126">
        <f>'D) Ecrêtage'!N87</f>
        <v>32.044041452506505</v>
      </c>
      <c r="E87" s="42">
        <f t="shared" si="7"/>
        <v>13.266927977709663</v>
      </c>
      <c r="F87" s="319">
        <f t="shared" si="8"/>
        <v>214651.99587679392</v>
      </c>
      <c r="G87" s="41">
        <f>'A) Base RI'!T89</f>
        <v>71</v>
      </c>
      <c r="H87" s="320">
        <f t="shared" si="9"/>
        <v>1.0486096209672024</v>
      </c>
      <c r="I87" s="66">
        <f t="shared" si="10"/>
        <v>225086.14803621839</v>
      </c>
    </row>
    <row r="88" spans="1:9" x14ac:dyDescent="0.25">
      <c r="A88" s="57">
        <f>'A) Base RI'!A90</f>
        <v>5534</v>
      </c>
      <c r="B88" s="40" t="str">
        <f>'A) Base RI'!B90</f>
        <v>Rueyres</v>
      </c>
      <c r="C88" s="109">
        <f>'A) Base RI'!U90</f>
        <v>271</v>
      </c>
      <c r="D88" s="126">
        <f>'D) Ecrêtage'!N88</f>
        <v>40.347446292271144</v>
      </c>
      <c r="E88" s="42">
        <f t="shared" si="7"/>
        <v>4.9635231379450246</v>
      </c>
      <c r="F88" s="319">
        <f t="shared" si="8"/>
        <v>26512.212124250935</v>
      </c>
      <c r="G88" s="41">
        <f>'A) Base RI'!T90</f>
        <v>73</v>
      </c>
      <c r="H88" s="320">
        <f t="shared" si="9"/>
        <v>1.0781479201493771</v>
      </c>
      <c r="I88" s="66">
        <f t="shared" si="10"/>
        <v>28584.086360320245</v>
      </c>
    </row>
    <row r="89" spans="1:9" x14ac:dyDescent="0.25">
      <c r="A89" s="57">
        <f>'A) Base RI'!A91</f>
        <v>5535</v>
      </c>
      <c r="B89" s="40" t="str">
        <f>'A) Base RI'!B91</f>
        <v>Saint-Barthélemy</v>
      </c>
      <c r="C89" s="109">
        <f>'A) Base RI'!U91</f>
        <v>777</v>
      </c>
      <c r="D89" s="126">
        <f>'D) Ecrêtage'!N89</f>
        <v>26.637769884169884</v>
      </c>
      <c r="E89" s="42">
        <f t="shared" si="7"/>
        <v>18.673199546046284</v>
      </c>
      <c r="F89" s="319">
        <f t="shared" si="8"/>
        <v>293808.78995737876</v>
      </c>
      <c r="G89" s="41">
        <f>'A) Base RI'!T91</f>
        <v>75</v>
      </c>
      <c r="H89" s="320">
        <f t="shared" si="9"/>
        <v>1.1076862193315518</v>
      </c>
      <c r="I89" s="66">
        <f t="shared" si="10"/>
        <v>325447.94775426685</v>
      </c>
    </row>
    <row r="90" spans="1:9" x14ac:dyDescent="0.25">
      <c r="A90" s="57">
        <f>'A) Base RI'!A92</f>
        <v>5537</v>
      </c>
      <c r="B90" s="40" t="str">
        <f>'A) Base RI'!B92</f>
        <v>Villars-le-Terroir</v>
      </c>
      <c r="C90" s="109">
        <f>'A) Base RI'!U92</f>
        <v>1066</v>
      </c>
      <c r="D90" s="126">
        <f>'D) Ecrêtage'!N90</f>
        <v>28.181180382430799</v>
      </c>
      <c r="E90" s="42">
        <f t="shared" si="7"/>
        <v>17.129789047785369</v>
      </c>
      <c r="F90" s="319">
        <f t="shared" si="8"/>
        <v>359911.59951255174</v>
      </c>
      <c r="G90" s="41">
        <f>'A) Base RI'!T92</f>
        <v>73</v>
      </c>
      <c r="H90" s="320">
        <f t="shared" si="9"/>
        <v>1.0781479201493771</v>
      </c>
      <c r="I90" s="66">
        <f t="shared" si="10"/>
        <v>388037.94245209324</v>
      </c>
    </row>
    <row r="91" spans="1:9" x14ac:dyDescent="0.25">
      <c r="A91" s="57">
        <f>'A) Base RI'!A93</f>
        <v>5539</v>
      </c>
      <c r="B91" s="40" t="str">
        <f>'A) Base RI'!B93</f>
        <v>Vuarrens</v>
      </c>
      <c r="C91" s="109">
        <f>'A) Base RI'!U93</f>
        <v>993</v>
      </c>
      <c r="D91" s="126">
        <f>'D) Ecrêtage'!N91</f>
        <v>22.887242262504191</v>
      </c>
      <c r="E91" s="42">
        <f t="shared" si="7"/>
        <v>22.423727167711977</v>
      </c>
      <c r="F91" s="319">
        <f t="shared" si="8"/>
        <v>450901.91182014439</v>
      </c>
      <c r="G91" s="41">
        <f>'A) Base RI'!T93</f>
        <v>75</v>
      </c>
      <c r="H91" s="320">
        <f t="shared" si="9"/>
        <v>1.1076862193315518</v>
      </c>
      <c r="I91" s="66">
        <f t="shared" si="10"/>
        <v>499457.83399342449</v>
      </c>
    </row>
    <row r="92" spans="1:9" x14ac:dyDescent="0.25">
      <c r="A92" s="57">
        <f>'A) Base RI'!A94</f>
        <v>5540</v>
      </c>
      <c r="B92" s="40" t="str">
        <f>'A) Base RI'!B94</f>
        <v>Montilliez</v>
      </c>
      <c r="C92" s="109">
        <f>'A) Base RI'!U94</f>
        <v>1698</v>
      </c>
      <c r="D92" s="126">
        <f>'D) Ecrêtage'!N92</f>
        <v>32.317829441632448</v>
      </c>
      <c r="E92" s="42">
        <f t="shared" si="7"/>
        <v>12.993139988583721</v>
      </c>
      <c r="F92" s="319">
        <f t="shared" si="8"/>
        <v>440805.78697829094</v>
      </c>
      <c r="G92" s="41">
        <f>'A) Base RI'!T94</f>
        <v>74</v>
      </c>
      <c r="H92" s="320">
        <f t="shared" si="9"/>
        <v>1.0929170697404644</v>
      </c>
      <c r="I92" s="66">
        <f t="shared" si="10"/>
        <v>481764.16902895313</v>
      </c>
    </row>
    <row r="93" spans="1:9" x14ac:dyDescent="0.25">
      <c r="A93" s="57">
        <f>'A) Base RI'!A95</f>
        <v>5541</v>
      </c>
      <c r="B93" s="40" t="str">
        <f>'A) Base RI'!B95</f>
        <v>Goumoëns</v>
      </c>
      <c r="C93" s="109">
        <f>'A) Base RI'!U95</f>
        <v>1051</v>
      </c>
      <c r="D93" s="126">
        <f>'D) Ecrêtage'!N93</f>
        <v>30.921094690276412</v>
      </c>
      <c r="E93" s="42">
        <f t="shared" si="7"/>
        <v>14.389874739939756</v>
      </c>
      <c r="F93" s="319">
        <f t="shared" si="8"/>
        <v>314422.93613135826</v>
      </c>
      <c r="G93" s="41">
        <f>'A) Base RI'!T95</f>
        <v>77</v>
      </c>
      <c r="H93" s="320">
        <f t="shared" si="9"/>
        <v>1.1372245185137264</v>
      </c>
      <c r="I93" s="66">
        <f t="shared" si="10"/>
        <v>357569.47215165605</v>
      </c>
    </row>
    <row r="94" spans="1:9" x14ac:dyDescent="0.25">
      <c r="A94" s="57">
        <f>'A) Base RI'!A96</f>
        <v>5551</v>
      </c>
      <c r="B94" s="40" t="str">
        <f>'A) Base RI'!B96</f>
        <v>Bonvillars</v>
      </c>
      <c r="C94" s="109">
        <f>'A) Base RI'!U96</f>
        <v>495</v>
      </c>
      <c r="D94" s="126">
        <f>'D) Ecrêtage'!N94</f>
        <v>38.973668476977565</v>
      </c>
      <c r="E94" s="42">
        <f t="shared" si="7"/>
        <v>6.3373009532386035</v>
      </c>
      <c r="F94" s="319">
        <f t="shared" si="8"/>
        <v>46583.914982018672</v>
      </c>
      <c r="G94" s="41">
        <f>'A) Base RI'!T96</f>
        <v>55</v>
      </c>
      <c r="H94" s="320">
        <f t="shared" si="9"/>
        <v>0.81230322750980466</v>
      </c>
      <c r="I94" s="66">
        <f t="shared" si="10"/>
        <v>37840.264489936111</v>
      </c>
    </row>
    <row r="95" spans="1:9" x14ac:dyDescent="0.25">
      <c r="A95" s="57">
        <f>'A) Base RI'!A97</f>
        <v>5552</v>
      </c>
      <c r="B95" s="40" t="str">
        <f>'A) Base RI'!B97</f>
        <v>Bullet</v>
      </c>
      <c r="C95" s="109">
        <f>'A) Base RI'!U97</f>
        <v>629</v>
      </c>
      <c r="D95" s="126">
        <f>'D) Ecrêtage'!N95</f>
        <v>25.016752895752891</v>
      </c>
      <c r="E95" s="42">
        <f t="shared" si="7"/>
        <v>20.294216534463278</v>
      </c>
      <c r="F95" s="319">
        <f t="shared" si="8"/>
        <v>241259.67558335289</v>
      </c>
      <c r="G95" s="41">
        <f>'A) Base RI'!T97</f>
        <v>70</v>
      </c>
      <c r="H95" s="320">
        <f t="shared" si="9"/>
        <v>1.0338404713761149</v>
      </c>
      <c r="I95" s="66">
        <f t="shared" si="10"/>
        <v>249424.01672914211</v>
      </c>
    </row>
    <row r="96" spans="1:9" x14ac:dyDescent="0.25">
      <c r="A96" s="57">
        <f>'A) Base RI'!A98</f>
        <v>5553</v>
      </c>
      <c r="B96" s="40" t="str">
        <f>'A) Base RI'!B98</f>
        <v>Champagne</v>
      </c>
      <c r="C96" s="109">
        <f>'A) Base RI'!U98</f>
        <v>1027</v>
      </c>
      <c r="D96" s="126">
        <f>'D) Ecrêtage'!N96</f>
        <v>32.492486514891581</v>
      </c>
      <c r="E96" s="42">
        <f t="shared" si="7"/>
        <v>12.818482915324587</v>
      </c>
      <c r="F96" s="319">
        <f t="shared" si="8"/>
        <v>223929.53903819236</v>
      </c>
      <c r="G96" s="41">
        <f>'A) Base RI'!T98</f>
        <v>63</v>
      </c>
      <c r="H96" s="320">
        <f t="shared" si="9"/>
        <v>0.9304564242385035</v>
      </c>
      <c r="I96" s="66">
        <f t="shared" si="10"/>
        <v>208356.67817485286</v>
      </c>
    </row>
    <row r="97" spans="1:9" x14ac:dyDescent="0.25">
      <c r="A97" s="57">
        <f>'A) Base RI'!A99</f>
        <v>5554</v>
      </c>
      <c r="B97" s="40" t="str">
        <f>'A) Base RI'!B99</f>
        <v>Concise</v>
      </c>
      <c r="C97" s="109">
        <f>'A) Base RI'!U99</f>
        <v>960</v>
      </c>
      <c r="D97" s="126">
        <f>'D) Ecrêtage'!N97</f>
        <v>30.194488333333332</v>
      </c>
      <c r="E97" s="42">
        <f t="shared" si="7"/>
        <v>15.116481096882836</v>
      </c>
      <c r="F97" s="319">
        <f t="shared" si="8"/>
        <v>293864.39252340235</v>
      </c>
      <c r="G97" s="41">
        <f>'A) Base RI'!T99</f>
        <v>75</v>
      </c>
      <c r="H97" s="320">
        <f t="shared" si="9"/>
        <v>1.1076862193315518</v>
      </c>
      <c r="I97" s="66">
        <f t="shared" si="10"/>
        <v>325509.53795041068</v>
      </c>
    </row>
    <row r="98" spans="1:9" x14ac:dyDescent="0.25">
      <c r="A98" s="57">
        <f>'A) Base RI'!A100</f>
        <v>5555</v>
      </c>
      <c r="B98" s="40" t="str">
        <f>'A) Base RI'!B100</f>
        <v>Corcelles-près-Concise</v>
      </c>
      <c r="C98" s="109">
        <f>'A) Base RI'!U100</f>
        <v>379</v>
      </c>
      <c r="D98" s="126">
        <f>'D) Ecrêtage'!N98</f>
        <v>29.130270169831661</v>
      </c>
      <c r="E98" s="42">
        <f t="shared" si="7"/>
        <v>16.180699260384507</v>
      </c>
      <c r="F98" s="319">
        <f t="shared" si="8"/>
        <v>117559.73782737541</v>
      </c>
      <c r="G98" s="41">
        <f>'A) Base RI'!T100</f>
        <v>71</v>
      </c>
      <c r="H98" s="320">
        <f t="shared" si="9"/>
        <v>1.0486096209672024</v>
      </c>
      <c r="I98" s="66">
        <f t="shared" si="10"/>
        <v>123274.27212416782</v>
      </c>
    </row>
    <row r="99" spans="1:9" x14ac:dyDescent="0.25">
      <c r="A99" s="57">
        <f>'A) Base RI'!A101</f>
        <v>5556</v>
      </c>
      <c r="B99" s="40" t="str">
        <f>'A) Base RI'!B101</f>
        <v>Fiez</v>
      </c>
      <c r="C99" s="109">
        <f>'A) Base RI'!U101</f>
        <v>427</v>
      </c>
      <c r="D99" s="126">
        <f>'D) Ecrêtage'!N99</f>
        <v>29.210197196483726</v>
      </c>
      <c r="E99" s="42">
        <f t="shared" si="7"/>
        <v>16.100772233732442</v>
      </c>
      <c r="F99" s="319">
        <f t="shared" si="8"/>
        <v>128081.80412706394</v>
      </c>
      <c r="G99" s="41">
        <f>'A) Base RI'!T101</f>
        <v>69</v>
      </c>
      <c r="H99" s="320">
        <f t="shared" si="9"/>
        <v>1.0190713217850276</v>
      </c>
      <c r="I99" s="66">
        <f t="shared" si="10"/>
        <v>130524.49342837805</v>
      </c>
    </row>
    <row r="100" spans="1:9" x14ac:dyDescent="0.25">
      <c r="A100" s="57">
        <f>'A) Base RI'!A102</f>
        <v>5557</v>
      </c>
      <c r="B100" s="40" t="str">
        <f>'A) Base RI'!B102</f>
        <v>Fontaines-sur-Grandson</v>
      </c>
      <c r="C100" s="109">
        <f>'A) Base RI'!U102</f>
        <v>200</v>
      </c>
      <c r="D100" s="126">
        <f>'D) Ecrêtage'!N100</f>
        <v>20.151436231884059</v>
      </c>
      <c r="E100" s="42">
        <f t="shared" si="7"/>
        <v>25.15953319833211</v>
      </c>
      <c r="F100" s="319">
        <f t="shared" si="8"/>
        <v>93744.420696985457</v>
      </c>
      <c r="G100" s="41">
        <f>'A) Base RI'!T102</f>
        <v>69</v>
      </c>
      <c r="H100" s="320">
        <f t="shared" si="9"/>
        <v>1.0190713217850276</v>
      </c>
      <c r="I100" s="66">
        <f t="shared" si="10"/>
        <v>95532.250709648666</v>
      </c>
    </row>
    <row r="101" spans="1:9" x14ac:dyDescent="0.25">
      <c r="A101" s="57">
        <f>'A) Base RI'!A103</f>
        <v>5559</v>
      </c>
      <c r="B101" s="40" t="str">
        <f>'A) Base RI'!B103</f>
        <v>Giez</v>
      </c>
      <c r="C101" s="109">
        <f>'A) Base RI'!U103</f>
        <v>408</v>
      </c>
      <c r="D101" s="126">
        <f>'D) Ecrêtage'!N101</f>
        <v>44.48318256090316</v>
      </c>
      <c r="E101" s="42">
        <f t="shared" si="7"/>
        <v>0.82778686931300882</v>
      </c>
      <c r="F101" s="319">
        <f t="shared" si="8"/>
        <v>6018.4741005523902</v>
      </c>
      <c r="G101" s="41">
        <f>'A) Base RI'!T103</f>
        <v>66</v>
      </c>
      <c r="H101" s="320">
        <f t="shared" si="9"/>
        <v>0.97476387301176559</v>
      </c>
      <c r="I101" s="66">
        <f t="shared" si="10"/>
        <v>5866.5911238754497</v>
      </c>
    </row>
    <row r="102" spans="1:9" x14ac:dyDescent="0.25">
      <c r="A102" s="57">
        <f>'A) Base RI'!A104</f>
        <v>5560</v>
      </c>
      <c r="B102" s="40" t="str">
        <f>'A) Base RI'!B104</f>
        <v>Grandevent</v>
      </c>
      <c r="C102" s="109">
        <f>'A) Base RI'!U104</f>
        <v>232</v>
      </c>
      <c r="D102" s="126">
        <f>'D) Ecrêtage'!N102</f>
        <v>27.787186866125761</v>
      </c>
      <c r="E102" s="42">
        <f t="shared" si="7"/>
        <v>17.523782564090407</v>
      </c>
      <c r="F102" s="319">
        <f t="shared" si="8"/>
        <v>74642.902307394383</v>
      </c>
      <c r="G102" s="41">
        <f>'A) Base RI'!T104</f>
        <v>68</v>
      </c>
      <c r="H102" s="320">
        <f t="shared" si="9"/>
        <v>1.0043021721939402</v>
      </c>
      <c r="I102" s="66">
        <f t="shared" si="10"/>
        <v>74964.028926176252</v>
      </c>
    </row>
    <row r="103" spans="1:9" x14ac:dyDescent="0.25">
      <c r="A103" s="57">
        <f>'A) Base RI'!A105</f>
        <v>5561</v>
      </c>
      <c r="B103" s="40" t="str">
        <f>'A) Base RI'!B105</f>
        <v>Grandson</v>
      </c>
      <c r="C103" s="109">
        <f>'A) Base RI'!U105</f>
        <v>3313</v>
      </c>
      <c r="D103" s="126">
        <f>'D) Ecrêtage'!N103</f>
        <v>34.763175763461462</v>
      </c>
      <c r="E103" s="42">
        <f t="shared" si="7"/>
        <v>10.547793666754707</v>
      </c>
      <c r="F103" s="319">
        <f t="shared" si="8"/>
        <v>651022.37698656402</v>
      </c>
      <c r="G103" s="41">
        <f>'A) Base RI'!T105</f>
        <v>69</v>
      </c>
      <c r="H103" s="320">
        <f t="shared" si="9"/>
        <v>1.0190713217850276</v>
      </c>
      <c r="I103" s="66">
        <f t="shared" si="10"/>
        <v>663438.23422732833</v>
      </c>
    </row>
    <row r="104" spans="1:9" x14ac:dyDescent="0.25">
      <c r="A104" s="57">
        <f>'A) Base RI'!A106</f>
        <v>5562</v>
      </c>
      <c r="B104" s="40" t="str">
        <f>'A) Base RI'!B106</f>
        <v>Mauborget</v>
      </c>
      <c r="C104" s="109">
        <f>'A) Base RI'!U106</f>
        <v>123</v>
      </c>
      <c r="D104" s="126">
        <f>'D) Ecrêtage'!N104</f>
        <v>29.776866434378629</v>
      </c>
      <c r="E104" s="42">
        <f t="shared" si="7"/>
        <v>15.534102995837539</v>
      </c>
      <c r="F104" s="319">
        <f t="shared" si="8"/>
        <v>36112.129234423533</v>
      </c>
      <c r="G104" s="41">
        <f>'A) Base RI'!T106</f>
        <v>70</v>
      </c>
      <c r="H104" s="320">
        <f t="shared" si="9"/>
        <v>1.0338404713761149</v>
      </c>
      <c r="I104" s="66">
        <f t="shared" si="10"/>
        <v>37334.180710111606</v>
      </c>
    </row>
    <row r="105" spans="1:9" x14ac:dyDescent="0.25">
      <c r="A105" s="57">
        <f>'A) Base RI'!A107</f>
        <v>5563</v>
      </c>
      <c r="B105" s="40" t="str">
        <f>'A) Base RI'!B107</f>
        <v>Mutrux</v>
      </c>
      <c r="C105" s="109">
        <f>'A) Base RI'!U107</f>
        <v>162</v>
      </c>
      <c r="D105" s="126">
        <f>'D) Ecrêtage'!N105</f>
        <v>26.389930014940624</v>
      </c>
      <c r="E105" s="42">
        <f t="shared" si="7"/>
        <v>18.921039415275544</v>
      </c>
      <c r="F105" s="319">
        <f t="shared" si="8"/>
        <v>64967.091725895967</v>
      </c>
      <c r="G105" s="41">
        <f>'A) Base RI'!T107</f>
        <v>78.5</v>
      </c>
      <c r="H105" s="320">
        <f t="shared" si="9"/>
        <v>1.1593782429003576</v>
      </c>
      <c r="I105" s="66">
        <f t="shared" si="10"/>
        <v>75321.432651515628</v>
      </c>
    </row>
    <row r="106" spans="1:9" x14ac:dyDescent="0.25">
      <c r="A106" s="57">
        <f>'A) Base RI'!A108</f>
        <v>5564</v>
      </c>
      <c r="B106" s="40" t="str">
        <f>'A) Base RI'!B108</f>
        <v>Novalles</v>
      </c>
      <c r="C106" s="109">
        <f>'A) Base RI'!U108</f>
        <v>101</v>
      </c>
      <c r="D106" s="126">
        <f>'D) Ecrêtage'!N106</f>
        <v>20.42582041427827</v>
      </c>
      <c r="E106" s="42">
        <f t="shared" si="7"/>
        <v>24.885149015937898</v>
      </c>
      <c r="F106" s="319">
        <f t="shared" si="8"/>
        <v>51574.969038511612</v>
      </c>
      <c r="G106" s="41">
        <f>'A) Base RI'!T108</f>
        <v>76</v>
      </c>
      <c r="H106" s="320">
        <f t="shared" si="9"/>
        <v>1.1224553689226391</v>
      </c>
      <c r="I106" s="66">
        <f t="shared" si="10"/>
        <v>57890.600899296238</v>
      </c>
    </row>
    <row r="107" spans="1:9" x14ac:dyDescent="0.25">
      <c r="A107" s="57">
        <f>'A) Base RI'!A109</f>
        <v>5565</v>
      </c>
      <c r="B107" s="40" t="str">
        <f>'A) Base RI'!B109</f>
        <v>Onnens</v>
      </c>
      <c r="C107" s="109">
        <f>'A) Base RI'!U109</f>
        <v>500</v>
      </c>
      <c r="D107" s="126">
        <f>'D) Ecrêtage'!N107</f>
        <v>35.805612820512827</v>
      </c>
      <c r="E107" s="42">
        <f t="shared" si="7"/>
        <v>9.5053566097033411</v>
      </c>
      <c r="F107" s="319">
        <f t="shared" si="8"/>
        <v>83409.504250146842</v>
      </c>
      <c r="G107" s="41">
        <f>'A) Base RI'!T109</f>
        <v>65</v>
      </c>
      <c r="H107" s="320">
        <f t="shared" si="9"/>
        <v>0.95999472342067815</v>
      </c>
      <c r="I107" s="66">
        <f t="shared" si="10"/>
        <v>80072.683963275602</v>
      </c>
    </row>
    <row r="108" spans="1:9" x14ac:dyDescent="0.25">
      <c r="A108" s="57">
        <f>'A) Base RI'!A110</f>
        <v>5566</v>
      </c>
      <c r="B108" s="40" t="str">
        <f>'A) Base RI'!B110</f>
        <v>Provence</v>
      </c>
      <c r="C108" s="109">
        <f>'A) Base RI'!U110</f>
        <v>390</v>
      </c>
      <c r="D108" s="126">
        <f>'D) Ecrêtage'!N108</f>
        <v>22.064353065316023</v>
      </c>
      <c r="E108" s="42">
        <f t="shared" si="7"/>
        <v>23.246616364900145</v>
      </c>
      <c r="F108" s="319">
        <f t="shared" si="8"/>
        <v>198277.36496114283</v>
      </c>
      <c r="G108" s="41">
        <f>'A) Base RI'!T110</f>
        <v>81</v>
      </c>
      <c r="H108" s="320">
        <f t="shared" si="9"/>
        <v>1.1963011168780759</v>
      </c>
      <c r="I108" s="66">
        <f t="shared" si="10"/>
        <v>237199.43315465705</v>
      </c>
    </row>
    <row r="109" spans="1:9" x14ac:dyDescent="0.25">
      <c r="A109" s="57">
        <f>'A) Base RI'!A111</f>
        <v>5568</v>
      </c>
      <c r="B109" s="40" t="str">
        <f>'A) Base RI'!B111</f>
        <v>Sainte-Croix</v>
      </c>
      <c r="C109" s="109">
        <f>'A) Base RI'!U111</f>
        <v>4851</v>
      </c>
      <c r="D109" s="126">
        <f>'D) Ecrêtage'!N109</f>
        <v>19.837010866684334</v>
      </c>
      <c r="E109" s="42">
        <f t="shared" si="7"/>
        <v>25.473958563531834</v>
      </c>
      <c r="F109" s="319">
        <f t="shared" si="8"/>
        <v>2335551.8695429969</v>
      </c>
      <c r="G109" s="41">
        <f>'A) Base RI'!T111</f>
        <v>70</v>
      </c>
      <c r="H109" s="320">
        <f t="shared" si="9"/>
        <v>1.0338404713761149</v>
      </c>
      <c r="I109" s="66">
        <f t="shared" si="10"/>
        <v>2414588.0457316982</v>
      </c>
    </row>
    <row r="110" spans="1:9" x14ac:dyDescent="0.25">
      <c r="A110" s="57">
        <f>'A) Base RI'!A112</f>
        <v>5571</v>
      </c>
      <c r="B110" s="40" t="str">
        <f>'A) Base RI'!B112</f>
        <v>Tévenon</v>
      </c>
      <c r="C110" s="109">
        <f>'A) Base RI'!U112</f>
        <v>791</v>
      </c>
      <c r="D110" s="126">
        <f>'D) Ecrêtage'!N110</f>
        <v>26.50248520744217</v>
      </c>
      <c r="E110" s="42">
        <f t="shared" si="7"/>
        <v>18.808484222773998</v>
      </c>
      <c r="F110" s="319">
        <f t="shared" si="8"/>
        <v>293235.74220842257</v>
      </c>
      <c r="G110" s="41">
        <f>'A) Base RI'!T112</f>
        <v>73</v>
      </c>
      <c r="H110" s="320">
        <f t="shared" si="9"/>
        <v>1.0781479201493771</v>
      </c>
      <c r="I110" s="66">
        <f t="shared" si="10"/>
        <v>316151.5055754697</v>
      </c>
    </row>
    <row r="111" spans="1:9" x14ac:dyDescent="0.25">
      <c r="A111" s="57">
        <f>'A) Base RI'!A113</f>
        <v>5581</v>
      </c>
      <c r="B111" s="40" t="str">
        <f>'A) Base RI'!B113</f>
        <v>Belmont-sur-Lausanne</v>
      </c>
      <c r="C111" s="109">
        <f>'A) Base RI'!U113</f>
        <v>3564</v>
      </c>
      <c r="D111" s="126">
        <f>'D) Ecrêtage'!N111</f>
        <v>52.481178235862494</v>
      </c>
      <c r="E111" s="42">
        <f t="shared" si="7"/>
        <v>0</v>
      </c>
      <c r="F111" s="319">
        <f t="shared" si="8"/>
        <v>0</v>
      </c>
      <c r="G111" s="41">
        <f>'A) Base RI'!T113</f>
        <v>69.5</v>
      </c>
      <c r="H111" s="320">
        <f t="shared" si="9"/>
        <v>1.0264558965805712</v>
      </c>
      <c r="I111" s="66">
        <f t="shared" si="10"/>
        <v>0</v>
      </c>
    </row>
    <row r="112" spans="1:9" x14ac:dyDescent="0.25">
      <c r="A112" s="57">
        <f>'A) Base RI'!A114</f>
        <v>5582</v>
      </c>
      <c r="B112" s="40" t="str">
        <f>'A) Base RI'!B114</f>
        <v>Cheseaux-sur-Lausanne</v>
      </c>
      <c r="C112" s="109">
        <f>'A) Base RI'!U114</f>
        <v>4347</v>
      </c>
      <c r="D112" s="126">
        <f>'D) Ecrêtage'!N112</f>
        <v>46.840852149827924</v>
      </c>
      <c r="E112" s="42">
        <f t="shared" si="7"/>
        <v>0</v>
      </c>
      <c r="F112" s="319">
        <f t="shared" si="8"/>
        <v>0</v>
      </c>
      <c r="G112" s="41">
        <f>'A) Base RI'!T114</f>
        <v>74.5</v>
      </c>
      <c r="H112" s="320">
        <f t="shared" si="9"/>
        <v>1.1003016445360081</v>
      </c>
      <c r="I112" s="66">
        <f t="shared" si="10"/>
        <v>0</v>
      </c>
    </row>
    <row r="113" spans="1:9" x14ac:dyDescent="0.25">
      <c r="A113" s="57">
        <f>'A) Base RI'!A115</f>
        <v>5583</v>
      </c>
      <c r="B113" s="40" t="str">
        <f>'A) Base RI'!B115</f>
        <v>Crissier</v>
      </c>
      <c r="C113" s="109">
        <f>'A) Base RI'!U115</f>
        <v>7636</v>
      </c>
      <c r="D113" s="126">
        <f>'D) Ecrêtage'!N113</f>
        <v>40.825199177982839</v>
      </c>
      <c r="E113" s="42">
        <f t="shared" si="7"/>
        <v>4.4857702522333298</v>
      </c>
      <c r="F113" s="319">
        <f t="shared" si="8"/>
        <v>601146.14588824264</v>
      </c>
      <c r="G113" s="41">
        <f>'A) Base RI'!T115</f>
        <v>65</v>
      </c>
      <c r="H113" s="320">
        <f t="shared" si="9"/>
        <v>0.95999472342067815</v>
      </c>
      <c r="I113" s="66">
        <f t="shared" si="10"/>
        <v>577097.1280573901</v>
      </c>
    </row>
    <row r="114" spans="1:9" x14ac:dyDescent="0.25">
      <c r="A114" s="57">
        <f>'A) Base RI'!A116</f>
        <v>5584</v>
      </c>
      <c r="B114" s="40" t="str">
        <f>'A) Base RI'!B116</f>
        <v>Epalinges</v>
      </c>
      <c r="C114" s="109">
        <f>'A) Base RI'!U116</f>
        <v>9297</v>
      </c>
      <c r="D114" s="126">
        <f>'D) Ecrêtage'!N114</f>
        <v>49.015005915886846</v>
      </c>
      <c r="E114" s="42">
        <f t="shared" si="7"/>
        <v>0</v>
      </c>
      <c r="F114" s="319">
        <f t="shared" si="8"/>
        <v>0</v>
      </c>
      <c r="G114" s="41">
        <f>'A) Base RI'!T116</f>
        <v>66</v>
      </c>
      <c r="H114" s="320">
        <f t="shared" si="9"/>
        <v>0.97476387301176559</v>
      </c>
      <c r="I114" s="66">
        <f t="shared" si="10"/>
        <v>0</v>
      </c>
    </row>
    <row r="115" spans="1:9" x14ac:dyDescent="0.25">
      <c r="A115" s="57">
        <f>'A) Base RI'!A117</f>
        <v>5585</v>
      </c>
      <c r="B115" s="40" t="str">
        <f>'A) Base RI'!B117</f>
        <v>Jouxtens-Mézery</v>
      </c>
      <c r="C115" s="109">
        <f>'A) Base RI'!U117</f>
        <v>1448</v>
      </c>
      <c r="D115" s="126">
        <f>'D) Ecrêtage'!N115</f>
        <v>118.43649417393769</v>
      </c>
      <c r="E115" s="42">
        <f t="shared" si="7"/>
        <v>0</v>
      </c>
      <c r="F115" s="319">
        <f t="shared" si="8"/>
        <v>0</v>
      </c>
      <c r="G115" s="41">
        <f>'A) Base RI'!T117</f>
        <v>53</v>
      </c>
      <c r="H115" s="320">
        <f t="shared" si="9"/>
        <v>0.78276492832762989</v>
      </c>
      <c r="I115" s="66">
        <f t="shared" si="10"/>
        <v>0</v>
      </c>
    </row>
    <row r="116" spans="1:9" x14ac:dyDescent="0.25">
      <c r="A116" s="57">
        <f>'A) Base RI'!A118</f>
        <v>5586</v>
      </c>
      <c r="B116" s="40" t="str">
        <f>'A) Base RI'!B118</f>
        <v>Lausanne</v>
      </c>
      <c r="C116" s="109">
        <f>'A) Base RI'!U118</f>
        <v>137053</v>
      </c>
      <c r="D116" s="126">
        <f>'D) Ecrêtage'!N116</f>
        <v>44.329050546862582</v>
      </c>
      <c r="E116" s="42">
        <f t="shared" si="7"/>
        <v>0.98191888335358612</v>
      </c>
      <c r="F116" s="319">
        <f t="shared" si="8"/>
        <v>2870483.2296031257</v>
      </c>
      <c r="G116" s="41">
        <f>'A) Base RI'!T118</f>
        <v>79</v>
      </c>
      <c r="H116" s="320">
        <f t="shared" si="9"/>
        <v>1.1667628176959013</v>
      </c>
      <c r="I116" s="66">
        <f t="shared" si="10"/>
        <v>3349173.1011205739</v>
      </c>
    </row>
    <row r="117" spans="1:9" x14ac:dyDescent="0.25">
      <c r="A117" s="57">
        <f>'A) Base RI'!A119</f>
        <v>5587</v>
      </c>
      <c r="B117" s="40" t="str">
        <f>'A) Base RI'!B119</f>
        <v>Le Mont-sur-Lausanne</v>
      </c>
      <c r="C117" s="109">
        <f>'A) Base RI'!U119</f>
        <v>7881</v>
      </c>
      <c r="D117" s="126">
        <f>'D) Ecrêtage'!N117</f>
        <v>52.448141445671027</v>
      </c>
      <c r="E117" s="42">
        <f t="shared" si="7"/>
        <v>0</v>
      </c>
      <c r="F117" s="319">
        <f t="shared" si="8"/>
        <v>0</v>
      </c>
      <c r="G117" s="41">
        <f>'A) Base RI'!T119</f>
        <v>75</v>
      </c>
      <c r="H117" s="320">
        <f t="shared" si="9"/>
        <v>1.1076862193315518</v>
      </c>
      <c r="I117" s="66">
        <f t="shared" si="10"/>
        <v>0</v>
      </c>
    </row>
    <row r="118" spans="1:9" x14ac:dyDescent="0.25">
      <c r="A118" s="57">
        <f>'A) Base RI'!A120</f>
        <v>5588</v>
      </c>
      <c r="B118" s="40" t="str">
        <f>'A) Base RI'!B120</f>
        <v>Paudex</v>
      </c>
      <c r="C118" s="109">
        <f>'A) Base RI'!U120</f>
        <v>1473</v>
      </c>
      <c r="D118" s="126">
        <f>'D) Ecrêtage'!N118</f>
        <v>96.428191258650699</v>
      </c>
      <c r="E118" s="42">
        <f t="shared" si="7"/>
        <v>0</v>
      </c>
      <c r="F118" s="319">
        <f t="shared" si="8"/>
        <v>0</v>
      </c>
      <c r="G118" s="41">
        <f>'A) Base RI'!T120</f>
        <v>61.5</v>
      </c>
      <c r="H118" s="320">
        <f t="shared" si="9"/>
        <v>0.90830269985187251</v>
      </c>
      <c r="I118" s="66">
        <f t="shared" si="10"/>
        <v>0</v>
      </c>
    </row>
    <row r="119" spans="1:9" x14ac:dyDescent="0.25">
      <c r="A119" s="57">
        <f>'A) Base RI'!A121</f>
        <v>5589</v>
      </c>
      <c r="B119" s="40" t="str">
        <f>'A) Base RI'!B121</f>
        <v>Prilly</v>
      </c>
      <c r="C119" s="109">
        <f>'A) Base RI'!U121</f>
        <v>11871</v>
      </c>
      <c r="D119" s="126">
        <f>'D) Ecrêtage'!N119</f>
        <v>36.860772671295798</v>
      </c>
      <c r="E119" s="42">
        <f t="shared" si="7"/>
        <v>8.4501967589203701</v>
      </c>
      <c r="F119" s="319">
        <f t="shared" si="8"/>
        <v>1990697.3102154769</v>
      </c>
      <c r="G119" s="41">
        <f>'A) Base RI'!T121</f>
        <v>73.5</v>
      </c>
      <c r="H119" s="320">
        <f t="shared" si="9"/>
        <v>1.0855324949449208</v>
      </c>
      <c r="I119" s="66">
        <f t="shared" si="10"/>
        <v>2160966.6178383497</v>
      </c>
    </row>
    <row r="120" spans="1:9" x14ac:dyDescent="0.25">
      <c r="A120" s="57">
        <f>'A) Base RI'!A122</f>
        <v>5590</v>
      </c>
      <c r="B120" s="40" t="str">
        <f>'A) Base RI'!B122</f>
        <v>Pully</v>
      </c>
      <c r="C120" s="109">
        <f>'A) Base RI'!U122</f>
        <v>17979</v>
      </c>
      <c r="D120" s="126">
        <f>'D) Ecrêtage'!N120</f>
        <v>74.474103170441438</v>
      </c>
      <c r="E120" s="42">
        <f t="shared" si="7"/>
        <v>0</v>
      </c>
      <c r="F120" s="319">
        <f t="shared" si="8"/>
        <v>0</v>
      </c>
      <c r="G120" s="41">
        <f>'A) Base RI'!T122</f>
        <v>61</v>
      </c>
      <c r="H120" s="320">
        <f t="shared" si="9"/>
        <v>0.90091812505632873</v>
      </c>
      <c r="I120" s="66">
        <f t="shared" si="10"/>
        <v>0</v>
      </c>
    </row>
    <row r="121" spans="1:9" x14ac:dyDescent="0.25">
      <c r="A121" s="57">
        <f>'A) Base RI'!A123</f>
        <v>5591</v>
      </c>
      <c r="B121" s="40" t="str">
        <f>'A) Base RI'!B123</f>
        <v>Renens</v>
      </c>
      <c r="C121" s="109">
        <f>'A) Base RI'!U123</f>
        <v>20323</v>
      </c>
      <c r="D121" s="126">
        <f>'D) Ecrêtage'!N121</f>
        <v>26.06146288218698</v>
      </c>
      <c r="E121" s="42">
        <f t="shared" si="7"/>
        <v>19.249506548029188</v>
      </c>
      <c r="F121" s="319">
        <f t="shared" si="8"/>
        <v>8291647.6587947831</v>
      </c>
      <c r="G121" s="41">
        <f>'A) Base RI'!T123</f>
        <v>78.5</v>
      </c>
      <c r="H121" s="320">
        <f t="shared" si="9"/>
        <v>1.1593782429003576</v>
      </c>
      <c r="I121" s="66">
        <f t="shared" si="10"/>
        <v>9613155.8934023604</v>
      </c>
    </row>
    <row r="122" spans="1:9" x14ac:dyDescent="0.25">
      <c r="A122" s="57">
        <f>'A) Base RI'!A124</f>
        <v>5592</v>
      </c>
      <c r="B122" s="40" t="str">
        <f>'A) Base RI'!B124</f>
        <v>Romanel-sur-Lausanne</v>
      </c>
      <c r="C122" s="109">
        <f>'A) Base RI'!U124</f>
        <v>3352</v>
      </c>
      <c r="D122" s="126">
        <f>'D) Ecrêtage'!N122</f>
        <v>34.772059410160246</v>
      </c>
      <c r="E122" s="42">
        <f t="shared" si="7"/>
        <v>10.538910020055923</v>
      </c>
      <c r="F122" s="319">
        <f t="shared" si="8"/>
        <v>667669.45871859894</v>
      </c>
      <c r="G122" s="41">
        <f>'A) Base RI'!T124</f>
        <v>70</v>
      </c>
      <c r="H122" s="320">
        <f t="shared" si="9"/>
        <v>1.0338404713761149</v>
      </c>
      <c r="I122" s="66">
        <f t="shared" si="10"/>
        <v>690263.70792507182</v>
      </c>
    </row>
    <row r="123" spans="1:9" x14ac:dyDescent="0.25">
      <c r="A123" s="57">
        <f>'A) Base RI'!A125</f>
        <v>5601</v>
      </c>
      <c r="B123" s="40" t="str">
        <f>'A) Base RI'!B125</f>
        <v>Chexbres</v>
      </c>
      <c r="C123" s="109">
        <f>'A) Base RI'!U125</f>
        <v>2235</v>
      </c>
      <c r="D123" s="126">
        <f>'D) Ecrêtage'!N123</f>
        <v>44.629154362416116</v>
      </c>
      <c r="E123" s="42">
        <f t="shared" si="7"/>
        <v>0.68181506780005208</v>
      </c>
      <c r="F123" s="319">
        <f t="shared" si="8"/>
        <v>26332.243370492251</v>
      </c>
      <c r="G123" s="41">
        <f>'A) Base RI'!T125</f>
        <v>64</v>
      </c>
      <c r="H123" s="320">
        <f t="shared" si="9"/>
        <v>0.94522557382959083</v>
      </c>
      <c r="I123" s="66">
        <f t="shared" si="10"/>
        <v>24889.909850093976</v>
      </c>
    </row>
    <row r="124" spans="1:9" x14ac:dyDescent="0.25">
      <c r="A124" s="57">
        <f>'A) Base RI'!A126</f>
        <v>5604</v>
      </c>
      <c r="B124" s="40" t="str">
        <f>'A) Base RI'!B126</f>
        <v>Forel (Lavaux)</v>
      </c>
      <c r="C124" s="109">
        <f>'A) Base RI'!U126</f>
        <v>2066</v>
      </c>
      <c r="D124" s="126">
        <f>'D) Ecrêtage'!N124</f>
        <v>34.482259125334544</v>
      </c>
      <c r="E124" s="42">
        <f t="shared" si="7"/>
        <v>10.828710304881625</v>
      </c>
      <c r="F124" s="319">
        <f t="shared" si="8"/>
        <v>410752.04039429664</v>
      </c>
      <c r="G124" s="41">
        <f>'A) Base RI'!T126</f>
        <v>68</v>
      </c>
      <c r="H124" s="320">
        <f t="shared" si="9"/>
        <v>1.0043021721939402</v>
      </c>
      <c r="I124" s="66">
        <f t="shared" si="10"/>
        <v>412519.16640108521</v>
      </c>
    </row>
    <row r="125" spans="1:9" x14ac:dyDescent="0.25">
      <c r="A125" s="57">
        <f>'A) Base RI'!A127</f>
        <v>5606</v>
      </c>
      <c r="B125" s="40" t="str">
        <f>'A) Base RI'!B127</f>
        <v>Lutry</v>
      </c>
      <c r="C125" s="109">
        <f>'A) Base RI'!U127</f>
        <v>9888</v>
      </c>
      <c r="D125" s="126">
        <f>'D) Ecrêtage'!N125</f>
        <v>73.572339995677979</v>
      </c>
      <c r="E125" s="42">
        <f t="shared" si="7"/>
        <v>0</v>
      </c>
      <c r="F125" s="319">
        <f t="shared" si="8"/>
        <v>0</v>
      </c>
      <c r="G125" s="41">
        <f>'A) Base RI'!T127</f>
        <v>55.5</v>
      </c>
      <c r="H125" s="320">
        <f t="shared" si="9"/>
        <v>0.81968780230534832</v>
      </c>
      <c r="I125" s="66">
        <f t="shared" si="10"/>
        <v>0</v>
      </c>
    </row>
    <row r="126" spans="1:9" x14ac:dyDescent="0.25">
      <c r="A126" s="57">
        <f>'A) Base RI'!A128</f>
        <v>5607</v>
      </c>
      <c r="B126" s="40" t="str">
        <f>'A) Base RI'!B128</f>
        <v>Puidoux</v>
      </c>
      <c r="C126" s="109">
        <f>'A) Base RI'!U128</f>
        <v>2874</v>
      </c>
      <c r="D126" s="126">
        <f>'D) Ecrêtage'!N126</f>
        <v>33.802204223343146</v>
      </c>
      <c r="E126" s="42">
        <f t="shared" si="7"/>
        <v>11.508765206873022</v>
      </c>
      <c r="F126" s="319">
        <f t="shared" si="8"/>
        <v>625140.0137660529</v>
      </c>
      <c r="G126" s="41">
        <f>'A) Base RI'!T128</f>
        <v>70</v>
      </c>
      <c r="H126" s="320">
        <f t="shared" si="9"/>
        <v>1.0338404713761149</v>
      </c>
      <c r="I126" s="66">
        <f t="shared" si="10"/>
        <v>646295.04650796705</v>
      </c>
    </row>
    <row r="127" spans="1:9" x14ac:dyDescent="0.25">
      <c r="A127" s="57">
        <f>'A) Base RI'!A129</f>
        <v>5609</v>
      </c>
      <c r="B127" s="40" t="str">
        <f>'A) Base RI'!B129</f>
        <v>Rivaz</v>
      </c>
      <c r="C127" s="109">
        <f>'A) Base RI'!U129</f>
        <v>357</v>
      </c>
      <c r="D127" s="126">
        <f>'D) Ecrêtage'!N127</f>
        <v>47.30787578023336</v>
      </c>
      <c r="E127" s="42">
        <f t="shared" si="7"/>
        <v>0</v>
      </c>
      <c r="F127" s="319">
        <f t="shared" si="8"/>
        <v>0</v>
      </c>
      <c r="G127" s="41">
        <f>'A) Base RI'!T129</f>
        <v>63.5</v>
      </c>
      <c r="H127" s="320">
        <f t="shared" si="9"/>
        <v>0.93784099903404716</v>
      </c>
      <c r="I127" s="66">
        <f t="shared" si="10"/>
        <v>0</v>
      </c>
    </row>
    <row r="128" spans="1:9" x14ac:dyDescent="0.25">
      <c r="A128" s="57">
        <f>'A) Base RI'!A130</f>
        <v>5610</v>
      </c>
      <c r="B128" s="40" t="str">
        <f>'A) Base RI'!B130</f>
        <v>St-Saphorin (Lavaux)</v>
      </c>
      <c r="C128" s="109">
        <f>'A) Base RI'!U130</f>
        <v>398</v>
      </c>
      <c r="D128" s="126">
        <f>'D) Ecrêtage'!N128</f>
        <v>50.270638640966027</v>
      </c>
      <c r="E128" s="42">
        <f t="shared" si="7"/>
        <v>0</v>
      </c>
      <c r="F128" s="319">
        <f t="shared" si="8"/>
        <v>0</v>
      </c>
      <c r="G128" s="41">
        <f>'A) Base RI'!T130</f>
        <v>67</v>
      </c>
      <c r="H128" s="320">
        <f t="shared" si="9"/>
        <v>0.98953302260285292</v>
      </c>
      <c r="I128" s="66">
        <f t="shared" si="10"/>
        <v>0</v>
      </c>
    </row>
    <row r="129" spans="1:9" x14ac:dyDescent="0.25">
      <c r="A129" s="57">
        <f>'A) Base RI'!A131</f>
        <v>5611</v>
      </c>
      <c r="B129" s="40" t="str">
        <f>'A) Base RI'!B131</f>
        <v>Savigny</v>
      </c>
      <c r="C129" s="109">
        <f>'A) Base RI'!U131</f>
        <v>3276</v>
      </c>
      <c r="D129" s="126">
        <f>'D) Ecrêtage'!N129</f>
        <v>35.267834300696613</v>
      </c>
      <c r="E129" s="42">
        <f t="shared" si="7"/>
        <v>10.043135129519555</v>
      </c>
      <c r="F129" s="319">
        <f t="shared" si="8"/>
        <v>612951.41804862209</v>
      </c>
      <c r="G129" s="41">
        <f>'A) Base RI'!T131</f>
        <v>69</v>
      </c>
      <c r="H129" s="320">
        <f t="shared" si="9"/>
        <v>1.0190713217850276</v>
      </c>
      <c r="I129" s="66">
        <f t="shared" si="10"/>
        <v>624641.21178081632</v>
      </c>
    </row>
    <row r="130" spans="1:9" x14ac:dyDescent="0.25">
      <c r="A130" s="57">
        <f>'A) Base RI'!A132</f>
        <v>5613</v>
      </c>
      <c r="B130" s="40" t="str">
        <f>'A) Base RI'!B132</f>
        <v>Bourg-en-Lavaux</v>
      </c>
      <c r="C130" s="109">
        <f>'A) Base RI'!U132</f>
        <v>5296</v>
      </c>
      <c r="D130" s="126">
        <f>'D) Ecrêtage'!N130</f>
        <v>56.805382973805955</v>
      </c>
      <c r="E130" s="42">
        <f t="shared" si="7"/>
        <v>0</v>
      </c>
      <c r="F130" s="319">
        <f t="shared" si="8"/>
        <v>0</v>
      </c>
      <c r="G130" s="41">
        <f>'A) Base RI'!T132</f>
        <v>61</v>
      </c>
      <c r="H130" s="320">
        <f t="shared" si="9"/>
        <v>0.90091812505632873</v>
      </c>
      <c r="I130" s="66">
        <f t="shared" si="10"/>
        <v>0</v>
      </c>
    </row>
    <row r="131" spans="1:9" x14ac:dyDescent="0.25">
      <c r="A131" s="57">
        <f>'A) Base RI'!A133</f>
        <v>5621</v>
      </c>
      <c r="B131" s="40" t="str">
        <f>'A) Base RI'!B133</f>
        <v>Aclens</v>
      </c>
      <c r="C131" s="109">
        <f>'A) Base RI'!U133</f>
        <v>521</v>
      </c>
      <c r="D131" s="126">
        <f>'D) Ecrêtage'!N131</f>
        <v>51.478130231170603</v>
      </c>
      <c r="E131" s="42">
        <f t="shared" si="7"/>
        <v>0</v>
      </c>
      <c r="F131" s="319">
        <f t="shared" si="8"/>
        <v>0</v>
      </c>
      <c r="G131" s="41">
        <f>'A) Base RI'!T133</f>
        <v>62</v>
      </c>
      <c r="H131" s="320">
        <f t="shared" si="9"/>
        <v>0.91568727464741617</v>
      </c>
      <c r="I131" s="66">
        <f t="shared" si="10"/>
        <v>0</v>
      </c>
    </row>
    <row r="132" spans="1:9" x14ac:dyDescent="0.25">
      <c r="A132" s="57">
        <f>'A) Base RI'!A134</f>
        <v>5622</v>
      </c>
      <c r="B132" s="40" t="str">
        <f>'A) Base RI'!B134</f>
        <v>Bremblens</v>
      </c>
      <c r="C132" s="109">
        <f>'A) Base RI'!U134</f>
        <v>516</v>
      </c>
      <c r="D132" s="126">
        <f>'D) Ecrêtage'!N132</f>
        <v>62.001487057758446</v>
      </c>
      <c r="E132" s="42">
        <f t="shared" si="7"/>
        <v>0</v>
      </c>
      <c r="F132" s="319">
        <f t="shared" si="8"/>
        <v>0</v>
      </c>
      <c r="G132" s="41">
        <f>'A) Base RI'!T134</f>
        <v>66</v>
      </c>
      <c r="H132" s="320">
        <f t="shared" si="9"/>
        <v>0.97476387301176559</v>
      </c>
      <c r="I132" s="66">
        <f t="shared" si="10"/>
        <v>0</v>
      </c>
    </row>
    <row r="133" spans="1:9" x14ac:dyDescent="0.25">
      <c r="A133" s="57">
        <f>'A) Base RI'!A135</f>
        <v>5623</v>
      </c>
      <c r="B133" s="40" t="str">
        <f>'A) Base RI'!B135</f>
        <v>Buchillon</v>
      </c>
      <c r="C133" s="109">
        <f>'A) Base RI'!U135</f>
        <v>609</v>
      </c>
      <c r="D133" s="126">
        <f>'D) Ecrêtage'!N133</f>
        <v>115.64173852924812</v>
      </c>
      <c r="E133" s="42">
        <f t="shared" si="7"/>
        <v>0</v>
      </c>
      <c r="F133" s="319">
        <f t="shared" si="8"/>
        <v>0</v>
      </c>
      <c r="G133" s="41">
        <f>'A) Base RI'!T135</f>
        <v>53</v>
      </c>
      <c r="H133" s="320">
        <f t="shared" si="9"/>
        <v>0.78276492832762989</v>
      </c>
      <c r="I133" s="66">
        <f t="shared" si="10"/>
        <v>0</v>
      </c>
    </row>
    <row r="134" spans="1:9" x14ac:dyDescent="0.25">
      <c r="A134" s="57">
        <f>'A) Base RI'!A136</f>
        <v>5624</v>
      </c>
      <c r="B134" s="40" t="str">
        <f>'A) Base RI'!B136</f>
        <v>Bussigny</v>
      </c>
      <c r="C134" s="109">
        <f>'A) Base RI'!U136</f>
        <v>8227</v>
      </c>
      <c r="D134" s="126">
        <f>'D) Ecrêtage'!N134</f>
        <v>40.613848696463641</v>
      </c>
      <c r="E134" s="42">
        <f t="shared" ref="E134:E197" si="11">IF($D$314-D134&lt;0,0,$D$314-D134)</f>
        <v>4.6971207337525271</v>
      </c>
      <c r="F134" s="319">
        <f t="shared" ref="F134:F197" si="12">(C134*E134*G134)*$E$4</f>
        <v>646887.3735099833</v>
      </c>
      <c r="G134" s="41">
        <f>'A) Base RI'!T136</f>
        <v>62</v>
      </c>
      <c r="H134" s="320">
        <f t="shared" ref="H134:H197" si="13">G134/$G$314</f>
        <v>0.91568727464741617</v>
      </c>
      <c r="I134" s="66">
        <f t="shared" ref="I134:I197" si="14">F134*H134</f>
        <v>592346.53605318174</v>
      </c>
    </row>
    <row r="135" spans="1:9" x14ac:dyDescent="0.25">
      <c r="A135" s="57">
        <f>'A) Base RI'!A137</f>
        <v>5625</v>
      </c>
      <c r="B135" s="40" t="str">
        <f>'A) Base RI'!B137</f>
        <v>Bussy-Chardonney</v>
      </c>
      <c r="C135" s="109">
        <f>'A) Base RI'!U137</f>
        <v>369</v>
      </c>
      <c r="D135" s="126">
        <f>'D) Ecrêtage'!N135</f>
        <v>37.251832858499526</v>
      </c>
      <c r="E135" s="42">
        <f t="shared" si="11"/>
        <v>8.0591365717166425</v>
      </c>
      <c r="F135" s="319">
        <f t="shared" si="12"/>
        <v>62628.67857793007</v>
      </c>
      <c r="G135" s="41">
        <f>'A) Base RI'!T137</f>
        <v>78</v>
      </c>
      <c r="H135" s="320">
        <f t="shared" si="13"/>
        <v>1.1519936681048137</v>
      </c>
      <c r="I135" s="66">
        <f t="shared" si="14"/>
        <v>72147.841163547026</v>
      </c>
    </row>
    <row r="136" spans="1:9" x14ac:dyDescent="0.25">
      <c r="A136" s="57">
        <f>'A) Base RI'!A138</f>
        <v>5627</v>
      </c>
      <c r="B136" s="40" t="str">
        <f>'A) Base RI'!B138</f>
        <v>Chavannes-près-Renens</v>
      </c>
      <c r="C136" s="109">
        <f>'A) Base RI'!U138</f>
        <v>7543</v>
      </c>
      <c r="D136" s="126">
        <f>'D) Ecrêtage'!N136</f>
        <v>22.772220663414426</v>
      </c>
      <c r="E136" s="42">
        <f t="shared" si="11"/>
        <v>22.538748766801742</v>
      </c>
      <c r="F136" s="319">
        <f t="shared" si="12"/>
        <v>3626308.6489505321</v>
      </c>
      <c r="G136" s="41">
        <f>'A) Base RI'!T138</f>
        <v>79</v>
      </c>
      <c r="H136" s="320">
        <f t="shared" si="13"/>
        <v>1.1667628176959013</v>
      </c>
      <c r="I136" s="66">
        <f t="shared" si="14"/>
        <v>4231042.0970845399</v>
      </c>
    </row>
    <row r="137" spans="1:9" x14ac:dyDescent="0.25">
      <c r="A137" s="57">
        <f>'A) Base RI'!A139</f>
        <v>5628</v>
      </c>
      <c r="B137" s="40" t="str">
        <f>'A) Base RI'!B139</f>
        <v>Chigny</v>
      </c>
      <c r="C137" s="109">
        <f>'A) Base RI'!U139</f>
        <v>343</v>
      </c>
      <c r="D137" s="126">
        <f>'D) Ecrêtage'!N137</f>
        <v>56.352728898922649</v>
      </c>
      <c r="E137" s="42">
        <f t="shared" si="11"/>
        <v>0</v>
      </c>
      <c r="F137" s="319">
        <f t="shared" si="12"/>
        <v>0</v>
      </c>
      <c r="G137" s="41">
        <f>'A) Base RI'!T139</f>
        <v>62</v>
      </c>
      <c r="H137" s="320">
        <f t="shared" si="13"/>
        <v>0.91568727464741617</v>
      </c>
      <c r="I137" s="66">
        <f t="shared" si="14"/>
        <v>0</v>
      </c>
    </row>
    <row r="138" spans="1:9" x14ac:dyDescent="0.25">
      <c r="A138" s="57">
        <f>'A) Base RI'!A140</f>
        <v>5629</v>
      </c>
      <c r="B138" s="40" t="str">
        <f>'A) Base RI'!B140</f>
        <v>Clarmont</v>
      </c>
      <c r="C138" s="109">
        <f>'A) Base RI'!U140</f>
        <v>175</v>
      </c>
      <c r="D138" s="126">
        <f>'D) Ecrêtage'!N138</f>
        <v>43.063881142857142</v>
      </c>
      <c r="E138" s="42">
        <f t="shared" si="11"/>
        <v>2.247088287359027</v>
      </c>
      <c r="F138" s="319">
        <f t="shared" si="12"/>
        <v>7963.1191183285528</v>
      </c>
      <c r="G138" s="41">
        <f>'A) Base RI'!T140</f>
        <v>75</v>
      </c>
      <c r="H138" s="320">
        <f t="shared" si="13"/>
        <v>1.1076862193315518</v>
      </c>
      <c r="I138" s="66">
        <f t="shared" si="14"/>
        <v>8820.6373102681537</v>
      </c>
    </row>
    <row r="139" spans="1:9" x14ac:dyDescent="0.25">
      <c r="A139" s="57">
        <f>'A) Base RI'!A141</f>
        <v>5631</v>
      </c>
      <c r="B139" s="40" t="str">
        <f>'A) Base RI'!B141</f>
        <v>Denens</v>
      </c>
      <c r="C139" s="109">
        <f>'A) Base RI'!U141</f>
        <v>769</v>
      </c>
      <c r="D139" s="126">
        <f>'D) Ecrêtage'!N139</f>
        <v>54.90498852596955</v>
      </c>
      <c r="E139" s="42">
        <f t="shared" si="11"/>
        <v>0</v>
      </c>
      <c r="F139" s="319">
        <f t="shared" si="12"/>
        <v>0</v>
      </c>
      <c r="G139" s="41">
        <f>'A) Base RI'!T141</f>
        <v>68</v>
      </c>
      <c r="H139" s="320">
        <f t="shared" si="13"/>
        <v>1.0043021721939402</v>
      </c>
      <c r="I139" s="66">
        <f t="shared" si="14"/>
        <v>0</v>
      </c>
    </row>
    <row r="140" spans="1:9" x14ac:dyDescent="0.25">
      <c r="A140" s="57">
        <f>'A) Base RI'!A142</f>
        <v>5632</v>
      </c>
      <c r="B140" s="40" t="str">
        <f>'A) Base RI'!B142</f>
        <v>Denges</v>
      </c>
      <c r="C140" s="109">
        <f>'A) Base RI'!U142</f>
        <v>1624</v>
      </c>
      <c r="D140" s="126">
        <f>'D) Ecrêtage'!N140</f>
        <v>41.447085352772923</v>
      </c>
      <c r="E140" s="42">
        <f t="shared" si="11"/>
        <v>3.8638840774432452</v>
      </c>
      <c r="F140" s="319">
        <f t="shared" si="12"/>
        <v>105042.62519719348</v>
      </c>
      <c r="G140" s="41">
        <f>'A) Base RI'!T142</f>
        <v>62</v>
      </c>
      <c r="H140" s="320">
        <f t="shared" si="13"/>
        <v>0.91568727464741617</v>
      </c>
      <c r="I140" s="66">
        <f t="shared" si="14"/>
        <v>96186.195188628102</v>
      </c>
    </row>
    <row r="141" spans="1:9" x14ac:dyDescent="0.25">
      <c r="A141" s="57">
        <f>'A) Base RI'!A143</f>
        <v>5633</v>
      </c>
      <c r="B141" s="40" t="str">
        <f>'A) Base RI'!B143</f>
        <v>Echandens</v>
      </c>
      <c r="C141" s="109">
        <f>'A) Base RI'!U143</f>
        <v>2731</v>
      </c>
      <c r="D141" s="126">
        <f>'D) Ecrêtage'!N141</f>
        <v>51.100126740766115</v>
      </c>
      <c r="E141" s="42">
        <f t="shared" si="11"/>
        <v>0</v>
      </c>
      <c r="F141" s="319">
        <f t="shared" si="12"/>
        <v>0</v>
      </c>
      <c r="G141" s="41">
        <f>'A) Base RI'!T143</f>
        <v>62</v>
      </c>
      <c r="H141" s="320">
        <f t="shared" si="13"/>
        <v>0.91568727464741617</v>
      </c>
      <c r="I141" s="66">
        <f t="shared" si="14"/>
        <v>0</v>
      </c>
    </row>
    <row r="142" spans="1:9" x14ac:dyDescent="0.25">
      <c r="A142" s="57">
        <f>'A) Base RI'!A144</f>
        <v>5634</v>
      </c>
      <c r="B142" s="40" t="str">
        <f>'A) Base RI'!B144</f>
        <v>Echichens</v>
      </c>
      <c r="C142" s="109">
        <f>'A) Base RI'!U144</f>
        <v>2639</v>
      </c>
      <c r="D142" s="126">
        <f>'D) Ecrêtage'!N142</f>
        <v>47.631381316452313</v>
      </c>
      <c r="E142" s="42">
        <f t="shared" si="11"/>
        <v>0</v>
      </c>
      <c r="F142" s="319">
        <f t="shared" si="12"/>
        <v>0</v>
      </c>
      <c r="G142" s="41">
        <f>'A) Base RI'!T144</f>
        <v>68</v>
      </c>
      <c r="H142" s="320">
        <f t="shared" si="13"/>
        <v>1.0043021721939402</v>
      </c>
      <c r="I142" s="66">
        <f t="shared" si="14"/>
        <v>0</v>
      </c>
    </row>
    <row r="143" spans="1:9" x14ac:dyDescent="0.25">
      <c r="A143" s="57">
        <f>'A) Base RI'!A145</f>
        <v>5635</v>
      </c>
      <c r="B143" s="40" t="str">
        <f>'A) Base RI'!B145</f>
        <v>Ecublens</v>
      </c>
      <c r="C143" s="109">
        <f>'A) Base RI'!U145</f>
        <v>12340</v>
      </c>
      <c r="D143" s="126">
        <f>'D) Ecrêtage'!N143</f>
        <v>34.403834002911296</v>
      </c>
      <c r="E143" s="42">
        <f t="shared" si="11"/>
        <v>10.907135427304873</v>
      </c>
      <c r="F143" s="319">
        <f t="shared" si="12"/>
        <v>2253104.4166350514</v>
      </c>
      <c r="G143" s="41">
        <f>'A) Base RI'!T145</f>
        <v>62</v>
      </c>
      <c r="H143" s="320">
        <f t="shared" si="13"/>
        <v>0.91568727464741617</v>
      </c>
      <c r="I143" s="66">
        <f t="shared" si="14"/>
        <v>2063139.0427646067</v>
      </c>
    </row>
    <row r="144" spans="1:9" x14ac:dyDescent="0.25">
      <c r="A144" s="57">
        <f>'A) Base RI'!A146</f>
        <v>5636</v>
      </c>
      <c r="B144" s="40" t="str">
        <f>'A) Base RI'!B146</f>
        <v>Etoy</v>
      </c>
      <c r="C144" s="109">
        <f>'A) Base RI'!U146</f>
        <v>2906</v>
      </c>
      <c r="D144" s="126">
        <f>'D) Ecrêtage'!N144</f>
        <v>51.911505421231368</v>
      </c>
      <c r="E144" s="42">
        <f t="shared" si="11"/>
        <v>0</v>
      </c>
      <c r="F144" s="319">
        <f t="shared" si="12"/>
        <v>0</v>
      </c>
      <c r="G144" s="41">
        <f>'A) Base RI'!T146</f>
        <v>61</v>
      </c>
      <c r="H144" s="320">
        <f t="shared" si="13"/>
        <v>0.90091812505632873</v>
      </c>
      <c r="I144" s="66">
        <f t="shared" si="14"/>
        <v>0</v>
      </c>
    </row>
    <row r="145" spans="1:9" x14ac:dyDescent="0.25">
      <c r="A145" s="57">
        <f>'A) Base RI'!A147</f>
        <v>5637</v>
      </c>
      <c r="B145" s="40" t="str">
        <f>'A) Base RI'!B147</f>
        <v>Lavigny</v>
      </c>
      <c r="C145" s="109">
        <f>'A) Base RI'!U147</f>
        <v>1006</v>
      </c>
      <c r="D145" s="126">
        <f>'D) Ecrêtage'!N145</f>
        <v>35.575357474837787</v>
      </c>
      <c r="E145" s="42">
        <f t="shared" si="11"/>
        <v>9.7356119553783813</v>
      </c>
      <c r="F145" s="319">
        <f t="shared" si="12"/>
        <v>197006.82548933077</v>
      </c>
      <c r="G145" s="41">
        <f>'A) Base RI'!T147</f>
        <v>74.5</v>
      </c>
      <c r="H145" s="320">
        <f t="shared" si="13"/>
        <v>1.1003016445360081</v>
      </c>
      <c r="I145" s="66">
        <f t="shared" si="14"/>
        <v>216766.93407072901</v>
      </c>
    </row>
    <row r="146" spans="1:9" x14ac:dyDescent="0.25">
      <c r="A146" s="57">
        <f>'A) Base RI'!A148</f>
        <v>5638</v>
      </c>
      <c r="B146" s="40" t="str">
        <f>'A) Base RI'!B148</f>
        <v>Lonay</v>
      </c>
      <c r="C146" s="109">
        <f>'A) Base RI'!U148</f>
        <v>2530</v>
      </c>
      <c r="D146" s="126">
        <f>'D) Ecrêtage'!N146</f>
        <v>58.965333821276523</v>
      </c>
      <c r="E146" s="42">
        <f t="shared" si="11"/>
        <v>0</v>
      </c>
      <c r="F146" s="319">
        <f t="shared" si="12"/>
        <v>0</v>
      </c>
      <c r="G146" s="41">
        <f>'A) Base RI'!T148</f>
        <v>55</v>
      </c>
      <c r="H146" s="320">
        <f t="shared" si="13"/>
        <v>0.81230322750980466</v>
      </c>
      <c r="I146" s="66">
        <f t="shared" si="14"/>
        <v>0</v>
      </c>
    </row>
    <row r="147" spans="1:9" x14ac:dyDescent="0.25">
      <c r="A147" s="57">
        <f>'A) Base RI'!A149</f>
        <v>5639</v>
      </c>
      <c r="B147" s="40" t="str">
        <f>'A) Base RI'!B149</f>
        <v>Lully</v>
      </c>
      <c r="C147" s="109">
        <f>'A) Base RI'!U149</f>
        <v>785</v>
      </c>
      <c r="D147" s="126">
        <f>'D) Ecrêtage'!N147</f>
        <v>53.151217291427379</v>
      </c>
      <c r="E147" s="42">
        <f t="shared" si="11"/>
        <v>0</v>
      </c>
      <c r="F147" s="319">
        <f t="shared" si="12"/>
        <v>0</v>
      </c>
      <c r="G147" s="41">
        <f>'A) Base RI'!T149</f>
        <v>61</v>
      </c>
      <c r="H147" s="320">
        <f t="shared" si="13"/>
        <v>0.90091812505632873</v>
      </c>
      <c r="I147" s="66">
        <f t="shared" si="14"/>
        <v>0</v>
      </c>
    </row>
    <row r="148" spans="1:9" x14ac:dyDescent="0.25">
      <c r="A148" s="57">
        <f>'A) Base RI'!A150</f>
        <v>5640</v>
      </c>
      <c r="B148" s="40" t="str">
        <f>'A) Base RI'!B150</f>
        <v>Lussy-sur-Morges</v>
      </c>
      <c r="C148" s="109">
        <f>'A) Base RI'!U150</f>
        <v>644</v>
      </c>
      <c r="D148" s="126">
        <f>'D) Ecrêtage'!N148</f>
        <v>78.335414995265992</v>
      </c>
      <c r="E148" s="42">
        <f t="shared" si="11"/>
        <v>0</v>
      </c>
      <c r="F148" s="319">
        <f t="shared" si="12"/>
        <v>0</v>
      </c>
      <c r="G148" s="41">
        <f>'A) Base RI'!T150</f>
        <v>66</v>
      </c>
      <c r="H148" s="320">
        <f t="shared" si="13"/>
        <v>0.97476387301176559</v>
      </c>
      <c r="I148" s="66">
        <f t="shared" si="14"/>
        <v>0</v>
      </c>
    </row>
    <row r="149" spans="1:9" x14ac:dyDescent="0.25">
      <c r="A149" s="57">
        <f>'A) Base RI'!A151</f>
        <v>5642</v>
      </c>
      <c r="B149" s="40" t="str">
        <f>'A) Base RI'!B151</f>
        <v>Morges</v>
      </c>
      <c r="C149" s="109">
        <f>'A) Base RI'!U151</f>
        <v>15819</v>
      </c>
      <c r="D149" s="126">
        <f>'D) Ecrêtage'!N149</f>
        <v>49.42022987232852</v>
      </c>
      <c r="E149" s="42">
        <f t="shared" si="11"/>
        <v>0</v>
      </c>
      <c r="F149" s="319">
        <f t="shared" si="12"/>
        <v>0</v>
      </c>
      <c r="G149" s="41">
        <f>'A) Base RI'!T151</f>
        <v>68.5</v>
      </c>
      <c r="H149" s="320">
        <f t="shared" si="13"/>
        <v>1.0116867469894839</v>
      </c>
      <c r="I149" s="66">
        <f t="shared" si="14"/>
        <v>0</v>
      </c>
    </row>
    <row r="150" spans="1:9" x14ac:dyDescent="0.25">
      <c r="A150" s="57">
        <f>'A) Base RI'!A152</f>
        <v>5643</v>
      </c>
      <c r="B150" s="40" t="str">
        <f>'A) Base RI'!B152</f>
        <v>Préverenges</v>
      </c>
      <c r="C150" s="109">
        <f>'A) Base RI'!U152</f>
        <v>5276</v>
      </c>
      <c r="D150" s="126">
        <f>'D) Ecrêtage'!N150</f>
        <v>49.806656409922283</v>
      </c>
      <c r="E150" s="42">
        <f t="shared" si="11"/>
        <v>0</v>
      </c>
      <c r="F150" s="319">
        <f t="shared" si="12"/>
        <v>0</v>
      </c>
      <c r="G150" s="41">
        <f>'A) Base RI'!T152</f>
        <v>64</v>
      </c>
      <c r="H150" s="320">
        <f t="shared" si="13"/>
        <v>0.94522557382959083</v>
      </c>
      <c r="I150" s="66">
        <f t="shared" si="14"/>
        <v>0</v>
      </c>
    </row>
    <row r="151" spans="1:9" x14ac:dyDescent="0.25">
      <c r="A151" s="57">
        <f>'A) Base RI'!A153</f>
        <v>5644</v>
      </c>
      <c r="B151" s="40" t="str">
        <f>'A) Base RI'!B153</f>
        <v>Reverolle</v>
      </c>
      <c r="C151" s="109">
        <f>'A) Base RI'!U153</f>
        <v>368</v>
      </c>
      <c r="D151" s="126">
        <f>'D) Ecrêtage'!N151</f>
        <v>38.393642019450795</v>
      </c>
      <c r="E151" s="42">
        <f t="shared" si="11"/>
        <v>6.9173274107653739</v>
      </c>
      <c r="F151" s="319">
        <f t="shared" si="12"/>
        <v>52235.229516557214</v>
      </c>
      <c r="G151" s="41">
        <f>'A) Base RI'!T153</f>
        <v>76</v>
      </c>
      <c r="H151" s="320">
        <f t="shared" si="13"/>
        <v>1.1224553689226391</v>
      </c>
      <c r="I151" s="66">
        <f t="shared" si="14"/>
        <v>58631.713817765951</v>
      </c>
    </row>
    <row r="152" spans="1:9" x14ac:dyDescent="0.25">
      <c r="A152" s="57">
        <f>'A) Base RI'!A154</f>
        <v>5645</v>
      </c>
      <c r="B152" s="40" t="str">
        <f>'A) Base RI'!B154</f>
        <v>Romanel-sur-Morges</v>
      </c>
      <c r="C152" s="109">
        <f>'A) Base RI'!U154</f>
        <v>477</v>
      </c>
      <c r="D152" s="126">
        <f>'D) Ecrêtage'!N152</f>
        <v>55.25342683063792</v>
      </c>
      <c r="E152" s="42">
        <f t="shared" si="11"/>
        <v>0</v>
      </c>
      <c r="F152" s="319">
        <f t="shared" si="12"/>
        <v>0</v>
      </c>
      <c r="G152" s="41">
        <f>'A) Base RI'!T154</f>
        <v>56</v>
      </c>
      <c r="H152" s="320">
        <f t="shared" si="13"/>
        <v>0.82707237710089199</v>
      </c>
      <c r="I152" s="66">
        <f t="shared" si="14"/>
        <v>0</v>
      </c>
    </row>
    <row r="153" spans="1:9" x14ac:dyDescent="0.25">
      <c r="A153" s="57">
        <f>'A) Base RI'!A155</f>
        <v>5646</v>
      </c>
      <c r="B153" s="40" t="str">
        <f>'A) Base RI'!B155</f>
        <v>Saint-Prex</v>
      </c>
      <c r="C153" s="109">
        <f>'A) Base RI'!U155</f>
        <v>5661</v>
      </c>
      <c r="D153" s="126">
        <f>'D) Ecrêtage'!N153</f>
        <v>85.600339846280292</v>
      </c>
      <c r="E153" s="42">
        <f t="shared" si="11"/>
        <v>0</v>
      </c>
      <c r="F153" s="319">
        <f t="shared" si="12"/>
        <v>0</v>
      </c>
      <c r="G153" s="41">
        <f>'A) Base RI'!T155</f>
        <v>55</v>
      </c>
      <c r="H153" s="320">
        <f t="shared" si="13"/>
        <v>0.81230322750980466</v>
      </c>
      <c r="I153" s="66">
        <f t="shared" si="14"/>
        <v>0</v>
      </c>
    </row>
    <row r="154" spans="1:9" x14ac:dyDescent="0.25">
      <c r="A154" s="57">
        <f>'A) Base RI'!A156</f>
        <v>5648</v>
      </c>
      <c r="B154" s="40" t="str">
        <f>'A) Base RI'!B156</f>
        <v>Saint-Sulpice</v>
      </c>
      <c r="C154" s="109">
        <f>'A) Base RI'!U156</f>
        <v>4148</v>
      </c>
      <c r="D154" s="126">
        <f>'D) Ecrêtage'!N154</f>
        <v>73.062571346240105</v>
      </c>
      <c r="E154" s="42">
        <f t="shared" si="11"/>
        <v>0</v>
      </c>
      <c r="F154" s="319">
        <f t="shared" si="12"/>
        <v>0</v>
      </c>
      <c r="G154" s="41">
        <f>'A) Base RI'!T156</f>
        <v>55</v>
      </c>
      <c r="H154" s="320">
        <f t="shared" si="13"/>
        <v>0.81230322750980466</v>
      </c>
      <c r="I154" s="66">
        <f t="shared" si="14"/>
        <v>0</v>
      </c>
    </row>
    <row r="155" spans="1:9" x14ac:dyDescent="0.25">
      <c r="A155" s="57">
        <f>'A) Base RI'!A157</f>
        <v>5649</v>
      </c>
      <c r="B155" s="40" t="str">
        <f>'A) Base RI'!B157</f>
        <v>Tolochenaz</v>
      </c>
      <c r="C155" s="109">
        <f>'A) Base RI'!U157</f>
        <v>1865</v>
      </c>
      <c r="D155" s="126">
        <f>'D) Ecrêtage'!N155</f>
        <v>42.213260466075475</v>
      </c>
      <c r="E155" s="42">
        <f t="shared" si="11"/>
        <v>3.0977089641406934</v>
      </c>
      <c r="F155" s="319">
        <f t="shared" si="12"/>
        <v>101390.33767804802</v>
      </c>
      <c r="G155" s="41">
        <f>'A) Base RI'!T157</f>
        <v>65</v>
      </c>
      <c r="H155" s="320">
        <f t="shared" si="13"/>
        <v>0.95999472342067815</v>
      </c>
      <c r="I155" s="66">
        <f t="shared" si="14"/>
        <v>97334.189176766871</v>
      </c>
    </row>
    <row r="156" spans="1:9" x14ac:dyDescent="0.25">
      <c r="A156" s="57">
        <f>'A) Base RI'!A158</f>
        <v>5650</v>
      </c>
      <c r="B156" s="40" t="str">
        <f>'A) Base RI'!B158</f>
        <v>Vaux-sur-Morges</v>
      </c>
      <c r="C156" s="109">
        <f>'A) Base RI'!U158</f>
        <v>200</v>
      </c>
      <c r="D156" s="126">
        <f>'D) Ecrêtage'!N156</f>
        <v>586.65139795053108</v>
      </c>
      <c r="E156" s="42">
        <f t="shared" si="11"/>
        <v>0</v>
      </c>
      <c r="F156" s="319">
        <f t="shared" si="12"/>
        <v>0</v>
      </c>
      <c r="G156" s="41">
        <f>'A) Base RI'!T158</f>
        <v>56</v>
      </c>
      <c r="H156" s="320">
        <f t="shared" si="13"/>
        <v>0.82707237710089199</v>
      </c>
      <c r="I156" s="66">
        <f t="shared" si="14"/>
        <v>0</v>
      </c>
    </row>
    <row r="157" spans="1:9" x14ac:dyDescent="0.25">
      <c r="A157" s="57">
        <f>'A) Base RI'!A159</f>
        <v>5651</v>
      </c>
      <c r="B157" s="40" t="str">
        <f>'A) Base RI'!B159</f>
        <v>Villars-Sainte-Croix</v>
      </c>
      <c r="C157" s="109">
        <f>'A) Base RI'!U159</f>
        <v>841</v>
      </c>
      <c r="D157" s="126">
        <f>'D) Ecrêtage'!N157</f>
        <v>46.483864850158199</v>
      </c>
      <c r="E157" s="42">
        <f t="shared" si="11"/>
        <v>0</v>
      </c>
      <c r="F157" s="319">
        <f t="shared" si="12"/>
        <v>0</v>
      </c>
      <c r="G157" s="41">
        <f>'A) Base RI'!T159</f>
        <v>59</v>
      </c>
      <c r="H157" s="320">
        <f t="shared" si="13"/>
        <v>0.87137982587415408</v>
      </c>
      <c r="I157" s="66">
        <f t="shared" si="14"/>
        <v>0</v>
      </c>
    </row>
    <row r="158" spans="1:9" x14ac:dyDescent="0.25">
      <c r="A158" s="57">
        <f>'A) Base RI'!A160</f>
        <v>5652</v>
      </c>
      <c r="B158" s="40" t="str">
        <f>'A) Base RI'!B160</f>
        <v>Villars-sous-Yens</v>
      </c>
      <c r="C158" s="109">
        <f>'A) Base RI'!U160</f>
        <v>598</v>
      </c>
      <c r="D158" s="126">
        <f>'D) Ecrêtage'!N158</f>
        <v>36.657951725048406</v>
      </c>
      <c r="E158" s="42">
        <f t="shared" si="11"/>
        <v>8.6530177051677626</v>
      </c>
      <c r="F158" s="319">
        <f t="shared" si="12"/>
        <v>106180.83413940542</v>
      </c>
      <c r="G158" s="41">
        <f>'A) Base RI'!T160</f>
        <v>76</v>
      </c>
      <c r="H158" s="320">
        <f t="shared" si="13"/>
        <v>1.1224553689226391</v>
      </c>
      <c r="I158" s="66">
        <f t="shared" si="14"/>
        <v>119183.24735645986</v>
      </c>
    </row>
    <row r="159" spans="1:9" x14ac:dyDescent="0.25">
      <c r="A159" s="57">
        <f>'A) Base RI'!A161</f>
        <v>5653</v>
      </c>
      <c r="B159" s="40" t="str">
        <f>'A) Base RI'!B161</f>
        <v>Vufflens-le-Château</v>
      </c>
      <c r="C159" s="109">
        <f>'A) Base RI'!U161</f>
        <v>841</v>
      </c>
      <c r="D159" s="126">
        <f>'D) Ecrêtage'!N159</f>
        <v>69.506739547127992</v>
      </c>
      <c r="E159" s="42">
        <f t="shared" si="11"/>
        <v>0</v>
      </c>
      <c r="F159" s="319">
        <f t="shared" si="12"/>
        <v>0</v>
      </c>
      <c r="G159" s="41">
        <f>'A) Base RI'!T161</f>
        <v>55</v>
      </c>
      <c r="H159" s="320">
        <f t="shared" si="13"/>
        <v>0.81230322750980466</v>
      </c>
      <c r="I159" s="66">
        <f t="shared" si="14"/>
        <v>0</v>
      </c>
    </row>
    <row r="160" spans="1:9" x14ac:dyDescent="0.25">
      <c r="A160" s="57">
        <f>'A) Base RI'!A162</f>
        <v>5654</v>
      </c>
      <c r="B160" s="40" t="str">
        <f>'A) Base RI'!B162</f>
        <v>Vullierens</v>
      </c>
      <c r="C160" s="109">
        <f>'A) Base RI'!U162</f>
        <v>461</v>
      </c>
      <c r="D160" s="126">
        <f>'D) Ecrêtage'!N160</f>
        <v>37.183806941431669</v>
      </c>
      <c r="E160" s="42">
        <f t="shared" si="11"/>
        <v>8.1271624887844993</v>
      </c>
      <c r="F160" s="319">
        <f t="shared" si="12"/>
        <v>76880.681538404504</v>
      </c>
      <c r="G160" s="41">
        <f>'A) Base RI'!T162</f>
        <v>76</v>
      </c>
      <c r="H160" s="320">
        <f t="shared" si="13"/>
        <v>1.1224553689226391</v>
      </c>
      <c r="I160" s="66">
        <f t="shared" si="14"/>
        <v>86295.133759213757</v>
      </c>
    </row>
    <row r="161" spans="1:9" x14ac:dyDescent="0.25">
      <c r="A161" s="57">
        <f>'A) Base RI'!A163</f>
        <v>5655</v>
      </c>
      <c r="B161" s="40" t="str">
        <f>'A) Base RI'!B163</f>
        <v>Yens</v>
      </c>
      <c r="C161" s="109">
        <f>'A) Base RI'!U163</f>
        <v>1388</v>
      </c>
      <c r="D161" s="126">
        <f>'D) Ecrêtage'!N161</f>
        <v>59.442929056122708</v>
      </c>
      <c r="E161" s="42">
        <f t="shared" si="11"/>
        <v>0</v>
      </c>
      <c r="F161" s="319">
        <f t="shared" si="12"/>
        <v>0</v>
      </c>
      <c r="G161" s="41">
        <f>'A) Base RI'!T163</f>
        <v>73</v>
      </c>
      <c r="H161" s="320">
        <f t="shared" si="13"/>
        <v>1.0781479201493771</v>
      </c>
      <c r="I161" s="66">
        <f t="shared" si="14"/>
        <v>0</v>
      </c>
    </row>
    <row r="162" spans="1:9" x14ac:dyDescent="0.25">
      <c r="A162" s="57">
        <f>'A) Base RI'!A164</f>
        <v>5661</v>
      </c>
      <c r="B162" s="40" t="str">
        <f>'A) Base RI'!B164</f>
        <v>Boulens</v>
      </c>
      <c r="C162" s="109">
        <f>'A) Base RI'!U164</f>
        <v>368</v>
      </c>
      <c r="D162" s="126">
        <f>'D) Ecrêtage'!N162</f>
        <v>26.067856356631804</v>
      </c>
      <c r="E162" s="42">
        <f t="shared" si="11"/>
        <v>19.243113073584365</v>
      </c>
      <c r="F162" s="319">
        <f t="shared" si="12"/>
        <v>151047.66148431605</v>
      </c>
      <c r="G162" s="41">
        <f>'A) Base RI'!T164</f>
        <v>79</v>
      </c>
      <c r="H162" s="320">
        <f t="shared" si="13"/>
        <v>1.1667628176959013</v>
      </c>
      <c r="I162" s="66">
        <f t="shared" si="14"/>
        <v>176236.79511981725</v>
      </c>
    </row>
    <row r="163" spans="1:9" x14ac:dyDescent="0.25">
      <c r="A163" s="57">
        <f>'A) Base RI'!A165</f>
        <v>5663</v>
      </c>
      <c r="B163" s="40" t="str">
        <f>'A) Base RI'!B165</f>
        <v>Bussy-sur-Moudon</v>
      </c>
      <c r="C163" s="109">
        <f>'A) Base RI'!U165</f>
        <v>208</v>
      </c>
      <c r="D163" s="126">
        <f>'D) Ecrêtage'!N163</f>
        <v>26.290448317307689</v>
      </c>
      <c r="E163" s="42">
        <f t="shared" si="11"/>
        <v>19.020521112908479</v>
      </c>
      <c r="F163" s="319">
        <f t="shared" si="12"/>
        <v>85455.397256075215</v>
      </c>
      <c r="G163" s="41">
        <f>'A) Base RI'!T165</f>
        <v>80</v>
      </c>
      <c r="H163" s="320">
        <f t="shared" si="13"/>
        <v>1.1815319672869886</v>
      </c>
      <c r="I163" s="66">
        <f t="shared" si="14"/>
        <v>100968.28363526167</v>
      </c>
    </row>
    <row r="164" spans="1:9" x14ac:dyDescent="0.25">
      <c r="A164" s="57">
        <f>'A) Base RI'!A166</f>
        <v>5665</v>
      </c>
      <c r="B164" s="40" t="str">
        <f>'A) Base RI'!B166</f>
        <v>Chavannes-sur-Moudon</v>
      </c>
      <c r="C164" s="109">
        <f>'A) Base RI'!U166</f>
        <v>224</v>
      </c>
      <c r="D164" s="126">
        <f>'D) Ecrêtage'!N164</f>
        <v>22.244995719178075</v>
      </c>
      <c r="E164" s="42">
        <f t="shared" si="11"/>
        <v>23.065973711038094</v>
      </c>
      <c r="F164" s="319">
        <f t="shared" si="12"/>
        <v>101837.19657318163</v>
      </c>
      <c r="G164" s="41">
        <f>'A) Base RI'!T166</f>
        <v>73</v>
      </c>
      <c r="H164" s="320">
        <f t="shared" si="13"/>
        <v>1.0781479201493771</v>
      </c>
      <c r="I164" s="66">
        <f t="shared" si="14"/>
        <v>109795.56167921904</v>
      </c>
    </row>
    <row r="165" spans="1:9" x14ac:dyDescent="0.25">
      <c r="A165" s="57">
        <f>'A) Base RI'!A167</f>
        <v>5669</v>
      </c>
      <c r="B165" s="40" t="str">
        <f>'A) Base RI'!B167</f>
        <v>Curtilles</v>
      </c>
      <c r="C165" s="109">
        <f>'A) Base RI'!U167</f>
        <v>309</v>
      </c>
      <c r="D165" s="126">
        <f>'D) Ecrêtage'!N165</f>
        <v>26.793443455591518</v>
      </c>
      <c r="E165" s="42">
        <f t="shared" si="11"/>
        <v>18.51752597462465</v>
      </c>
      <c r="F165" s="319">
        <f t="shared" si="12"/>
        <v>111234.03782853131</v>
      </c>
      <c r="G165" s="41">
        <f>'A) Base RI'!T167</f>
        <v>72</v>
      </c>
      <c r="H165" s="320">
        <f t="shared" si="13"/>
        <v>1.0633787705582898</v>
      </c>
      <c r="I165" s="66">
        <f t="shared" si="14"/>
        <v>118283.91439033792</v>
      </c>
    </row>
    <row r="166" spans="1:9" x14ac:dyDescent="0.25">
      <c r="A166" s="57">
        <f>'A) Base RI'!A168</f>
        <v>5671</v>
      </c>
      <c r="B166" s="40" t="str">
        <f>'A) Base RI'!B168</f>
        <v>Dompierre</v>
      </c>
      <c r="C166" s="109">
        <f>'A) Base RI'!U168</f>
        <v>242</v>
      </c>
      <c r="D166" s="126">
        <f>'D) Ecrêtage'!N166</f>
        <v>27.573541838842974</v>
      </c>
      <c r="E166" s="42">
        <f t="shared" si="11"/>
        <v>17.737427591373194</v>
      </c>
      <c r="F166" s="319">
        <f t="shared" si="12"/>
        <v>92717.081505625989</v>
      </c>
      <c r="G166" s="41">
        <f>'A) Base RI'!T168</f>
        <v>80</v>
      </c>
      <c r="H166" s="320">
        <f t="shared" si="13"/>
        <v>1.1815319672869886</v>
      </c>
      <c r="I166" s="66">
        <f t="shared" si="14"/>
        <v>109548.19571245034</v>
      </c>
    </row>
    <row r="167" spans="1:9" x14ac:dyDescent="0.25">
      <c r="A167" s="57">
        <f>'A) Base RI'!A169</f>
        <v>5673</v>
      </c>
      <c r="B167" s="40" t="str">
        <f>'A) Base RI'!B169</f>
        <v>Hermenches</v>
      </c>
      <c r="C167" s="109">
        <f>'A) Base RI'!U169</f>
        <v>379</v>
      </c>
      <c r="D167" s="126">
        <f>'D) Ecrêtage'!N167</f>
        <v>20.773963998827327</v>
      </c>
      <c r="E167" s="42">
        <f t="shared" si="11"/>
        <v>24.537005431388842</v>
      </c>
      <c r="F167" s="319">
        <f t="shared" si="12"/>
        <v>188315.38243455152</v>
      </c>
      <c r="G167" s="41">
        <f>'A) Base RI'!T169</f>
        <v>75</v>
      </c>
      <c r="H167" s="320">
        <f t="shared" si="13"/>
        <v>1.1076862193315518</v>
      </c>
      <c r="I167" s="66">
        <f t="shared" si="14"/>
        <v>208594.35401090368</v>
      </c>
    </row>
    <row r="168" spans="1:9" x14ac:dyDescent="0.25">
      <c r="A168" s="57">
        <f>'A) Base RI'!A170</f>
        <v>5674</v>
      </c>
      <c r="B168" s="40" t="str">
        <f>'A) Base RI'!B170</f>
        <v>Lovatens</v>
      </c>
      <c r="C168" s="109">
        <f>'A) Base RI'!U170</f>
        <v>143</v>
      </c>
      <c r="D168" s="126">
        <f>'D) Ecrêtage'!N168</f>
        <v>26.411462803862808</v>
      </c>
      <c r="E168" s="42">
        <f t="shared" si="11"/>
        <v>18.899506626353361</v>
      </c>
      <c r="F168" s="319">
        <f t="shared" si="12"/>
        <v>54728.246313262745</v>
      </c>
      <c r="G168" s="41">
        <f>'A) Base RI'!T170</f>
        <v>75</v>
      </c>
      <c r="H168" s="320">
        <f t="shared" si="13"/>
        <v>1.1076862193315518</v>
      </c>
      <c r="I168" s="66">
        <f t="shared" si="14"/>
        <v>60621.724249383944</v>
      </c>
    </row>
    <row r="169" spans="1:9" x14ac:dyDescent="0.25">
      <c r="A169" s="57">
        <f>'A) Base RI'!A171</f>
        <v>5675</v>
      </c>
      <c r="B169" s="40" t="str">
        <f>'A) Base RI'!B171</f>
        <v>Lucens</v>
      </c>
      <c r="C169" s="109">
        <f>'A) Base RI'!U171</f>
        <v>4009</v>
      </c>
      <c r="D169" s="126">
        <f>'D) Ecrêtage'!N169</f>
        <v>23.179510373395207</v>
      </c>
      <c r="E169" s="42">
        <f t="shared" si="11"/>
        <v>22.131459056820962</v>
      </c>
      <c r="F169" s="319">
        <f t="shared" si="12"/>
        <v>1624679.319486643</v>
      </c>
      <c r="G169" s="41">
        <f>'A) Base RI'!T171</f>
        <v>67.819999999999993</v>
      </c>
      <c r="H169" s="320">
        <f t="shared" si="13"/>
        <v>1.0016437252675445</v>
      </c>
      <c r="I169" s="66">
        <f t="shared" si="14"/>
        <v>1627349.8459357403</v>
      </c>
    </row>
    <row r="170" spans="1:9" x14ac:dyDescent="0.25">
      <c r="A170" s="57">
        <f>'A) Base RI'!A172</f>
        <v>5678</v>
      </c>
      <c r="B170" s="40" t="str">
        <f>'A) Base RI'!B172</f>
        <v>Moudon</v>
      </c>
      <c r="C170" s="109">
        <f>'A) Base RI'!U172</f>
        <v>6003</v>
      </c>
      <c r="D170" s="126">
        <f>'D) Ecrêtage'!N170</f>
        <v>20.509158287522908</v>
      </c>
      <c r="E170" s="42">
        <f t="shared" si="11"/>
        <v>24.801811142693261</v>
      </c>
      <c r="F170" s="319">
        <f t="shared" si="12"/>
        <v>3014926.7638641503</v>
      </c>
      <c r="G170" s="41">
        <f>'A) Base RI'!T172</f>
        <v>75</v>
      </c>
      <c r="H170" s="320">
        <f t="shared" si="13"/>
        <v>1.1076862193315518</v>
      </c>
      <c r="I170" s="66">
        <f t="shared" si="14"/>
        <v>3339592.8286261908</v>
      </c>
    </row>
    <row r="171" spans="1:9" x14ac:dyDescent="0.25">
      <c r="A171" s="57">
        <f>'A) Base RI'!A173</f>
        <v>5680</v>
      </c>
      <c r="B171" s="40" t="str">
        <f>'A) Base RI'!B173</f>
        <v>Ogens</v>
      </c>
      <c r="C171" s="109">
        <f>'A) Base RI'!U173</f>
        <v>296</v>
      </c>
      <c r="D171" s="126">
        <f>'D) Ecrêtage'!N171</f>
        <v>28.730908119658118</v>
      </c>
      <c r="E171" s="42">
        <f t="shared" si="11"/>
        <v>16.580061310558051</v>
      </c>
      <c r="F171" s="319">
        <f t="shared" si="12"/>
        <v>103356.12299530435</v>
      </c>
      <c r="G171" s="41">
        <f>'A) Base RI'!T173</f>
        <v>78</v>
      </c>
      <c r="H171" s="320">
        <f t="shared" si="13"/>
        <v>1.1519936681048137</v>
      </c>
      <c r="I171" s="66">
        <f t="shared" si="14"/>
        <v>119065.59925045294</v>
      </c>
    </row>
    <row r="172" spans="1:9" x14ac:dyDescent="0.25">
      <c r="A172" s="57">
        <f>'A) Base RI'!A174</f>
        <v>5683</v>
      </c>
      <c r="B172" s="40" t="str">
        <f>'A) Base RI'!B174</f>
        <v>Prévonloup</v>
      </c>
      <c r="C172" s="109">
        <f>'A) Base RI'!U174</f>
        <v>166</v>
      </c>
      <c r="D172" s="126">
        <f>'D) Ecrêtage'!N172</f>
        <v>24.870894659719955</v>
      </c>
      <c r="E172" s="42">
        <f t="shared" si="11"/>
        <v>20.440074770496214</v>
      </c>
      <c r="F172" s="319">
        <f t="shared" si="12"/>
        <v>67793.187189809396</v>
      </c>
      <c r="G172" s="41">
        <f>'A) Base RI'!T174</f>
        <v>74</v>
      </c>
      <c r="H172" s="320">
        <f t="shared" si="13"/>
        <v>1.0929170697404644</v>
      </c>
      <c r="I172" s="66">
        <f t="shared" si="14"/>
        <v>74092.331491853271</v>
      </c>
    </row>
    <row r="173" spans="1:9" x14ac:dyDescent="0.25">
      <c r="A173" s="57">
        <f>'A) Base RI'!A175</f>
        <v>5684</v>
      </c>
      <c r="B173" s="40" t="str">
        <f>'A) Base RI'!B175</f>
        <v>Rossenges</v>
      </c>
      <c r="C173" s="109">
        <f>'A) Base RI'!U175</f>
        <v>60</v>
      </c>
      <c r="D173" s="126">
        <f>'D) Ecrêtage'!N173</f>
        <v>35.33253333333333</v>
      </c>
      <c r="E173" s="42">
        <f t="shared" si="11"/>
        <v>9.9784360968828381</v>
      </c>
      <c r="F173" s="319">
        <f t="shared" si="12"/>
        <v>9699.0398861701196</v>
      </c>
      <c r="G173" s="41">
        <f>'A) Base RI'!T175</f>
        <v>60</v>
      </c>
      <c r="H173" s="320">
        <f t="shared" si="13"/>
        <v>0.88614897546524141</v>
      </c>
      <c r="I173" s="66">
        <f t="shared" si="14"/>
        <v>8594.7942581261632</v>
      </c>
    </row>
    <row r="174" spans="1:9" x14ac:dyDescent="0.25">
      <c r="A174" s="57">
        <f>'A) Base RI'!A176</f>
        <v>5688</v>
      </c>
      <c r="B174" s="40" t="str">
        <f>'A) Base RI'!B176</f>
        <v>Syens</v>
      </c>
      <c r="C174" s="109">
        <f>'A) Base RI'!U176</f>
        <v>145</v>
      </c>
      <c r="D174" s="126">
        <f>'D) Ecrêtage'!N174</f>
        <v>33.416557197591686</v>
      </c>
      <c r="E174" s="42">
        <f t="shared" si="11"/>
        <v>11.894412232624482</v>
      </c>
      <c r="F174" s="319">
        <f t="shared" si="12"/>
        <v>35204.36766138798</v>
      </c>
      <c r="G174" s="41">
        <f>'A) Base RI'!T176</f>
        <v>75.599999999999994</v>
      </c>
      <c r="H174" s="320">
        <f t="shared" si="13"/>
        <v>1.1165477090862042</v>
      </c>
      <c r="I174" s="66">
        <f t="shared" si="14"/>
        <v>39307.356062151201</v>
      </c>
    </row>
    <row r="175" spans="1:9" x14ac:dyDescent="0.25">
      <c r="A175" s="57">
        <f>'A) Base RI'!A177</f>
        <v>5690</v>
      </c>
      <c r="B175" s="40" t="str">
        <f>'A) Base RI'!B177</f>
        <v>Villars-le-Comte</v>
      </c>
      <c r="C175" s="109">
        <f>'A) Base RI'!U177</f>
        <v>143</v>
      </c>
      <c r="D175" s="126">
        <f>'D) Ecrêtage'!N175</f>
        <v>22.743252668384244</v>
      </c>
      <c r="E175" s="42">
        <f t="shared" si="11"/>
        <v>22.567716761831925</v>
      </c>
      <c r="F175" s="319">
        <f t="shared" si="12"/>
        <v>66221.805357249134</v>
      </c>
      <c r="G175" s="41">
        <f>'A) Base RI'!T177</f>
        <v>76</v>
      </c>
      <c r="H175" s="320">
        <f t="shared" si="13"/>
        <v>1.1224553689226391</v>
      </c>
      <c r="I175" s="66">
        <f t="shared" si="14"/>
        <v>74331.020962994269</v>
      </c>
    </row>
    <row r="176" spans="1:9" x14ac:dyDescent="0.25">
      <c r="A176" s="57">
        <f>'A) Base RI'!A178</f>
        <v>5692</v>
      </c>
      <c r="B176" s="40" t="str">
        <f>'A) Base RI'!B178</f>
        <v>Vucherens</v>
      </c>
      <c r="C176" s="109">
        <f>'A) Base RI'!U178</f>
        <v>557</v>
      </c>
      <c r="D176" s="126">
        <f>'D) Ecrêtage'!N176</f>
        <v>30.508496238892803</v>
      </c>
      <c r="E176" s="42">
        <f t="shared" si="11"/>
        <v>14.802473191323365</v>
      </c>
      <c r="F176" s="319">
        <f t="shared" si="12"/>
        <v>175865.37151620653</v>
      </c>
      <c r="G176" s="41">
        <f>'A) Base RI'!T178</f>
        <v>79</v>
      </c>
      <c r="H176" s="320">
        <f t="shared" si="13"/>
        <v>1.1667628176959013</v>
      </c>
      <c r="I176" s="66">
        <f t="shared" si="14"/>
        <v>205193.17640538563</v>
      </c>
    </row>
    <row r="177" spans="1:9" x14ac:dyDescent="0.25">
      <c r="A177" s="57">
        <f>'A) Base RI'!A179</f>
        <v>5693</v>
      </c>
      <c r="B177" s="40" t="str">
        <f>'A) Base RI'!B179</f>
        <v>Montanaire</v>
      </c>
      <c r="C177" s="109">
        <f>'A) Base RI'!U179</f>
        <v>2500</v>
      </c>
      <c r="D177" s="126">
        <f>'D) Ecrêtage'!N177</f>
        <v>25.43403261111111</v>
      </c>
      <c r="E177" s="42">
        <f t="shared" si="11"/>
        <v>19.876936819105058</v>
      </c>
      <c r="F177" s="319">
        <f t="shared" si="12"/>
        <v>966019.12940850586</v>
      </c>
      <c r="G177" s="41">
        <f>'A) Base RI'!T179</f>
        <v>72</v>
      </c>
      <c r="H177" s="320">
        <f t="shared" si="13"/>
        <v>1.0633787705582898</v>
      </c>
      <c r="I177" s="66">
        <f t="shared" si="14"/>
        <v>1027244.2341662064</v>
      </c>
    </row>
    <row r="178" spans="1:9" x14ac:dyDescent="0.25">
      <c r="A178" s="57">
        <f>'A) Base RI'!A180</f>
        <v>5701</v>
      </c>
      <c r="B178" s="40" t="str">
        <f>'A) Base RI'!B180</f>
        <v>Arnex-sur-Nyon</v>
      </c>
      <c r="C178" s="109">
        <f>'A) Base RI'!U180</f>
        <v>214</v>
      </c>
      <c r="D178" s="126">
        <f>'D) Ecrêtage'!N178</f>
        <v>68.505935224170244</v>
      </c>
      <c r="E178" s="42">
        <f t="shared" si="11"/>
        <v>0</v>
      </c>
      <c r="F178" s="319">
        <f t="shared" si="12"/>
        <v>0</v>
      </c>
      <c r="G178" s="41">
        <f>'A) Base RI'!T180</f>
        <v>70</v>
      </c>
      <c r="H178" s="320">
        <f t="shared" si="13"/>
        <v>1.0338404713761149</v>
      </c>
      <c r="I178" s="66">
        <f t="shared" si="14"/>
        <v>0</v>
      </c>
    </row>
    <row r="179" spans="1:9" x14ac:dyDescent="0.25">
      <c r="A179" s="57">
        <f>'A) Base RI'!A181</f>
        <v>5702</v>
      </c>
      <c r="B179" s="40" t="str">
        <f>'A) Base RI'!B181</f>
        <v>Arzier-Le Muids</v>
      </c>
      <c r="C179" s="109">
        <f>'A) Base RI'!U181</f>
        <v>2565</v>
      </c>
      <c r="D179" s="126">
        <f>'D) Ecrêtage'!N179</f>
        <v>59.256690573420485</v>
      </c>
      <c r="E179" s="42">
        <f t="shared" si="11"/>
        <v>0</v>
      </c>
      <c r="F179" s="319">
        <f t="shared" si="12"/>
        <v>0</v>
      </c>
      <c r="G179" s="41">
        <f>'A) Base RI'!T181</f>
        <v>64</v>
      </c>
      <c r="H179" s="320">
        <f t="shared" si="13"/>
        <v>0.94522557382959083</v>
      </c>
      <c r="I179" s="66">
        <f t="shared" si="14"/>
        <v>0</v>
      </c>
    </row>
    <row r="180" spans="1:9" x14ac:dyDescent="0.25">
      <c r="A180" s="57">
        <f>'A) Base RI'!A182</f>
        <v>5703</v>
      </c>
      <c r="B180" s="40" t="str">
        <f>'A) Base RI'!B182</f>
        <v>Bassins</v>
      </c>
      <c r="C180" s="109">
        <f>'A) Base RI'!U182</f>
        <v>1311</v>
      </c>
      <c r="D180" s="126">
        <f>'D) Ecrêtage'!N180</f>
        <v>39.948288265059453</v>
      </c>
      <c r="E180" s="42">
        <f t="shared" si="11"/>
        <v>5.3626811651567152</v>
      </c>
      <c r="F180" s="319">
        <f t="shared" si="12"/>
        <v>134774.20589416713</v>
      </c>
      <c r="G180" s="41">
        <f>'A) Base RI'!T182</f>
        <v>71</v>
      </c>
      <c r="H180" s="320">
        <f t="shared" si="13"/>
        <v>1.0486096209672024</v>
      </c>
      <c r="I180" s="66">
        <f t="shared" si="14"/>
        <v>141325.52895883829</v>
      </c>
    </row>
    <row r="181" spans="1:9" x14ac:dyDescent="0.25">
      <c r="A181" s="57">
        <f>'A) Base RI'!A183</f>
        <v>5704</v>
      </c>
      <c r="B181" s="40" t="str">
        <f>'A) Base RI'!B183</f>
        <v>Begnins</v>
      </c>
      <c r="C181" s="109">
        <f>'A) Base RI'!U183</f>
        <v>1856</v>
      </c>
      <c r="D181" s="126">
        <f>'D) Ecrêtage'!N181</f>
        <v>62.334539478637915</v>
      </c>
      <c r="E181" s="42">
        <f t="shared" si="11"/>
        <v>0</v>
      </c>
      <c r="F181" s="319">
        <f t="shared" si="12"/>
        <v>0</v>
      </c>
      <c r="G181" s="41">
        <f>'A) Base RI'!T183</f>
        <v>67</v>
      </c>
      <c r="H181" s="320">
        <f t="shared" si="13"/>
        <v>0.98953302260285292</v>
      </c>
      <c r="I181" s="66">
        <f t="shared" si="14"/>
        <v>0</v>
      </c>
    </row>
    <row r="182" spans="1:9" x14ac:dyDescent="0.25">
      <c r="A182" s="57">
        <f>'A) Base RI'!A184</f>
        <v>5705</v>
      </c>
      <c r="B182" s="40" t="str">
        <f>'A) Base RI'!B184</f>
        <v>Bogis-Bossey</v>
      </c>
      <c r="C182" s="109">
        <f>'A) Base RI'!U184</f>
        <v>827</v>
      </c>
      <c r="D182" s="126">
        <f>'D) Ecrêtage'!N182</f>
        <v>59.256117567836391</v>
      </c>
      <c r="E182" s="42">
        <f t="shared" si="11"/>
        <v>0</v>
      </c>
      <c r="F182" s="319">
        <f t="shared" si="12"/>
        <v>0</v>
      </c>
      <c r="G182" s="41">
        <f>'A) Base RI'!T184</f>
        <v>70</v>
      </c>
      <c r="H182" s="320">
        <f t="shared" si="13"/>
        <v>1.0338404713761149</v>
      </c>
      <c r="I182" s="66">
        <f t="shared" si="14"/>
        <v>0</v>
      </c>
    </row>
    <row r="183" spans="1:9" x14ac:dyDescent="0.25">
      <c r="A183" s="57">
        <f>'A) Base RI'!A185</f>
        <v>5706</v>
      </c>
      <c r="B183" s="40" t="str">
        <f>'A) Base RI'!B185</f>
        <v>Borex</v>
      </c>
      <c r="C183" s="109">
        <f>'A) Base RI'!U185</f>
        <v>1099</v>
      </c>
      <c r="D183" s="126">
        <f>'D) Ecrêtage'!N183</f>
        <v>60.959944332421195</v>
      </c>
      <c r="E183" s="42">
        <f t="shared" si="11"/>
        <v>0</v>
      </c>
      <c r="F183" s="319">
        <f t="shared" si="12"/>
        <v>0</v>
      </c>
      <c r="G183" s="41">
        <f>'A) Base RI'!T185</f>
        <v>55</v>
      </c>
      <c r="H183" s="320">
        <f t="shared" si="13"/>
        <v>0.81230322750980466</v>
      </c>
      <c r="I183" s="66">
        <f t="shared" si="14"/>
        <v>0</v>
      </c>
    </row>
    <row r="184" spans="1:9" x14ac:dyDescent="0.25">
      <c r="A184" s="57">
        <f>'A) Base RI'!A186</f>
        <v>5707</v>
      </c>
      <c r="B184" s="40" t="str">
        <f>'A) Base RI'!B186</f>
        <v>Chavannes-de-Bogis</v>
      </c>
      <c r="C184" s="109">
        <f>'A) Base RI'!U186</f>
        <v>1153</v>
      </c>
      <c r="D184" s="126">
        <f>'D) Ecrêtage'!N184</f>
        <v>81.185386004267556</v>
      </c>
      <c r="E184" s="42">
        <f t="shared" si="11"/>
        <v>0</v>
      </c>
      <c r="F184" s="319">
        <f t="shared" si="12"/>
        <v>0</v>
      </c>
      <c r="G184" s="41">
        <f>'A) Base RI'!T186</f>
        <v>59</v>
      </c>
      <c r="H184" s="320">
        <f t="shared" si="13"/>
        <v>0.87137982587415408</v>
      </c>
      <c r="I184" s="66">
        <f t="shared" si="14"/>
        <v>0</v>
      </c>
    </row>
    <row r="185" spans="1:9" x14ac:dyDescent="0.25">
      <c r="A185" s="57">
        <f>'A) Base RI'!A187</f>
        <v>5708</v>
      </c>
      <c r="B185" s="40" t="str">
        <f>'A) Base RI'!B187</f>
        <v>Chavannes-des-Bois</v>
      </c>
      <c r="C185" s="109">
        <f>'A) Base RI'!U187</f>
        <v>850</v>
      </c>
      <c r="D185" s="126">
        <f>'D) Ecrêtage'!N185</f>
        <v>73.419117634973645</v>
      </c>
      <c r="E185" s="42">
        <f t="shared" si="11"/>
        <v>0</v>
      </c>
      <c r="F185" s="319">
        <f t="shared" si="12"/>
        <v>0</v>
      </c>
      <c r="G185" s="41">
        <f>'A) Base RI'!T187</f>
        <v>61</v>
      </c>
      <c r="H185" s="320">
        <f t="shared" si="13"/>
        <v>0.90091812505632873</v>
      </c>
      <c r="I185" s="66">
        <f t="shared" si="14"/>
        <v>0</v>
      </c>
    </row>
    <row r="186" spans="1:9" x14ac:dyDescent="0.25">
      <c r="A186" s="57">
        <f>'A) Base RI'!A188</f>
        <v>5709</v>
      </c>
      <c r="B186" s="40" t="str">
        <f>'A) Base RI'!B188</f>
        <v>Chéserex</v>
      </c>
      <c r="C186" s="109">
        <f>'A) Base RI'!U188</f>
        <v>1222</v>
      </c>
      <c r="D186" s="126">
        <f>'D) Ecrêtage'!N186</f>
        <v>101.69836306001316</v>
      </c>
      <c r="E186" s="42">
        <f t="shared" si="11"/>
        <v>0</v>
      </c>
      <c r="F186" s="319">
        <f t="shared" si="12"/>
        <v>0</v>
      </c>
      <c r="G186" s="41">
        <f>'A) Base RI'!T188</f>
        <v>52</v>
      </c>
      <c r="H186" s="320">
        <f t="shared" si="13"/>
        <v>0.76799577873654257</v>
      </c>
      <c r="I186" s="66">
        <f t="shared" si="14"/>
        <v>0</v>
      </c>
    </row>
    <row r="187" spans="1:9" x14ac:dyDescent="0.25">
      <c r="A187" s="57">
        <f>'A) Base RI'!A189</f>
        <v>5710</v>
      </c>
      <c r="B187" s="40" t="str">
        <f>'A) Base RI'!B189</f>
        <v>Coinsins</v>
      </c>
      <c r="C187" s="109">
        <f>'A) Base RI'!U189</f>
        <v>490</v>
      </c>
      <c r="D187" s="126">
        <f>'D) Ecrêtage'!N187</f>
        <v>131.21014586292532</v>
      </c>
      <c r="E187" s="42">
        <f t="shared" si="11"/>
        <v>0</v>
      </c>
      <c r="F187" s="319">
        <f t="shared" si="12"/>
        <v>0</v>
      </c>
      <c r="G187" s="41">
        <f>'A) Base RI'!T189</f>
        <v>41</v>
      </c>
      <c r="H187" s="320">
        <f t="shared" si="13"/>
        <v>0.60553513323458164</v>
      </c>
      <c r="I187" s="66">
        <f t="shared" si="14"/>
        <v>0</v>
      </c>
    </row>
    <row r="188" spans="1:9" x14ac:dyDescent="0.25">
      <c r="A188" s="57">
        <f>'A) Base RI'!A190</f>
        <v>5711</v>
      </c>
      <c r="B188" s="40" t="str">
        <f>'A) Base RI'!B190</f>
        <v>Commugny</v>
      </c>
      <c r="C188" s="109">
        <f>'A) Base RI'!U190</f>
        <v>2561</v>
      </c>
      <c r="D188" s="126">
        <f>'D) Ecrêtage'!N188</f>
        <v>88.398888253930053</v>
      </c>
      <c r="E188" s="42">
        <f t="shared" si="11"/>
        <v>0</v>
      </c>
      <c r="F188" s="319">
        <f t="shared" si="12"/>
        <v>0</v>
      </c>
      <c r="G188" s="41">
        <f>'A) Base RI'!T190</f>
        <v>57</v>
      </c>
      <c r="H188" s="320">
        <f t="shared" si="13"/>
        <v>0.84184152669197931</v>
      </c>
      <c r="I188" s="66">
        <f t="shared" si="14"/>
        <v>0</v>
      </c>
    </row>
    <row r="189" spans="1:9" x14ac:dyDescent="0.25">
      <c r="A189" s="57">
        <f>'A) Base RI'!A191</f>
        <v>5712</v>
      </c>
      <c r="B189" s="40" t="str">
        <f>'A) Base RI'!B191</f>
        <v>Coppet</v>
      </c>
      <c r="C189" s="109">
        <f>'A) Base RI'!U191</f>
        <v>2942</v>
      </c>
      <c r="D189" s="126">
        <f>'D) Ecrêtage'!N189</f>
        <v>95.767466258499994</v>
      </c>
      <c r="E189" s="42">
        <f t="shared" si="11"/>
        <v>0</v>
      </c>
      <c r="F189" s="319">
        <f t="shared" si="12"/>
        <v>0</v>
      </c>
      <c r="G189" s="41">
        <f>'A) Base RI'!T191</f>
        <v>53</v>
      </c>
      <c r="H189" s="320">
        <f t="shared" si="13"/>
        <v>0.78276492832762989</v>
      </c>
      <c r="I189" s="66">
        <f t="shared" si="14"/>
        <v>0</v>
      </c>
    </row>
    <row r="190" spans="1:9" x14ac:dyDescent="0.25">
      <c r="A190" s="57">
        <f>'A) Base RI'!A192</f>
        <v>5713</v>
      </c>
      <c r="B190" s="40" t="str">
        <f>'A) Base RI'!B192</f>
        <v>Crans-près-Céligny</v>
      </c>
      <c r="C190" s="109">
        <f>'A) Base RI'!U192</f>
        <v>2059</v>
      </c>
      <c r="D190" s="126">
        <f>'D) Ecrêtage'!N190</f>
        <v>98.397791899305801</v>
      </c>
      <c r="E190" s="42">
        <f t="shared" si="11"/>
        <v>0</v>
      </c>
      <c r="F190" s="319">
        <f t="shared" si="12"/>
        <v>0</v>
      </c>
      <c r="G190" s="41">
        <f>'A) Base RI'!T192</f>
        <v>53</v>
      </c>
      <c r="H190" s="320">
        <f t="shared" si="13"/>
        <v>0.78276492832762989</v>
      </c>
      <c r="I190" s="66">
        <f t="shared" si="14"/>
        <v>0</v>
      </c>
    </row>
    <row r="191" spans="1:9" x14ac:dyDescent="0.25">
      <c r="A191" s="57">
        <f>'A) Base RI'!A193</f>
        <v>5714</v>
      </c>
      <c r="B191" s="40" t="str">
        <f>'A) Base RI'!B193</f>
        <v>Crassier</v>
      </c>
      <c r="C191" s="109">
        <f>'A) Base RI'!U193</f>
        <v>1172</v>
      </c>
      <c r="D191" s="126">
        <f>'D) Ecrêtage'!N191</f>
        <v>67.715025144173794</v>
      </c>
      <c r="E191" s="42">
        <f t="shared" si="11"/>
        <v>0</v>
      </c>
      <c r="F191" s="319">
        <f t="shared" si="12"/>
        <v>0</v>
      </c>
      <c r="G191" s="41">
        <f>'A) Base RI'!T193</f>
        <v>64</v>
      </c>
      <c r="H191" s="320">
        <f t="shared" si="13"/>
        <v>0.94522557382959083</v>
      </c>
      <c r="I191" s="66">
        <f t="shared" si="14"/>
        <v>0</v>
      </c>
    </row>
    <row r="192" spans="1:9" x14ac:dyDescent="0.25">
      <c r="A192" s="57">
        <f>'A) Base RI'!A194</f>
        <v>5715</v>
      </c>
      <c r="B192" s="40" t="str">
        <f>'A) Base RI'!B194</f>
        <v>Duillier</v>
      </c>
      <c r="C192" s="109">
        <f>'A) Base RI'!U194</f>
        <v>1039</v>
      </c>
      <c r="D192" s="126">
        <f>'D) Ecrêtage'!N192</f>
        <v>60.664139538160434</v>
      </c>
      <c r="E192" s="42">
        <f t="shared" si="11"/>
        <v>0</v>
      </c>
      <c r="F192" s="319">
        <f t="shared" si="12"/>
        <v>0</v>
      </c>
      <c r="G192" s="41">
        <f>'A) Base RI'!T194</f>
        <v>66</v>
      </c>
      <c r="H192" s="320">
        <f t="shared" si="13"/>
        <v>0.97476387301176559</v>
      </c>
      <c r="I192" s="66">
        <f t="shared" si="14"/>
        <v>0</v>
      </c>
    </row>
    <row r="193" spans="1:9" x14ac:dyDescent="0.25">
      <c r="A193" s="57">
        <f>'A) Base RI'!A195</f>
        <v>5716</v>
      </c>
      <c r="B193" s="40" t="str">
        <f>'A) Base RI'!B195</f>
        <v>Eysins</v>
      </c>
      <c r="C193" s="109">
        <f>'A) Base RI'!U195</f>
        <v>1482</v>
      </c>
      <c r="D193" s="126">
        <f>'D) Ecrêtage'!N193</f>
        <v>61.666184163540471</v>
      </c>
      <c r="E193" s="42">
        <f t="shared" si="11"/>
        <v>0</v>
      </c>
      <c r="F193" s="319">
        <f t="shared" si="12"/>
        <v>0</v>
      </c>
      <c r="G193" s="41">
        <f>'A) Base RI'!T195</f>
        <v>61</v>
      </c>
      <c r="H193" s="320">
        <f t="shared" si="13"/>
        <v>0.90091812505632873</v>
      </c>
      <c r="I193" s="66">
        <f t="shared" si="14"/>
        <v>0</v>
      </c>
    </row>
    <row r="194" spans="1:9" x14ac:dyDescent="0.25">
      <c r="A194" s="57">
        <f>'A) Base RI'!A196</f>
        <v>5717</v>
      </c>
      <c r="B194" s="40" t="str">
        <f>'A) Base RI'!B196</f>
        <v>Founex</v>
      </c>
      <c r="C194" s="109">
        <f>'A) Base RI'!U196</f>
        <v>3410</v>
      </c>
      <c r="D194" s="126">
        <f>'D) Ecrêtage'!N194</f>
        <v>94.165706675377919</v>
      </c>
      <c r="E194" s="42">
        <f t="shared" si="11"/>
        <v>0</v>
      </c>
      <c r="F194" s="319">
        <f t="shared" si="12"/>
        <v>0</v>
      </c>
      <c r="G194" s="41">
        <f>'A) Base RI'!T196</f>
        <v>57</v>
      </c>
      <c r="H194" s="320">
        <f t="shared" si="13"/>
        <v>0.84184152669197931</v>
      </c>
      <c r="I194" s="66">
        <f t="shared" si="14"/>
        <v>0</v>
      </c>
    </row>
    <row r="195" spans="1:9" x14ac:dyDescent="0.25">
      <c r="A195" s="57">
        <f>'A) Base RI'!A197</f>
        <v>5718</v>
      </c>
      <c r="B195" s="40" t="str">
        <f>'A) Base RI'!B197</f>
        <v>Genolier</v>
      </c>
      <c r="C195" s="109">
        <f>'A) Base RI'!U197</f>
        <v>1895</v>
      </c>
      <c r="D195" s="126">
        <f>'D) Ecrêtage'!N195</f>
        <v>92.139515264791001</v>
      </c>
      <c r="E195" s="42">
        <f t="shared" si="11"/>
        <v>0</v>
      </c>
      <c r="F195" s="319">
        <f t="shared" si="12"/>
        <v>0</v>
      </c>
      <c r="G195" s="41">
        <f>'A) Base RI'!T197</f>
        <v>55</v>
      </c>
      <c r="H195" s="320">
        <f t="shared" si="13"/>
        <v>0.81230322750980466</v>
      </c>
      <c r="I195" s="66">
        <f t="shared" si="14"/>
        <v>0</v>
      </c>
    </row>
    <row r="196" spans="1:9" x14ac:dyDescent="0.25">
      <c r="A196" s="57">
        <f>'A) Base RI'!A198</f>
        <v>5719</v>
      </c>
      <c r="B196" s="40" t="str">
        <f>'A) Base RI'!B198</f>
        <v>Gingins</v>
      </c>
      <c r="C196" s="109">
        <f>'A) Base RI'!U198</f>
        <v>1195</v>
      </c>
      <c r="D196" s="126">
        <f>'D) Ecrêtage'!N196</f>
        <v>71.559458022547233</v>
      </c>
      <c r="E196" s="42">
        <f t="shared" si="11"/>
        <v>0</v>
      </c>
      <c r="F196" s="319">
        <f t="shared" si="12"/>
        <v>0</v>
      </c>
      <c r="G196" s="41">
        <f>'A) Base RI'!T198</f>
        <v>57</v>
      </c>
      <c r="H196" s="320">
        <f t="shared" si="13"/>
        <v>0.84184152669197931</v>
      </c>
      <c r="I196" s="66">
        <f t="shared" si="14"/>
        <v>0</v>
      </c>
    </row>
    <row r="197" spans="1:9" x14ac:dyDescent="0.25">
      <c r="A197" s="57">
        <f>'A) Base RI'!A199</f>
        <v>5720</v>
      </c>
      <c r="B197" s="40" t="str">
        <f>'A) Base RI'!B199</f>
        <v>Givrins</v>
      </c>
      <c r="C197" s="109">
        <f>'A) Base RI'!U199</f>
        <v>1000</v>
      </c>
      <c r="D197" s="126">
        <f>'D) Ecrêtage'!N197</f>
        <v>70.256366894965041</v>
      </c>
      <c r="E197" s="42">
        <f t="shared" si="11"/>
        <v>0</v>
      </c>
      <c r="F197" s="319">
        <f t="shared" si="12"/>
        <v>0</v>
      </c>
      <c r="G197" s="41">
        <f>'A) Base RI'!T199</f>
        <v>61</v>
      </c>
      <c r="H197" s="320">
        <f t="shared" si="13"/>
        <v>0.90091812505632873</v>
      </c>
      <c r="I197" s="66">
        <f t="shared" si="14"/>
        <v>0</v>
      </c>
    </row>
    <row r="198" spans="1:9" x14ac:dyDescent="0.25">
      <c r="A198" s="57">
        <f>'A) Base RI'!A200</f>
        <v>5721</v>
      </c>
      <c r="B198" s="40" t="str">
        <f>'A) Base RI'!B200</f>
        <v>Gland</v>
      </c>
      <c r="C198" s="109">
        <f>'A) Base RI'!U200</f>
        <v>12829</v>
      </c>
      <c r="D198" s="126">
        <f>'D) Ecrêtage'!N198</f>
        <v>42.181704101644712</v>
      </c>
      <c r="E198" s="42">
        <f t="shared" ref="E198:E261" si="15">IF($D$314-D198&lt;0,0,$D$314-D198)</f>
        <v>3.1292653285714565</v>
      </c>
      <c r="F198" s="319">
        <f t="shared" ref="F198:F261" si="16">(C198*E198*G198)*$E$4</f>
        <v>677452.69519160432</v>
      </c>
      <c r="G198" s="41">
        <f>'A) Base RI'!T200</f>
        <v>62.5</v>
      </c>
      <c r="H198" s="320">
        <f t="shared" ref="H198:H261" si="17">G198/$G$314</f>
        <v>0.92307184944295984</v>
      </c>
      <c r="I198" s="66">
        <f t="shared" ref="I198:I261" si="18">F198*H198</f>
        <v>625337.51226063189</v>
      </c>
    </row>
    <row r="199" spans="1:9" x14ac:dyDescent="0.25">
      <c r="A199" s="57">
        <f>'A) Base RI'!A201</f>
        <v>5722</v>
      </c>
      <c r="B199" s="40" t="str">
        <f>'A) Base RI'!B201</f>
        <v>Grens</v>
      </c>
      <c r="C199" s="109">
        <f>'A) Base RI'!U201</f>
        <v>377</v>
      </c>
      <c r="D199" s="126">
        <f>'D) Ecrêtage'!N199</f>
        <v>54.374913151364758</v>
      </c>
      <c r="E199" s="42">
        <f t="shared" si="15"/>
        <v>0</v>
      </c>
      <c r="F199" s="319">
        <f t="shared" si="16"/>
        <v>0</v>
      </c>
      <c r="G199" s="41">
        <f>'A) Base RI'!T201</f>
        <v>62</v>
      </c>
      <c r="H199" s="320">
        <f t="shared" si="17"/>
        <v>0.91568727464741617</v>
      </c>
      <c r="I199" s="66">
        <f t="shared" si="18"/>
        <v>0</v>
      </c>
    </row>
    <row r="200" spans="1:9" x14ac:dyDescent="0.25">
      <c r="A200" s="57">
        <f>'A) Base RI'!A202</f>
        <v>5723</v>
      </c>
      <c r="B200" s="40" t="str">
        <f>'A) Base RI'!B202</f>
        <v>Mies</v>
      </c>
      <c r="C200" s="109">
        <f>'A) Base RI'!U202</f>
        <v>1791</v>
      </c>
      <c r="D200" s="126">
        <f>'D) Ecrêtage'!N200</f>
        <v>257.73061589599536</v>
      </c>
      <c r="E200" s="42">
        <f t="shared" si="15"/>
        <v>0</v>
      </c>
      <c r="F200" s="319">
        <f t="shared" si="16"/>
        <v>0</v>
      </c>
      <c r="G200" s="41">
        <f>'A) Base RI'!T202</f>
        <v>49</v>
      </c>
      <c r="H200" s="320">
        <f t="shared" si="17"/>
        <v>0.72368832996328047</v>
      </c>
      <c r="I200" s="66">
        <f t="shared" si="18"/>
        <v>0</v>
      </c>
    </row>
    <row r="201" spans="1:9" x14ac:dyDescent="0.25">
      <c r="A201" s="57">
        <f>'A) Base RI'!A203</f>
        <v>5724</v>
      </c>
      <c r="B201" s="40" t="str">
        <f>'A) Base RI'!B203</f>
        <v>Nyon</v>
      </c>
      <c r="C201" s="109">
        <f>'A) Base RI'!U203</f>
        <v>20047</v>
      </c>
      <c r="D201" s="126">
        <f>'D) Ecrêtage'!N201</f>
        <v>68.051228277266588</v>
      </c>
      <c r="E201" s="42">
        <f t="shared" si="15"/>
        <v>0</v>
      </c>
      <c r="F201" s="319">
        <f t="shared" si="16"/>
        <v>0</v>
      </c>
      <c r="G201" s="41">
        <f>'A) Base RI'!T203</f>
        <v>61</v>
      </c>
      <c r="H201" s="320">
        <f t="shared" si="17"/>
        <v>0.90091812505632873</v>
      </c>
      <c r="I201" s="66">
        <f t="shared" si="18"/>
        <v>0</v>
      </c>
    </row>
    <row r="202" spans="1:9" x14ac:dyDescent="0.25">
      <c r="A202" s="57">
        <f>'A) Base RI'!A204</f>
        <v>5725</v>
      </c>
      <c r="B202" s="40" t="str">
        <f>'A) Base RI'!B204</f>
        <v>Prangins</v>
      </c>
      <c r="C202" s="109">
        <f>'A) Base RI'!U204</f>
        <v>4011</v>
      </c>
      <c r="D202" s="126">
        <f>'D) Ecrêtage'!N202</f>
        <v>74.96073594429437</v>
      </c>
      <c r="E202" s="42">
        <f t="shared" si="15"/>
        <v>0</v>
      </c>
      <c r="F202" s="319">
        <f t="shared" si="16"/>
        <v>0</v>
      </c>
      <c r="G202" s="41">
        <f>'A) Base RI'!T204</f>
        <v>56</v>
      </c>
      <c r="H202" s="320">
        <f t="shared" si="17"/>
        <v>0.82707237710089199</v>
      </c>
      <c r="I202" s="66">
        <f t="shared" si="18"/>
        <v>0</v>
      </c>
    </row>
    <row r="203" spans="1:9" x14ac:dyDescent="0.25">
      <c r="A203" s="57">
        <f>'A) Base RI'!A205</f>
        <v>5726</v>
      </c>
      <c r="B203" s="40" t="str">
        <f>'A) Base RI'!B205</f>
        <v>La Rippe</v>
      </c>
      <c r="C203" s="109">
        <f>'A) Base RI'!U205</f>
        <v>1120</v>
      </c>
      <c r="D203" s="126">
        <f>'D) Ecrêtage'!N203</f>
        <v>55.732897939560445</v>
      </c>
      <c r="E203" s="42">
        <f t="shared" si="15"/>
        <v>0</v>
      </c>
      <c r="F203" s="319">
        <f t="shared" si="16"/>
        <v>0</v>
      </c>
      <c r="G203" s="41">
        <f>'A) Base RI'!T205</f>
        <v>65</v>
      </c>
      <c r="H203" s="320">
        <f t="shared" si="17"/>
        <v>0.95999472342067815</v>
      </c>
      <c r="I203" s="66">
        <f t="shared" si="18"/>
        <v>0</v>
      </c>
    </row>
    <row r="204" spans="1:9" x14ac:dyDescent="0.25">
      <c r="A204" s="57">
        <f>'A) Base RI'!A206</f>
        <v>5727</v>
      </c>
      <c r="B204" s="40" t="str">
        <f>'A) Base RI'!B206</f>
        <v>Saint-Cergue</v>
      </c>
      <c r="C204" s="109">
        <f>'A) Base RI'!U206</f>
        <v>2481</v>
      </c>
      <c r="D204" s="126">
        <f>'D) Ecrêtage'!N204</f>
        <v>37.938742361136562</v>
      </c>
      <c r="E204" s="42">
        <f t="shared" si="15"/>
        <v>7.3722270690796066</v>
      </c>
      <c r="F204" s="319">
        <f t="shared" si="16"/>
        <v>325936.6272864475</v>
      </c>
      <c r="G204" s="41">
        <f>'A) Base RI'!T206</f>
        <v>66</v>
      </c>
      <c r="H204" s="320">
        <f t="shared" si="17"/>
        <v>0.97476387301176559</v>
      </c>
      <c r="I204" s="66">
        <f t="shared" si="18"/>
        <v>317711.24917012989</v>
      </c>
    </row>
    <row r="205" spans="1:9" x14ac:dyDescent="0.25">
      <c r="A205" s="57">
        <f>'A) Base RI'!A207</f>
        <v>5728</v>
      </c>
      <c r="B205" s="40" t="str">
        <f>'A) Base RI'!B207</f>
        <v>Signy-Avenex</v>
      </c>
      <c r="C205" s="109">
        <f>'A) Base RI'!U207</f>
        <v>516</v>
      </c>
      <c r="D205" s="126">
        <f>'D) Ecrêtage'!N205</f>
        <v>63.377461733292861</v>
      </c>
      <c r="E205" s="42">
        <f t="shared" si="15"/>
        <v>0</v>
      </c>
      <c r="F205" s="319">
        <f t="shared" si="16"/>
        <v>0</v>
      </c>
      <c r="G205" s="41">
        <f>'A) Base RI'!T207</f>
        <v>56</v>
      </c>
      <c r="H205" s="320">
        <f t="shared" si="17"/>
        <v>0.82707237710089199</v>
      </c>
      <c r="I205" s="66">
        <f t="shared" si="18"/>
        <v>0</v>
      </c>
    </row>
    <row r="206" spans="1:9" x14ac:dyDescent="0.25">
      <c r="A206" s="57">
        <f>'A) Base RI'!A208</f>
        <v>5729</v>
      </c>
      <c r="B206" s="40" t="str">
        <f>'A) Base RI'!B208</f>
        <v>Tannay</v>
      </c>
      <c r="C206" s="109">
        <f>'A) Base RI'!U208</f>
        <v>1430</v>
      </c>
      <c r="D206" s="126">
        <f>'D) Ecrêtage'!N206</f>
        <v>89.533237722760205</v>
      </c>
      <c r="E206" s="42">
        <f t="shared" si="15"/>
        <v>0</v>
      </c>
      <c r="F206" s="319">
        <f t="shared" si="16"/>
        <v>0</v>
      </c>
      <c r="G206" s="41">
        <f>'A) Base RI'!T208</f>
        <v>61</v>
      </c>
      <c r="H206" s="320">
        <f t="shared" si="17"/>
        <v>0.90091812505632873</v>
      </c>
      <c r="I206" s="66">
        <f t="shared" si="18"/>
        <v>0</v>
      </c>
    </row>
    <row r="207" spans="1:9" x14ac:dyDescent="0.25">
      <c r="A207" s="57">
        <f>'A) Base RI'!A209</f>
        <v>5730</v>
      </c>
      <c r="B207" s="40" t="str">
        <f>'A) Base RI'!B209</f>
        <v>Trélex</v>
      </c>
      <c r="C207" s="109">
        <f>'A) Base RI'!U209</f>
        <v>1414</v>
      </c>
      <c r="D207" s="126">
        <f>'D) Ecrêtage'!N207</f>
        <v>81.720737161244998</v>
      </c>
      <c r="E207" s="42">
        <f t="shared" si="15"/>
        <v>0</v>
      </c>
      <c r="F207" s="319">
        <f t="shared" si="16"/>
        <v>0</v>
      </c>
      <c r="G207" s="41">
        <f>'A) Base RI'!T209</f>
        <v>57</v>
      </c>
      <c r="H207" s="320">
        <f t="shared" si="17"/>
        <v>0.84184152669197931</v>
      </c>
      <c r="I207" s="66">
        <f t="shared" si="18"/>
        <v>0</v>
      </c>
    </row>
    <row r="208" spans="1:9" x14ac:dyDescent="0.25">
      <c r="A208" s="57">
        <f>'A) Base RI'!A210</f>
        <v>5731</v>
      </c>
      <c r="B208" s="40" t="str">
        <f>'A) Base RI'!B210</f>
        <v>Le Vaud</v>
      </c>
      <c r="C208" s="109">
        <f>'A) Base RI'!U210</f>
        <v>1260</v>
      </c>
      <c r="D208" s="126">
        <f>'D) Ecrêtage'!N208</f>
        <v>37.513471534391527</v>
      </c>
      <c r="E208" s="42">
        <f t="shared" si="15"/>
        <v>7.797497895824641</v>
      </c>
      <c r="F208" s="319">
        <f t="shared" si="16"/>
        <v>198953.15881196572</v>
      </c>
      <c r="G208" s="41">
        <f>'A) Base RI'!T210</f>
        <v>75</v>
      </c>
      <c r="H208" s="320">
        <f t="shared" si="17"/>
        <v>1.1076862193315518</v>
      </c>
      <c r="I208" s="66">
        <f t="shared" si="18"/>
        <v>220377.67230849611</v>
      </c>
    </row>
    <row r="209" spans="1:9" x14ac:dyDescent="0.25">
      <c r="A209" s="57">
        <f>'A) Base RI'!A211</f>
        <v>5732</v>
      </c>
      <c r="B209" s="40" t="str">
        <f>'A) Base RI'!B211</f>
        <v>Vich</v>
      </c>
      <c r="C209" s="109">
        <f>'A) Base RI'!U211</f>
        <v>958</v>
      </c>
      <c r="D209" s="126">
        <f>'D) Ecrêtage'!N209</f>
        <v>74.922221438205355</v>
      </c>
      <c r="E209" s="42">
        <f t="shared" si="15"/>
        <v>0</v>
      </c>
      <c r="F209" s="319">
        <f t="shared" si="16"/>
        <v>0</v>
      </c>
      <c r="G209" s="41">
        <f>'A) Base RI'!T211</f>
        <v>68</v>
      </c>
      <c r="H209" s="320">
        <f t="shared" si="17"/>
        <v>1.0043021721939402</v>
      </c>
      <c r="I209" s="66">
        <f t="shared" si="18"/>
        <v>0</v>
      </c>
    </row>
    <row r="210" spans="1:9" x14ac:dyDescent="0.25">
      <c r="A210" s="57">
        <f>'A) Base RI'!A212</f>
        <v>5741</v>
      </c>
      <c r="B210" s="40" t="str">
        <f>'A) Base RI'!B212</f>
        <v>L'Abergement</v>
      </c>
      <c r="C210" s="109">
        <f>'A) Base RI'!U212</f>
        <v>240</v>
      </c>
      <c r="D210" s="126">
        <f>'D) Ecrêtage'!N210</f>
        <v>26.976606567215363</v>
      </c>
      <c r="E210" s="42">
        <f t="shared" si="15"/>
        <v>18.334362863000806</v>
      </c>
      <c r="F210" s="319">
        <f t="shared" si="16"/>
        <v>96233.40379531862</v>
      </c>
      <c r="G210" s="41">
        <f>'A) Base RI'!T212</f>
        <v>81</v>
      </c>
      <c r="H210" s="320">
        <f t="shared" si="17"/>
        <v>1.1963011168780759</v>
      </c>
      <c r="I210" s="66">
        <f t="shared" si="18"/>
        <v>115124.12844131853</v>
      </c>
    </row>
    <row r="211" spans="1:9" x14ac:dyDescent="0.25">
      <c r="A211" s="57">
        <f>'A) Base RI'!A213</f>
        <v>5742</v>
      </c>
      <c r="B211" s="40" t="str">
        <f>'A) Base RI'!B213</f>
        <v>Agiez</v>
      </c>
      <c r="C211" s="109">
        <f>'A) Base RI'!U213</f>
        <v>293</v>
      </c>
      <c r="D211" s="126">
        <f>'D) Ecrêtage'!N211</f>
        <v>28.689495239805996</v>
      </c>
      <c r="E211" s="42">
        <f t="shared" si="15"/>
        <v>16.621474190410172</v>
      </c>
      <c r="F211" s="319">
        <f t="shared" si="16"/>
        <v>99934.286563454501</v>
      </c>
      <c r="G211" s="41">
        <f>'A) Base RI'!T213</f>
        <v>76</v>
      </c>
      <c r="H211" s="320">
        <f t="shared" si="17"/>
        <v>1.1224553689226391</v>
      </c>
      <c r="I211" s="66">
        <f t="shared" si="18"/>
        <v>112171.77649260305</v>
      </c>
    </row>
    <row r="212" spans="1:9" x14ac:dyDescent="0.25">
      <c r="A212" s="57">
        <f>'A) Base RI'!A214</f>
        <v>5743</v>
      </c>
      <c r="B212" s="40" t="str">
        <f>'A) Base RI'!B214</f>
        <v>Arnex-sur-Orbe</v>
      </c>
      <c r="C212" s="109">
        <f>'A) Base RI'!U214</f>
        <v>632</v>
      </c>
      <c r="D212" s="126">
        <f>'D) Ecrêtage'!N212</f>
        <v>25.565365332928739</v>
      </c>
      <c r="E212" s="42">
        <f t="shared" si="15"/>
        <v>19.74560409728743</v>
      </c>
      <c r="F212" s="319">
        <f t="shared" si="16"/>
        <v>245965.4614707623</v>
      </c>
      <c r="G212" s="41">
        <f>'A) Base RI'!T214</f>
        <v>73</v>
      </c>
      <c r="H212" s="320">
        <f t="shared" si="17"/>
        <v>1.0781479201493771</v>
      </c>
      <c r="I212" s="66">
        <f t="shared" si="18"/>
        <v>265187.15071328409</v>
      </c>
    </row>
    <row r="213" spans="1:9" x14ac:dyDescent="0.25">
      <c r="A213" s="57">
        <f>'A) Base RI'!A215</f>
        <v>5744</v>
      </c>
      <c r="B213" s="40" t="str">
        <f>'A) Base RI'!B215</f>
        <v>Ballaigues</v>
      </c>
      <c r="C213" s="109">
        <f>'A) Base RI'!U215</f>
        <v>1101</v>
      </c>
      <c r="D213" s="126">
        <f>'D) Ecrêtage'!N213</f>
        <v>60.618474192604154</v>
      </c>
      <c r="E213" s="42">
        <f t="shared" si="15"/>
        <v>0</v>
      </c>
      <c r="F213" s="319">
        <f t="shared" si="16"/>
        <v>0</v>
      </c>
      <c r="G213" s="41">
        <f>'A) Base RI'!T215</f>
        <v>66</v>
      </c>
      <c r="H213" s="320">
        <f t="shared" si="17"/>
        <v>0.97476387301176559</v>
      </c>
      <c r="I213" s="66">
        <f t="shared" si="18"/>
        <v>0</v>
      </c>
    </row>
    <row r="214" spans="1:9" x14ac:dyDescent="0.25">
      <c r="A214" s="57">
        <f>'A) Base RI'!A216</f>
        <v>5745</v>
      </c>
      <c r="B214" s="40" t="str">
        <f>'A) Base RI'!B216</f>
        <v>Baulmes</v>
      </c>
      <c r="C214" s="109">
        <f>'A) Base RI'!U216</f>
        <v>1055</v>
      </c>
      <c r="D214" s="126">
        <f>'D) Ecrêtage'!N214</f>
        <v>25.315871308786001</v>
      </c>
      <c r="E214" s="42">
        <f t="shared" si="15"/>
        <v>19.995098121430168</v>
      </c>
      <c r="F214" s="319">
        <f t="shared" si="16"/>
        <v>444257.08859137195</v>
      </c>
      <c r="G214" s="41">
        <f>'A) Base RI'!T216</f>
        <v>78</v>
      </c>
      <c r="H214" s="320">
        <f t="shared" si="17"/>
        <v>1.1519936681048137</v>
      </c>
      <c r="I214" s="66">
        <f t="shared" si="18"/>
        <v>511781.35306793975</v>
      </c>
    </row>
    <row r="215" spans="1:9" x14ac:dyDescent="0.25">
      <c r="A215" s="57">
        <f>'A) Base RI'!A217</f>
        <v>5746</v>
      </c>
      <c r="B215" s="40" t="str">
        <f>'A) Base RI'!B217</f>
        <v>Bavois</v>
      </c>
      <c r="C215" s="109">
        <f>'A) Base RI'!U217</f>
        <v>939</v>
      </c>
      <c r="D215" s="126">
        <f>'D) Ecrêtage'!N215</f>
        <v>28.302167223462245</v>
      </c>
      <c r="E215" s="42">
        <f t="shared" si="15"/>
        <v>17.008802206753924</v>
      </c>
      <c r="F215" s="319">
        <f t="shared" si="16"/>
        <v>314793.63851391757</v>
      </c>
      <c r="G215" s="41">
        <f>'A) Base RI'!T217</f>
        <v>73</v>
      </c>
      <c r="H215" s="320">
        <f t="shared" si="17"/>
        <v>1.0781479201493771</v>
      </c>
      <c r="I215" s="66">
        <f t="shared" si="18"/>
        <v>339394.10664003505</v>
      </c>
    </row>
    <row r="216" spans="1:9" x14ac:dyDescent="0.25">
      <c r="A216" s="57">
        <f>'A) Base RI'!A218</f>
        <v>5747</v>
      </c>
      <c r="B216" s="40" t="str">
        <f>'A) Base RI'!B218</f>
        <v>Bofflens</v>
      </c>
      <c r="C216" s="109">
        <f>'A) Base RI'!U218</f>
        <v>188</v>
      </c>
      <c r="D216" s="126">
        <f>'D) Ecrêtage'!N216</f>
        <v>28.233112087573236</v>
      </c>
      <c r="E216" s="42">
        <f t="shared" si="15"/>
        <v>17.077857342642933</v>
      </c>
      <c r="F216" s="319">
        <f t="shared" si="16"/>
        <v>59814.170671166321</v>
      </c>
      <c r="G216" s="41">
        <f>'A) Base RI'!T218</f>
        <v>69</v>
      </c>
      <c r="H216" s="320">
        <f t="shared" si="17"/>
        <v>1.0190713217850276</v>
      </c>
      <c r="I216" s="66">
        <f t="shared" si="18"/>
        <v>60954.905967340695</v>
      </c>
    </row>
    <row r="217" spans="1:9" x14ac:dyDescent="0.25">
      <c r="A217" s="57">
        <f>'A) Base RI'!A219</f>
        <v>5748</v>
      </c>
      <c r="B217" s="40" t="str">
        <f>'A) Base RI'!B219</f>
        <v>Bretonnières</v>
      </c>
      <c r="C217" s="109">
        <f>'A) Base RI'!U219</f>
        <v>258</v>
      </c>
      <c r="D217" s="126">
        <f>'D) Ecrêtage'!N217</f>
        <v>28.143377476313518</v>
      </c>
      <c r="E217" s="42">
        <f t="shared" si="15"/>
        <v>17.167591953902651</v>
      </c>
      <c r="F217" s="319">
        <f t="shared" si="16"/>
        <v>86104.400796637827</v>
      </c>
      <c r="G217" s="41">
        <f>'A) Base RI'!T219</f>
        <v>72</v>
      </c>
      <c r="H217" s="320">
        <f t="shared" si="17"/>
        <v>1.0633787705582898</v>
      </c>
      <c r="I217" s="66">
        <f t="shared" si="18"/>
        <v>91561.591858786953</v>
      </c>
    </row>
    <row r="218" spans="1:9" x14ac:dyDescent="0.25">
      <c r="A218" s="57">
        <f>'A) Base RI'!A220</f>
        <v>5749</v>
      </c>
      <c r="B218" s="40" t="str">
        <f>'A) Base RI'!B220</f>
        <v>Chavornay</v>
      </c>
      <c r="C218" s="109">
        <f>'A) Base RI'!U220</f>
        <v>4817</v>
      </c>
      <c r="D218" s="126">
        <f>'D) Ecrêtage'!N218</f>
        <v>27.530812795295088</v>
      </c>
      <c r="E218" s="42">
        <f t="shared" si="15"/>
        <v>17.780156634921081</v>
      </c>
      <c r="F218" s="319">
        <f t="shared" si="16"/>
        <v>1673302.8518928769</v>
      </c>
      <c r="G218" s="41">
        <f>'A) Base RI'!T220</f>
        <v>72.36</v>
      </c>
      <c r="H218" s="320">
        <f t="shared" si="17"/>
        <v>1.0686956644110812</v>
      </c>
      <c r="I218" s="66">
        <f t="shared" si="18"/>
        <v>1788251.5030646152</v>
      </c>
    </row>
    <row r="219" spans="1:9" x14ac:dyDescent="0.25">
      <c r="A219" s="57">
        <f>'A) Base RI'!A221</f>
        <v>5750</v>
      </c>
      <c r="B219" s="40" t="str">
        <f>'A) Base RI'!B221</f>
        <v>Les Clées</v>
      </c>
      <c r="C219" s="109">
        <f>'A) Base RI'!U221</f>
        <v>176</v>
      </c>
      <c r="D219" s="126">
        <f>'D) Ecrêtage'!N219</f>
        <v>27.216322679924243</v>
      </c>
      <c r="E219" s="42">
        <f t="shared" si="15"/>
        <v>18.094646750291925</v>
      </c>
      <c r="F219" s="319">
        <f t="shared" si="16"/>
        <v>68788.609085909789</v>
      </c>
      <c r="G219" s="41">
        <f>'A) Base RI'!T221</f>
        <v>80</v>
      </c>
      <c r="H219" s="320">
        <f t="shared" si="17"/>
        <v>1.1815319672869886</v>
      </c>
      <c r="I219" s="66">
        <f t="shared" si="18"/>
        <v>81275.940620210618</v>
      </c>
    </row>
    <row r="220" spans="1:9" x14ac:dyDescent="0.25">
      <c r="A220" s="57">
        <f>'A) Base RI'!A222</f>
        <v>5752</v>
      </c>
      <c r="B220" s="40" t="str">
        <f>'A) Base RI'!B222</f>
        <v>Croy</v>
      </c>
      <c r="C220" s="109">
        <f>'A) Base RI'!U222</f>
        <v>344</v>
      </c>
      <c r="D220" s="126">
        <f>'D) Ecrêtage'!N220</f>
        <v>26.783448022357899</v>
      </c>
      <c r="E220" s="42">
        <f t="shared" si="15"/>
        <v>18.52752140785827</v>
      </c>
      <c r="F220" s="319">
        <f t="shared" si="16"/>
        <v>127341.87793877884</v>
      </c>
      <c r="G220" s="41">
        <f>'A) Base RI'!T222</f>
        <v>74</v>
      </c>
      <c r="H220" s="320">
        <f t="shared" si="17"/>
        <v>1.0929170697404644</v>
      </c>
      <c r="I220" s="66">
        <f t="shared" si="18"/>
        <v>139174.11209209805</v>
      </c>
    </row>
    <row r="221" spans="1:9" x14ac:dyDescent="0.25">
      <c r="A221" s="57">
        <f>'A) Base RI'!A223</f>
        <v>5754</v>
      </c>
      <c r="B221" s="40" t="str">
        <f>'A) Base RI'!B223</f>
        <v>Juriens</v>
      </c>
      <c r="C221" s="109">
        <f>'A) Base RI'!U223</f>
        <v>302</v>
      </c>
      <c r="D221" s="126">
        <f>'D) Ecrêtage'!N221</f>
        <v>23.849554027998998</v>
      </c>
      <c r="E221" s="42">
        <f t="shared" si="15"/>
        <v>21.46141540221717</v>
      </c>
      <c r="F221" s="319">
        <f t="shared" si="16"/>
        <v>138247.14113984627</v>
      </c>
      <c r="G221" s="41">
        <f>'A) Base RI'!T223</f>
        <v>79</v>
      </c>
      <c r="H221" s="320">
        <f t="shared" si="17"/>
        <v>1.1667628176959013</v>
      </c>
      <c r="I221" s="66">
        <f t="shared" si="18"/>
        <v>161301.62393472999</v>
      </c>
    </row>
    <row r="222" spans="1:9" x14ac:dyDescent="0.25">
      <c r="A222" s="57">
        <f>'A) Base RI'!A224</f>
        <v>5755</v>
      </c>
      <c r="B222" s="40" t="str">
        <f>'A) Base RI'!B224</f>
        <v>Lignerolle</v>
      </c>
      <c r="C222" s="109">
        <f>'A) Base RI'!U224</f>
        <v>405</v>
      </c>
      <c r="D222" s="126">
        <f>'D) Ecrêtage'!N222</f>
        <v>22.509130643738974</v>
      </c>
      <c r="E222" s="42">
        <f t="shared" si="15"/>
        <v>22.801838786477195</v>
      </c>
      <c r="F222" s="319">
        <f t="shared" si="16"/>
        <v>199470.4857041025</v>
      </c>
      <c r="G222" s="41">
        <f>'A) Base RI'!T224</f>
        <v>80</v>
      </c>
      <c r="H222" s="320">
        <f t="shared" si="17"/>
        <v>1.1815319672869886</v>
      </c>
      <c r="I222" s="66">
        <f t="shared" si="18"/>
        <v>235680.75538965935</v>
      </c>
    </row>
    <row r="223" spans="1:9" x14ac:dyDescent="0.25">
      <c r="A223" s="57">
        <f>'A) Base RI'!A225</f>
        <v>5756</v>
      </c>
      <c r="B223" s="40" t="str">
        <f>'A) Base RI'!B225</f>
        <v>Montcherand</v>
      </c>
      <c r="C223" s="109">
        <f>'A) Base RI'!U225</f>
        <v>469</v>
      </c>
      <c r="D223" s="126">
        <f>'D) Ecrêtage'!N223</f>
        <v>31.2237526652452</v>
      </c>
      <c r="E223" s="42">
        <f t="shared" si="15"/>
        <v>14.087216764970968</v>
      </c>
      <c r="F223" s="319">
        <f t="shared" si="16"/>
        <v>128438.22664427571</v>
      </c>
      <c r="G223" s="41">
        <f>'A) Base RI'!T225</f>
        <v>72</v>
      </c>
      <c r="H223" s="320">
        <f t="shared" si="17"/>
        <v>1.0633787705582898</v>
      </c>
      <c r="I223" s="66">
        <f t="shared" si="18"/>
        <v>136578.48354167689</v>
      </c>
    </row>
    <row r="224" spans="1:9" x14ac:dyDescent="0.25">
      <c r="A224" s="57">
        <f>'A) Base RI'!A226</f>
        <v>5757</v>
      </c>
      <c r="B224" s="40" t="str">
        <f>'A) Base RI'!B226</f>
        <v>Orbe</v>
      </c>
      <c r="C224" s="109">
        <f>'A) Base RI'!U226</f>
        <v>6805</v>
      </c>
      <c r="D224" s="126">
        <f>'D) Ecrêtage'!N224</f>
        <v>32.249686021804322</v>
      </c>
      <c r="E224" s="42">
        <f t="shared" si="15"/>
        <v>13.061283408411846</v>
      </c>
      <c r="F224" s="319">
        <f t="shared" si="16"/>
        <v>1775863.0312129676</v>
      </c>
      <c r="G224" s="41">
        <f>'A) Base RI'!T226</f>
        <v>74</v>
      </c>
      <c r="H224" s="320">
        <f t="shared" si="17"/>
        <v>1.0929170697404644</v>
      </c>
      <c r="I224" s="66">
        <f t="shared" si="18"/>
        <v>1940871.0203336955</v>
      </c>
    </row>
    <row r="225" spans="1:9" x14ac:dyDescent="0.25">
      <c r="A225" s="57">
        <f>'A) Base RI'!A227</f>
        <v>5758</v>
      </c>
      <c r="B225" s="40" t="str">
        <f>'A) Base RI'!B227</f>
        <v>La Praz</v>
      </c>
      <c r="C225" s="109">
        <f>'A) Base RI'!U227</f>
        <v>159</v>
      </c>
      <c r="D225" s="126">
        <f>'D) Ecrêtage'!N225</f>
        <v>23.853344362776049</v>
      </c>
      <c r="E225" s="42">
        <f t="shared" si="15"/>
        <v>21.457625067440119</v>
      </c>
      <c r="F225" s="319">
        <f t="shared" si="16"/>
        <v>76457.595064051973</v>
      </c>
      <c r="G225" s="41">
        <f>'A) Base RI'!T227</f>
        <v>83</v>
      </c>
      <c r="H225" s="320">
        <f t="shared" si="17"/>
        <v>1.2258394160602506</v>
      </c>
      <c r="I225" s="66">
        <f t="shared" si="18"/>
        <v>93724.733686688574</v>
      </c>
    </row>
    <row r="226" spans="1:9" x14ac:dyDescent="0.25">
      <c r="A226" s="57">
        <f>'A) Base RI'!A228</f>
        <v>5759</v>
      </c>
      <c r="B226" s="40" t="str">
        <f>'A) Base RI'!B228</f>
        <v>Premier</v>
      </c>
      <c r="C226" s="109">
        <f>'A) Base RI'!U228</f>
        <v>196</v>
      </c>
      <c r="D226" s="126">
        <f>'D) Ecrêtage'!N226</f>
        <v>23.926145754598135</v>
      </c>
      <c r="E226" s="42">
        <f t="shared" si="15"/>
        <v>21.384823675618033</v>
      </c>
      <c r="F226" s="319">
        <f t="shared" si="16"/>
        <v>91666.474382010201</v>
      </c>
      <c r="G226" s="41">
        <f>'A) Base RI'!T228</f>
        <v>81</v>
      </c>
      <c r="H226" s="320">
        <f t="shared" si="17"/>
        <v>1.1963011168780759</v>
      </c>
      <c r="I226" s="66">
        <f t="shared" si="18"/>
        <v>109660.70568347434</v>
      </c>
    </row>
    <row r="227" spans="1:9" x14ac:dyDescent="0.25">
      <c r="A227" s="57">
        <f>'A) Base RI'!A229</f>
        <v>5760</v>
      </c>
      <c r="B227" s="40" t="str">
        <f>'A) Base RI'!B229</f>
        <v>Rances</v>
      </c>
      <c r="C227" s="109">
        <f>'A) Base RI'!U229</f>
        <v>473</v>
      </c>
      <c r="D227" s="126">
        <f>'D) Ecrêtage'!N227</f>
        <v>27.965347933720025</v>
      </c>
      <c r="E227" s="42">
        <f t="shared" si="15"/>
        <v>17.345621496496143</v>
      </c>
      <c r="F227" s="319">
        <f t="shared" si="16"/>
        <v>172786.32706276677</v>
      </c>
      <c r="G227" s="41">
        <f>'A) Base RI'!T229</f>
        <v>78</v>
      </c>
      <c r="H227" s="320">
        <f t="shared" si="17"/>
        <v>1.1519936681048137</v>
      </c>
      <c r="I227" s="66">
        <f t="shared" si="18"/>
        <v>199048.75471139472</v>
      </c>
    </row>
    <row r="228" spans="1:9" x14ac:dyDescent="0.25">
      <c r="A228" s="57">
        <f>'A) Base RI'!A230</f>
        <v>5761</v>
      </c>
      <c r="B228" s="40" t="str">
        <f>'A) Base RI'!B230</f>
        <v>Romainmôtier-Envy</v>
      </c>
      <c r="C228" s="109">
        <f>'A) Base RI'!U230</f>
        <v>546</v>
      </c>
      <c r="D228" s="126">
        <f>'D) Ecrêtage'!N228</f>
        <v>22.281896688837474</v>
      </c>
      <c r="E228" s="42">
        <f t="shared" si="15"/>
        <v>23.029072741378695</v>
      </c>
      <c r="F228" s="319">
        <f t="shared" si="16"/>
        <v>258015.88866858761</v>
      </c>
      <c r="G228" s="41">
        <f>'A) Base RI'!T230</f>
        <v>76</v>
      </c>
      <c r="H228" s="320">
        <f t="shared" si="17"/>
        <v>1.1224553689226391</v>
      </c>
      <c r="I228" s="66">
        <f t="shared" si="18"/>
        <v>289611.31950340205</v>
      </c>
    </row>
    <row r="229" spans="1:9" x14ac:dyDescent="0.25">
      <c r="A229" s="57">
        <f>'A) Base RI'!A231</f>
        <v>5762</v>
      </c>
      <c r="B229" s="40" t="str">
        <f>'A) Base RI'!B231</f>
        <v>Sergey</v>
      </c>
      <c r="C229" s="109">
        <f>'A) Base RI'!U231</f>
        <v>140</v>
      </c>
      <c r="D229" s="126">
        <f>'D) Ecrêtage'!N229</f>
        <v>25.618204212454213</v>
      </c>
      <c r="E229" s="42">
        <f t="shared" si="15"/>
        <v>19.692765217761956</v>
      </c>
      <c r="F229" s="319">
        <f t="shared" si="16"/>
        <v>58062.148968049354</v>
      </c>
      <c r="G229" s="41">
        <f>'A) Base RI'!T231</f>
        <v>78</v>
      </c>
      <c r="H229" s="320">
        <f t="shared" si="17"/>
        <v>1.1519936681048137</v>
      </c>
      <c r="I229" s="66">
        <f t="shared" si="18"/>
        <v>66887.2279677513</v>
      </c>
    </row>
    <row r="230" spans="1:9" x14ac:dyDescent="0.25">
      <c r="A230" s="57">
        <f>'A) Base RI'!A232</f>
        <v>5763</v>
      </c>
      <c r="B230" s="40" t="str">
        <f>'A) Base RI'!B232</f>
        <v>Valeyres-sous-Rances</v>
      </c>
      <c r="C230" s="109">
        <f>'A) Base RI'!U232</f>
        <v>623</v>
      </c>
      <c r="D230" s="126">
        <f>'D) Ecrêtage'!N230</f>
        <v>25.819985183355968</v>
      </c>
      <c r="E230" s="42">
        <f t="shared" si="15"/>
        <v>19.490984246860201</v>
      </c>
      <c r="F230" s="319">
        <f t="shared" si="16"/>
        <v>213107.59991068306</v>
      </c>
      <c r="G230" s="41">
        <f>'A) Base RI'!T232</f>
        <v>65</v>
      </c>
      <c r="H230" s="320">
        <f t="shared" si="17"/>
        <v>0.95999472342067815</v>
      </c>
      <c r="I230" s="66">
        <f t="shared" si="18"/>
        <v>204582.17143510072</v>
      </c>
    </row>
    <row r="231" spans="1:9" x14ac:dyDescent="0.25">
      <c r="A231" s="57">
        <f>'A) Base RI'!A233</f>
        <v>5764</v>
      </c>
      <c r="B231" s="40" t="str">
        <f>'A) Base RI'!B233</f>
        <v>Vallorbe</v>
      </c>
      <c r="C231" s="109">
        <f>'A) Base RI'!U233</f>
        <v>3747</v>
      </c>
      <c r="D231" s="126">
        <f>'D) Ecrêtage'!N231</f>
        <v>22.555006239225612</v>
      </c>
      <c r="E231" s="42">
        <f t="shared" si="15"/>
        <v>22.755963190990556</v>
      </c>
      <c r="F231" s="319">
        <f t="shared" si="16"/>
        <v>1703626.5496512996</v>
      </c>
      <c r="G231" s="41">
        <f>'A) Base RI'!T233</f>
        <v>74</v>
      </c>
      <c r="H231" s="320">
        <f t="shared" si="17"/>
        <v>1.0929170697404644</v>
      </c>
      <c r="I231" s="66">
        <f t="shared" si="18"/>
        <v>1861922.5365769563</v>
      </c>
    </row>
    <row r="232" spans="1:9" x14ac:dyDescent="0.25">
      <c r="A232" s="57">
        <f>'A) Base RI'!A234</f>
        <v>5765</v>
      </c>
      <c r="B232" s="40" t="str">
        <f>'A) Base RI'!B234</f>
        <v>Vaulion</v>
      </c>
      <c r="C232" s="109">
        <f>'A) Base RI'!U234</f>
        <v>494</v>
      </c>
      <c r="D232" s="126">
        <f>'D) Ecrêtage'!N232</f>
        <v>20.645803968610984</v>
      </c>
      <c r="E232" s="42">
        <f t="shared" si="15"/>
        <v>24.665165461605184</v>
      </c>
      <c r="F232" s="319">
        <f t="shared" si="16"/>
        <v>266477.02131078084</v>
      </c>
      <c r="G232" s="41">
        <f>'A) Base RI'!T234</f>
        <v>81</v>
      </c>
      <c r="H232" s="320">
        <f t="shared" si="17"/>
        <v>1.1963011168780759</v>
      </c>
      <c r="I232" s="66">
        <f t="shared" si="18"/>
        <v>318786.75821642997</v>
      </c>
    </row>
    <row r="233" spans="1:9" x14ac:dyDescent="0.25">
      <c r="A233" s="57">
        <f>'A) Base RI'!A235</f>
        <v>5766</v>
      </c>
      <c r="B233" s="40" t="str">
        <f>'A) Base RI'!B235</f>
        <v>Vuiteboeuf</v>
      </c>
      <c r="C233" s="109">
        <f>'A) Base RI'!U235</f>
        <v>556</v>
      </c>
      <c r="D233" s="126">
        <f>'D) Ecrêtage'!N233</f>
        <v>23.424389523631557</v>
      </c>
      <c r="E233" s="42">
        <f t="shared" si="15"/>
        <v>21.886579906584611</v>
      </c>
      <c r="F233" s="319">
        <f t="shared" si="16"/>
        <v>252992.22991938912</v>
      </c>
      <c r="G233" s="41">
        <f>'A) Base RI'!T235</f>
        <v>77</v>
      </c>
      <c r="H233" s="320">
        <f t="shared" si="17"/>
        <v>1.1372245185137264</v>
      </c>
      <c r="I233" s="66">
        <f t="shared" si="18"/>
        <v>287708.96685779124</v>
      </c>
    </row>
    <row r="234" spans="1:9" x14ac:dyDescent="0.25">
      <c r="A234" s="57">
        <f>'A) Base RI'!A236</f>
        <v>5785</v>
      </c>
      <c r="B234" s="40" t="str">
        <f>'A) Base RI'!B236</f>
        <v>Corcelles-le-Jorat</v>
      </c>
      <c r="C234" s="109">
        <f>'A) Base RI'!U236</f>
        <v>425</v>
      </c>
      <c r="D234" s="126">
        <f>'D) Ecrêtage'!N234</f>
        <v>28.882890145148966</v>
      </c>
      <c r="E234" s="42">
        <f t="shared" si="15"/>
        <v>16.428079285067202</v>
      </c>
      <c r="F234" s="319">
        <f t="shared" si="16"/>
        <v>145154.40154303255</v>
      </c>
      <c r="G234" s="41">
        <f>'A) Base RI'!T236</f>
        <v>77</v>
      </c>
      <c r="H234" s="320">
        <f t="shared" si="17"/>
        <v>1.1372245185137264</v>
      </c>
      <c r="I234" s="66">
        <f t="shared" si="18"/>
        <v>165073.14440492331</v>
      </c>
    </row>
    <row r="235" spans="1:9" x14ac:dyDescent="0.25">
      <c r="A235" s="57">
        <f>'A) Base RI'!A237</f>
        <v>5788</v>
      </c>
      <c r="B235" s="40" t="str">
        <f>'A) Base RI'!B237</f>
        <v>Essertes</v>
      </c>
      <c r="C235" s="109">
        <f>'A) Base RI'!U237</f>
        <v>335</v>
      </c>
      <c r="D235" s="126">
        <f>'D) Ecrêtage'!N235</f>
        <v>28.84541873963515</v>
      </c>
      <c r="E235" s="42">
        <f t="shared" si="15"/>
        <v>16.465550690581019</v>
      </c>
      <c r="F235" s="319">
        <f t="shared" si="16"/>
        <v>107230.25231733982</v>
      </c>
      <c r="G235" s="41">
        <f>'A) Base RI'!T237</f>
        <v>72</v>
      </c>
      <c r="H235" s="320">
        <f t="shared" si="17"/>
        <v>1.0633787705582898</v>
      </c>
      <c r="I235" s="66">
        <f t="shared" si="18"/>
        <v>114026.37387586803</v>
      </c>
    </row>
    <row r="236" spans="1:9" x14ac:dyDescent="0.25">
      <c r="A236" s="57">
        <f>'A) Base RI'!A238</f>
        <v>5790</v>
      </c>
      <c r="B236" s="40" t="str">
        <f>'A) Base RI'!B238</f>
        <v>Maracon</v>
      </c>
      <c r="C236" s="109">
        <f>'A) Base RI'!U238</f>
        <v>449</v>
      </c>
      <c r="D236" s="126">
        <f>'D) Ecrêtage'!N236</f>
        <v>26.899214629000113</v>
      </c>
      <c r="E236" s="42">
        <f t="shared" si="15"/>
        <v>18.411754801216055</v>
      </c>
      <c r="F236" s="319">
        <f t="shared" si="16"/>
        <v>169636.33462590812</v>
      </c>
      <c r="G236" s="41">
        <f>'A) Base RI'!T238</f>
        <v>76</v>
      </c>
      <c r="H236" s="320">
        <f t="shared" si="17"/>
        <v>1.1224553689226391</v>
      </c>
      <c r="I236" s="66">
        <f t="shared" si="18"/>
        <v>190409.21456520795</v>
      </c>
    </row>
    <row r="237" spans="1:9" x14ac:dyDescent="0.25">
      <c r="A237" s="57">
        <f>'A) Base RI'!A239</f>
        <v>5792</v>
      </c>
      <c r="B237" s="40" t="str">
        <f>'A) Base RI'!B239</f>
        <v>Montpreveyres</v>
      </c>
      <c r="C237" s="109">
        <f>'A) Base RI'!U239</f>
        <v>621</v>
      </c>
      <c r="D237" s="126">
        <f>'D) Ecrêtage'!N237</f>
        <v>25.234895330112721</v>
      </c>
      <c r="E237" s="42">
        <f t="shared" si="15"/>
        <v>20.076074100103448</v>
      </c>
      <c r="F237" s="319">
        <f t="shared" si="16"/>
        <v>259193.96151605455</v>
      </c>
      <c r="G237" s="41">
        <f>'A) Base RI'!T239</f>
        <v>77</v>
      </c>
      <c r="H237" s="320">
        <f t="shared" si="17"/>
        <v>1.1372245185137264</v>
      </c>
      <c r="I237" s="66">
        <f t="shared" si="18"/>
        <v>294761.72808676044</v>
      </c>
    </row>
    <row r="238" spans="1:9" x14ac:dyDescent="0.25">
      <c r="A238" s="57">
        <f>'A) Base RI'!A240</f>
        <v>5798</v>
      </c>
      <c r="B238" s="40" t="str">
        <f>'A) Base RI'!B240</f>
        <v>Ropraz</v>
      </c>
      <c r="C238" s="109">
        <f>'A) Base RI'!U240</f>
        <v>438</v>
      </c>
      <c r="D238" s="126">
        <f>'D) Ecrêtage'!N238</f>
        <v>25.050205332154956</v>
      </c>
      <c r="E238" s="42">
        <f t="shared" si="15"/>
        <v>20.260764098061212</v>
      </c>
      <c r="F238" s="319">
        <f t="shared" si="16"/>
        <v>185692.94207334574</v>
      </c>
      <c r="G238" s="41">
        <f>'A) Base RI'!T240</f>
        <v>77.5</v>
      </c>
      <c r="H238" s="320">
        <f t="shared" si="17"/>
        <v>1.1446090933092701</v>
      </c>
      <c r="I238" s="66">
        <f t="shared" si="18"/>
        <v>212545.83006050307</v>
      </c>
    </row>
    <row r="239" spans="1:9" x14ac:dyDescent="0.25">
      <c r="A239" s="57">
        <f>'A) Base RI'!A241</f>
        <v>5799</v>
      </c>
      <c r="B239" s="40" t="str">
        <f>'A) Base RI'!B241</f>
        <v>Servion</v>
      </c>
      <c r="C239" s="109">
        <f>'A) Base RI'!U241</f>
        <v>1918</v>
      </c>
      <c r="D239" s="126">
        <f>'D) Ecrêtage'!N239</f>
        <v>31.594712185096196</v>
      </c>
      <c r="E239" s="42">
        <f t="shared" si="15"/>
        <v>13.716257245119973</v>
      </c>
      <c r="F239" s="319">
        <f t="shared" si="16"/>
        <v>490113.96741009026</v>
      </c>
      <c r="G239" s="41">
        <f>'A) Base RI'!T241</f>
        <v>69</v>
      </c>
      <c r="H239" s="320">
        <f t="shared" si="17"/>
        <v>1.0190713217850276</v>
      </c>
      <c r="I239" s="66">
        <f t="shared" si="18"/>
        <v>499461.08859390463</v>
      </c>
    </row>
    <row r="240" spans="1:9" x14ac:dyDescent="0.25">
      <c r="A240" s="57">
        <f>'A) Base RI'!A242</f>
        <v>5803</v>
      </c>
      <c r="B240" s="40" t="str">
        <f>'A) Base RI'!B242</f>
        <v>Vulliens</v>
      </c>
      <c r="C240" s="109">
        <f>'A) Base RI'!U242</f>
        <v>466</v>
      </c>
      <c r="D240" s="126">
        <f>'D) Ecrêtage'!N240</f>
        <v>30.504475624518541</v>
      </c>
      <c r="E240" s="42">
        <f t="shared" si="15"/>
        <v>14.806493805697627</v>
      </c>
      <c r="F240" s="319">
        <f t="shared" si="16"/>
        <v>145310.3379493643</v>
      </c>
      <c r="G240" s="41">
        <f>'A) Base RI'!T242</f>
        <v>78</v>
      </c>
      <c r="H240" s="320">
        <f t="shared" si="17"/>
        <v>1.1519936681048137</v>
      </c>
      <c r="I240" s="66">
        <f t="shared" si="18"/>
        <v>167396.5892278383</v>
      </c>
    </row>
    <row r="241" spans="1:9" x14ac:dyDescent="0.25">
      <c r="A241" s="57">
        <f>'A) Base RI'!A243</f>
        <v>5804</v>
      </c>
      <c r="B241" s="40" t="str">
        <f>'A) Base RI'!B243</f>
        <v>Jorat-Menthue</v>
      </c>
      <c r="C241" s="109">
        <f>'A) Base RI'!U243</f>
        <v>1545</v>
      </c>
      <c r="D241" s="126">
        <f>'D) Ecrêtage'!N241</f>
        <v>31.426868033081629</v>
      </c>
      <c r="E241" s="42">
        <f t="shared" si="15"/>
        <v>13.88410139713454</v>
      </c>
      <c r="F241" s="319">
        <f t="shared" si="16"/>
        <v>417006.20864265651</v>
      </c>
      <c r="G241" s="41">
        <f>'A) Base RI'!T243</f>
        <v>72</v>
      </c>
      <c r="H241" s="320">
        <f t="shared" si="17"/>
        <v>1.0633787705582898</v>
      </c>
      <c r="I241" s="66">
        <f t="shared" si="18"/>
        <v>443435.54946160177</v>
      </c>
    </row>
    <row r="242" spans="1:9" x14ac:dyDescent="0.25">
      <c r="A242" s="57">
        <f>'A) Base RI'!A244</f>
        <v>5805</v>
      </c>
      <c r="B242" s="40" t="str">
        <f>'A) Base RI'!B244</f>
        <v>Oron</v>
      </c>
      <c r="C242" s="109">
        <f>'A) Base RI'!U244</f>
        <v>5397</v>
      </c>
      <c r="D242" s="126">
        <f>'D) Ecrêtage'!N242</f>
        <v>27.25667269890582</v>
      </c>
      <c r="E242" s="42">
        <f t="shared" si="15"/>
        <v>18.054296731310348</v>
      </c>
      <c r="F242" s="319">
        <f t="shared" si="16"/>
        <v>1815289.3051189708</v>
      </c>
      <c r="G242" s="41">
        <f>'A) Base RI'!T244</f>
        <v>69</v>
      </c>
      <c r="H242" s="320">
        <f t="shared" si="17"/>
        <v>1.0190713217850276</v>
      </c>
      <c r="I242" s="66">
        <f t="shared" si="18"/>
        <v>1849909.2715898138</v>
      </c>
    </row>
    <row r="243" spans="1:9" x14ac:dyDescent="0.25">
      <c r="A243" s="57">
        <f>'A) Base RI'!A245</f>
        <v>5806</v>
      </c>
      <c r="B243" s="40" t="str">
        <f>'A) Base RI'!B245</f>
        <v>Jorat-Mézières</v>
      </c>
      <c r="C243" s="109">
        <f>'A) Base RI'!U245</f>
        <v>2814</v>
      </c>
      <c r="D243" s="126">
        <f>'D) Ecrêtage'!N243</f>
        <v>32.331261549395876</v>
      </c>
      <c r="E243" s="42">
        <f t="shared" si="15"/>
        <v>12.979707880820293</v>
      </c>
      <c r="F243" s="319">
        <f t="shared" si="16"/>
        <v>749490.90648041281</v>
      </c>
      <c r="G243" s="41">
        <f>'A) Base RI'!T245</f>
        <v>76</v>
      </c>
      <c r="H243" s="320">
        <f t="shared" si="17"/>
        <v>1.1224553689226391</v>
      </c>
      <c r="I243" s="66">
        <f t="shared" si="18"/>
        <v>841270.09193763498</v>
      </c>
    </row>
    <row r="244" spans="1:9" x14ac:dyDescent="0.25">
      <c r="A244" s="57">
        <f>'A) Base RI'!A246</f>
        <v>5812</v>
      </c>
      <c r="B244" s="40" t="str">
        <f>'A) Base RI'!B246</f>
        <v>Champtauroz</v>
      </c>
      <c r="C244" s="109">
        <f>'A) Base RI'!U246</f>
        <v>130</v>
      </c>
      <c r="D244" s="126">
        <f>'D) Ecrêtage'!N244</f>
        <v>17.896738761238762</v>
      </c>
      <c r="E244" s="42">
        <f t="shared" si="15"/>
        <v>27.414230668977407</v>
      </c>
      <c r="F244" s="319">
        <f t="shared" si="16"/>
        <v>74092.441229045246</v>
      </c>
      <c r="G244" s="41">
        <f>'A) Base RI'!T246</f>
        <v>77</v>
      </c>
      <c r="H244" s="320">
        <f t="shared" si="17"/>
        <v>1.1372245185137264</v>
      </c>
      <c r="I244" s="66">
        <f t="shared" si="18"/>
        <v>84259.740802207554</v>
      </c>
    </row>
    <row r="245" spans="1:9" x14ac:dyDescent="0.25">
      <c r="A245" s="57">
        <f>'A) Base RI'!A247</f>
        <v>5813</v>
      </c>
      <c r="B245" s="40" t="str">
        <f>'A) Base RI'!B247</f>
        <v>Chevroux</v>
      </c>
      <c r="C245" s="109">
        <f>'A) Base RI'!U247</f>
        <v>446</v>
      </c>
      <c r="D245" s="126">
        <f>'D) Ecrêtage'!N245</f>
        <v>25.792219677557124</v>
      </c>
      <c r="E245" s="42">
        <f t="shared" si="15"/>
        <v>19.518749752659044</v>
      </c>
      <c r="F245" s="319">
        <f t="shared" si="16"/>
        <v>164531.34916506417</v>
      </c>
      <c r="G245" s="41">
        <f>'A) Base RI'!T247</f>
        <v>70</v>
      </c>
      <c r="H245" s="320">
        <f t="shared" si="17"/>
        <v>1.0338404713761149</v>
      </c>
      <c r="I245" s="66">
        <f t="shared" si="18"/>
        <v>170099.16757695808</v>
      </c>
    </row>
    <row r="246" spans="1:9" x14ac:dyDescent="0.25">
      <c r="A246" s="57">
        <f>'A) Base RI'!A248</f>
        <v>5816</v>
      </c>
      <c r="B246" s="40" t="str">
        <f>'A) Base RI'!B248</f>
        <v>Corcelles-près-Payerne</v>
      </c>
      <c r="C246" s="109">
        <f>'A) Base RI'!U248</f>
        <v>2393</v>
      </c>
      <c r="D246" s="126">
        <f>'D) Ecrêtage'!N246</f>
        <v>23.669480503651521</v>
      </c>
      <c r="E246" s="42">
        <f t="shared" si="15"/>
        <v>21.641488926564648</v>
      </c>
      <c r="F246" s="319">
        <f t="shared" si="16"/>
        <v>1006760.3335446734</v>
      </c>
      <c r="G246" s="41">
        <f>'A) Base RI'!T248</f>
        <v>72</v>
      </c>
      <c r="H246" s="320">
        <f t="shared" si="17"/>
        <v>1.0633787705582898</v>
      </c>
      <c r="I246" s="66">
        <f t="shared" si="18"/>
        <v>1070567.5657315885</v>
      </c>
    </row>
    <row r="247" spans="1:9" x14ac:dyDescent="0.25">
      <c r="A247" s="57">
        <f>'A) Base RI'!A249</f>
        <v>5817</v>
      </c>
      <c r="B247" s="40" t="str">
        <f>'A) Base RI'!B249</f>
        <v>Grandcour</v>
      </c>
      <c r="C247" s="109">
        <f>'A) Base RI'!U249</f>
        <v>885</v>
      </c>
      <c r="D247" s="126">
        <f>'D) Ecrêtage'!N247</f>
        <v>23.718135948548483</v>
      </c>
      <c r="E247" s="42">
        <f t="shared" si="15"/>
        <v>21.592833481667686</v>
      </c>
      <c r="F247" s="319">
        <f t="shared" si="16"/>
        <v>410188.8010553373</v>
      </c>
      <c r="G247" s="41">
        <f>'A) Base RI'!T249</f>
        <v>79.5</v>
      </c>
      <c r="H247" s="320">
        <f t="shared" si="17"/>
        <v>1.174147392491445</v>
      </c>
      <c r="I247" s="66">
        <f t="shared" si="18"/>
        <v>481622.11118831637</v>
      </c>
    </row>
    <row r="248" spans="1:9" x14ac:dyDescent="0.25">
      <c r="A248" s="57">
        <f>'A) Base RI'!A250</f>
        <v>5819</v>
      </c>
      <c r="B248" s="40" t="str">
        <f>'A) Base RI'!B250</f>
        <v>Henniez</v>
      </c>
      <c r="C248" s="109">
        <f>'A) Base RI'!U250</f>
        <v>338</v>
      </c>
      <c r="D248" s="126">
        <f>'D) Ecrêtage'!N248</f>
        <v>44.230011481056259</v>
      </c>
      <c r="E248" s="42">
        <f t="shared" si="15"/>
        <v>1.0809579491599095</v>
      </c>
      <c r="F248" s="319">
        <f t="shared" si="16"/>
        <v>6609.4309035023334</v>
      </c>
      <c r="G248" s="41">
        <f>'A) Base RI'!T250</f>
        <v>67</v>
      </c>
      <c r="H248" s="320">
        <f t="shared" si="17"/>
        <v>0.98953302260285292</v>
      </c>
      <c r="I248" s="66">
        <f t="shared" si="18"/>
        <v>6540.2501396273692</v>
      </c>
    </row>
    <row r="249" spans="1:9" x14ac:dyDescent="0.25">
      <c r="A249" s="57">
        <f>'A) Base RI'!A251</f>
        <v>5821</v>
      </c>
      <c r="B249" s="40" t="str">
        <f>'A) Base RI'!B251</f>
        <v>Missy</v>
      </c>
      <c r="C249" s="109">
        <f>'A) Base RI'!U251</f>
        <v>361</v>
      </c>
      <c r="D249" s="126">
        <f>'D) Ecrêtage'!N249</f>
        <v>21.540882194521391</v>
      </c>
      <c r="E249" s="42">
        <f t="shared" si="15"/>
        <v>23.770087235694778</v>
      </c>
      <c r="F249" s="319">
        <f t="shared" si="16"/>
        <v>166814.66900614821</v>
      </c>
      <c r="G249" s="41">
        <f>'A) Base RI'!T251</f>
        <v>72</v>
      </c>
      <c r="H249" s="320">
        <f t="shared" si="17"/>
        <v>1.0633787705582898</v>
      </c>
      <c r="I249" s="66">
        <f t="shared" si="18"/>
        <v>177387.17763884593</v>
      </c>
    </row>
    <row r="250" spans="1:9" x14ac:dyDescent="0.25">
      <c r="A250" s="57">
        <f>'A) Base RI'!A252</f>
        <v>5822</v>
      </c>
      <c r="B250" s="40" t="str">
        <f>'A) Base RI'!B252</f>
        <v>Payerne</v>
      </c>
      <c r="C250" s="109">
        <f>'A) Base RI'!U252</f>
        <v>9301</v>
      </c>
      <c r="D250" s="126">
        <f>'D) Ecrêtage'!N250</f>
        <v>24.889116367415689</v>
      </c>
      <c r="E250" s="42">
        <f t="shared" si="15"/>
        <v>20.42185306280048</v>
      </c>
      <c r="F250" s="319">
        <f t="shared" si="16"/>
        <v>3846359.0205764221</v>
      </c>
      <c r="G250" s="41">
        <f>'A) Base RI'!T252</f>
        <v>75</v>
      </c>
      <c r="H250" s="320">
        <f t="shared" si="17"/>
        <v>1.1076862193315518</v>
      </c>
      <c r="I250" s="66">
        <f t="shared" si="18"/>
        <v>4260558.8816941073</v>
      </c>
    </row>
    <row r="251" spans="1:9" x14ac:dyDescent="0.25">
      <c r="A251" s="57">
        <f>'A) Base RI'!A253</f>
        <v>5827</v>
      </c>
      <c r="B251" s="40" t="str">
        <f>'A) Base RI'!B253</f>
        <v>Trey</v>
      </c>
      <c r="C251" s="109">
        <f>'A) Base RI'!U253</f>
        <v>260</v>
      </c>
      <c r="D251" s="126">
        <f>'D) Ecrêtage'!N251</f>
        <v>23.865066826923073</v>
      </c>
      <c r="E251" s="42">
        <f t="shared" si="15"/>
        <v>21.445902603293096</v>
      </c>
      <c r="F251" s="319">
        <f t="shared" si="16"/>
        <v>120440.18902009403</v>
      </c>
      <c r="G251" s="41">
        <f>'A) Base RI'!T253</f>
        <v>80</v>
      </c>
      <c r="H251" s="320">
        <f t="shared" si="17"/>
        <v>1.1815319672869886</v>
      </c>
      <c r="I251" s="66">
        <f t="shared" si="18"/>
        <v>142303.93347332845</v>
      </c>
    </row>
    <row r="252" spans="1:9" x14ac:dyDescent="0.25">
      <c r="A252" s="57">
        <f>'A) Base RI'!A254</f>
        <v>5828</v>
      </c>
      <c r="B252" s="40" t="str">
        <f>'A) Base RI'!B254</f>
        <v>Treytorrens (Payerne)</v>
      </c>
      <c r="C252" s="109">
        <f>'A) Base RI'!U254</f>
        <v>131</v>
      </c>
      <c r="D252" s="126">
        <f>'D) Ecrêtage'!N252</f>
        <v>17.958286077789896</v>
      </c>
      <c r="E252" s="42">
        <f t="shared" si="15"/>
        <v>27.352683352426272</v>
      </c>
      <c r="F252" s="319">
        <f t="shared" si="16"/>
        <v>81267.010454726653</v>
      </c>
      <c r="G252" s="41">
        <f>'A) Base RI'!T254</f>
        <v>84</v>
      </c>
      <c r="H252" s="320">
        <f t="shared" si="17"/>
        <v>1.2406085656513379</v>
      </c>
      <c r="I252" s="66">
        <f t="shared" si="18"/>
        <v>100820.54927501072</v>
      </c>
    </row>
    <row r="253" spans="1:9" x14ac:dyDescent="0.25">
      <c r="A253" s="57">
        <f>'A) Base RI'!A255</f>
        <v>5830</v>
      </c>
      <c r="B253" s="40" t="str">
        <f>'A) Base RI'!B255</f>
        <v>Villarzel</v>
      </c>
      <c r="C253" s="109">
        <f>'A) Base RI'!U255</f>
        <v>424</v>
      </c>
      <c r="D253" s="126">
        <f>'D) Ecrêtage'!N253</f>
        <v>22.965540661571534</v>
      </c>
      <c r="E253" s="42">
        <f t="shared" si="15"/>
        <v>22.345428768644634</v>
      </c>
      <c r="F253" s="319">
        <f t="shared" si="16"/>
        <v>202090.2701493206</v>
      </c>
      <c r="G253" s="41">
        <f>'A) Base RI'!T255</f>
        <v>79</v>
      </c>
      <c r="H253" s="320">
        <f t="shared" si="17"/>
        <v>1.1667628176959013</v>
      </c>
      <c r="I253" s="66">
        <f t="shared" si="18"/>
        <v>235791.41302834719</v>
      </c>
    </row>
    <row r="254" spans="1:9" x14ac:dyDescent="0.25">
      <c r="A254" s="57">
        <f>'A) Base RI'!A256</f>
        <v>5831</v>
      </c>
      <c r="B254" s="40" t="str">
        <f>'A) Base RI'!B256</f>
        <v>Valbroye</v>
      </c>
      <c r="C254" s="109">
        <f>'A) Base RI'!U256</f>
        <v>2974</v>
      </c>
      <c r="D254" s="126">
        <f>'D) Ecrêtage'!N254</f>
        <v>25.266540719723139</v>
      </c>
      <c r="E254" s="42">
        <f t="shared" si="15"/>
        <v>20.04442871049303</v>
      </c>
      <c r="F254" s="319">
        <f t="shared" si="16"/>
        <v>1174955.1017144737</v>
      </c>
      <c r="G254" s="41">
        <f>'A) Base RI'!T256</f>
        <v>73</v>
      </c>
      <c r="H254" s="320">
        <f t="shared" si="17"/>
        <v>1.0781479201493771</v>
      </c>
      <c r="I254" s="66">
        <f t="shared" si="18"/>
        <v>1266775.3991823597</v>
      </c>
    </row>
    <row r="255" spans="1:9" x14ac:dyDescent="0.25">
      <c r="A255" s="57">
        <f>'A) Base RI'!A257</f>
        <v>5841</v>
      </c>
      <c r="B255" s="40" t="str">
        <f>'A) Base RI'!B257</f>
        <v>Château-d'Oex</v>
      </c>
      <c r="C255" s="109">
        <f>'A) Base RI'!U257</f>
        <v>3477</v>
      </c>
      <c r="D255" s="126">
        <f>'D) Ecrêtage'!N255</f>
        <v>30.617589668423481</v>
      </c>
      <c r="E255" s="42">
        <f t="shared" si="15"/>
        <v>14.693379761792688</v>
      </c>
      <c r="F255" s="319">
        <f t="shared" si="16"/>
        <v>1144901.8328855888</v>
      </c>
      <c r="G255" s="41">
        <f>'A) Base RI'!T257</f>
        <v>83</v>
      </c>
      <c r="H255" s="320">
        <f t="shared" si="17"/>
        <v>1.2258394160602506</v>
      </c>
      <c r="I255" s="66">
        <f t="shared" si="18"/>
        <v>1403465.7942707806</v>
      </c>
    </row>
    <row r="256" spans="1:9" x14ac:dyDescent="0.25">
      <c r="A256" s="57">
        <f>'A) Base RI'!A258</f>
        <v>5842</v>
      </c>
      <c r="B256" s="40" t="str">
        <f>'A) Base RI'!B258</f>
        <v>Rossinière</v>
      </c>
      <c r="C256" s="109">
        <f>'A) Base RI'!U258</f>
        <v>546</v>
      </c>
      <c r="D256" s="126">
        <f>'D) Ecrêtage'!N256</f>
        <v>24.760805182471845</v>
      </c>
      <c r="E256" s="42">
        <f t="shared" si="15"/>
        <v>20.550164247744323</v>
      </c>
      <c r="F256" s="319">
        <f t="shared" si="16"/>
        <v>245389.92228559993</v>
      </c>
      <c r="G256" s="41">
        <f>'A) Base RI'!T258</f>
        <v>81</v>
      </c>
      <c r="H256" s="320">
        <f t="shared" si="17"/>
        <v>1.1963011168780759</v>
      </c>
      <c r="I256" s="66">
        <f t="shared" si="18"/>
        <v>293560.23810088745</v>
      </c>
    </row>
    <row r="257" spans="1:9" x14ac:dyDescent="0.25">
      <c r="A257" s="57">
        <f>'A) Base RI'!A259</f>
        <v>5843</v>
      </c>
      <c r="B257" s="40" t="str">
        <f>'A) Base RI'!B259</f>
        <v>Rougemont</v>
      </c>
      <c r="C257" s="109">
        <f>'A) Base RI'!U259</f>
        <v>892</v>
      </c>
      <c r="D257" s="126">
        <f>'D) Ecrêtage'!N257</f>
        <v>89.423835811046089</v>
      </c>
      <c r="E257" s="42">
        <f t="shared" si="15"/>
        <v>0</v>
      </c>
      <c r="F257" s="319">
        <f t="shared" si="16"/>
        <v>0</v>
      </c>
      <c r="G257" s="41">
        <f>'A) Base RI'!T259</f>
        <v>69</v>
      </c>
      <c r="H257" s="320">
        <f t="shared" si="17"/>
        <v>1.0190713217850276</v>
      </c>
      <c r="I257" s="66">
        <f t="shared" si="18"/>
        <v>0</v>
      </c>
    </row>
    <row r="258" spans="1:9" x14ac:dyDescent="0.25">
      <c r="A258" s="57">
        <f>'A) Base RI'!A260</f>
        <v>5851</v>
      </c>
      <c r="B258" s="40" t="str">
        <f>'A) Base RI'!B260</f>
        <v>Allaman</v>
      </c>
      <c r="C258" s="109">
        <f>'A) Base RI'!U260</f>
        <v>432</v>
      </c>
      <c r="D258" s="126">
        <f>'D) Ecrêtage'!N258</f>
        <v>61.126741934387972</v>
      </c>
      <c r="E258" s="42">
        <f t="shared" si="15"/>
        <v>0</v>
      </c>
      <c r="F258" s="319">
        <f t="shared" si="16"/>
        <v>0</v>
      </c>
      <c r="G258" s="41">
        <f>'A) Base RI'!T260</f>
        <v>62</v>
      </c>
      <c r="H258" s="320">
        <f t="shared" si="17"/>
        <v>0.91568727464741617</v>
      </c>
      <c r="I258" s="66">
        <f t="shared" si="18"/>
        <v>0</v>
      </c>
    </row>
    <row r="259" spans="1:9" x14ac:dyDescent="0.25">
      <c r="A259" s="57">
        <f>'A) Base RI'!A261</f>
        <v>5852</v>
      </c>
      <c r="B259" s="40" t="str">
        <f>'A) Base RI'!B261</f>
        <v>Bursinel</v>
      </c>
      <c r="C259" s="109">
        <f>'A) Base RI'!U261</f>
        <v>485</v>
      </c>
      <c r="D259" s="126">
        <f>'D) Ecrêtage'!N259</f>
        <v>60.65562806235873</v>
      </c>
      <c r="E259" s="42">
        <f t="shared" si="15"/>
        <v>0</v>
      </c>
      <c r="F259" s="319">
        <f t="shared" si="16"/>
        <v>0</v>
      </c>
      <c r="G259" s="41">
        <f>'A) Base RI'!T261</f>
        <v>65.5</v>
      </c>
      <c r="H259" s="320">
        <f t="shared" si="17"/>
        <v>0.96737929821622193</v>
      </c>
      <c r="I259" s="66">
        <f t="shared" si="18"/>
        <v>0</v>
      </c>
    </row>
    <row r="260" spans="1:9" x14ac:dyDescent="0.25">
      <c r="A260" s="57">
        <f>'A) Base RI'!A262</f>
        <v>5853</v>
      </c>
      <c r="B260" s="40" t="str">
        <f>'A) Base RI'!B262</f>
        <v>Bursins</v>
      </c>
      <c r="C260" s="109">
        <f>'A) Base RI'!U262</f>
        <v>766</v>
      </c>
      <c r="D260" s="126">
        <f>'D) Ecrêtage'!N260</f>
        <v>52.928490052587065</v>
      </c>
      <c r="E260" s="42">
        <f t="shared" si="15"/>
        <v>0</v>
      </c>
      <c r="F260" s="319">
        <f t="shared" si="16"/>
        <v>0</v>
      </c>
      <c r="G260" s="41">
        <f>'A) Base RI'!T262</f>
        <v>71</v>
      </c>
      <c r="H260" s="320">
        <f t="shared" si="17"/>
        <v>1.0486096209672024</v>
      </c>
      <c r="I260" s="66">
        <f t="shared" si="18"/>
        <v>0</v>
      </c>
    </row>
    <row r="261" spans="1:9" x14ac:dyDescent="0.25">
      <c r="A261" s="57">
        <f>'A) Base RI'!A263</f>
        <v>5854</v>
      </c>
      <c r="B261" s="40" t="str">
        <f>'A) Base RI'!B263</f>
        <v>Burtigny</v>
      </c>
      <c r="C261" s="109">
        <f>'A) Base RI'!U263</f>
        <v>359</v>
      </c>
      <c r="D261" s="126">
        <f>'D) Ecrêtage'!N261</f>
        <v>29.464590064995352</v>
      </c>
      <c r="E261" s="42">
        <f t="shared" si="15"/>
        <v>15.846379365220816</v>
      </c>
      <c r="F261" s="319">
        <f t="shared" si="16"/>
        <v>122879.16414966832</v>
      </c>
      <c r="G261" s="41">
        <f>'A) Base RI'!T263</f>
        <v>80</v>
      </c>
      <c r="H261" s="320">
        <f t="shared" si="17"/>
        <v>1.1815319672869886</v>
      </c>
      <c r="I261" s="66">
        <f t="shared" si="18"/>
        <v>145185.66055633841</v>
      </c>
    </row>
    <row r="262" spans="1:9" x14ac:dyDescent="0.25">
      <c r="A262" s="57">
        <f>'A) Base RI'!A264</f>
        <v>5855</v>
      </c>
      <c r="B262" s="40" t="str">
        <f>'A) Base RI'!B264</f>
        <v>Dully</v>
      </c>
      <c r="C262" s="109">
        <f>'A) Base RI'!U264</f>
        <v>633</v>
      </c>
      <c r="D262" s="126">
        <f>'D) Ecrêtage'!N262</f>
        <v>108.5190581590295</v>
      </c>
      <c r="E262" s="42">
        <f t="shared" ref="E262:E313" si="19">IF($D$314-D262&lt;0,0,$D$314-D262)</f>
        <v>0</v>
      </c>
      <c r="F262" s="319">
        <f t="shared" ref="F262:F313" si="20">(C262*E262*G262)*$E$4</f>
        <v>0</v>
      </c>
      <c r="G262" s="41">
        <f>'A) Base RI'!T264</f>
        <v>49</v>
      </c>
      <c r="H262" s="320">
        <f t="shared" ref="H262:H313" si="21">G262/$G$314</f>
        <v>0.72368832996328047</v>
      </c>
      <c r="I262" s="66">
        <f t="shared" ref="I262:I313" si="22">F262*H262</f>
        <v>0</v>
      </c>
    </row>
    <row r="263" spans="1:9" x14ac:dyDescent="0.25">
      <c r="A263" s="57">
        <f>'A) Base RI'!A265</f>
        <v>5856</v>
      </c>
      <c r="B263" s="40" t="str">
        <f>'A) Base RI'!B265</f>
        <v>Essertines-sur-Rolle</v>
      </c>
      <c r="C263" s="109">
        <f>'A) Base RI'!U265</f>
        <v>695</v>
      </c>
      <c r="D263" s="126">
        <f>'D) Ecrêtage'!N263</f>
        <v>45.845758683550898</v>
      </c>
      <c r="E263" s="42">
        <f t="shared" si="19"/>
        <v>0</v>
      </c>
      <c r="F263" s="319">
        <f t="shared" si="20"/>
        <v>0</v>
      </c>
      <c r="G263" s="41">
        <f>'A) Base RI'!T265</f>
        <v>68</v>
      </c>
      <c r="H263" s="320">
        <f t="shared" si="21"/>
        <v>1.0043021721939402</v>
      </c>
      <c r="I263" s="66">
        <f t="shared" si="22"/>
        <v>0</v>
      </c>
    </row>
    <row r="264" spans="1:9" x14ac:dyDescent="0.25">
      <c r="A264" s="57">
        <f>'A) Base RI'!A266</f>
        <v>5857</v>
      </c>
      <c r="B264" s="40" t="str">
        <f>'A) Base RI'!B266</f>
        <v>Gilly</v>
      </c>
      <c r="C264" s="109">
        <f>'A) Base RI'!U266</f>
        <v>1230</v>
      </c>
      <c r="D264" s="126">
        <f>'D) Ecrêtage'!N264</f>
        <v>50.845890736634644</v>
      </c>
      <c r="E264" s="42">
        <f t="shared" si="19"/>
        <v>0</v>
      </c>
      <c r="F264" s="319">
        <f t="shared" si="20"/>
        <v>0</v>
      </c>
      <c r="G264" s="41">
        <f>'A) Base RI'!T266</f>
        <v>66</v>
      </c>
      <c r="H264" s="320">
        <f t="shared" si="21"/>
        <v>0.97476387301176559</v>
      </c>
      <c r="I264" s="66">
        <f t="shared" si="22"/>
        <v>0</v>
      </c>
    </row>
    <row r="265" spans="1:9" x14ac:dyDescent="0.25">
      <c r="A265" s="57">
        <f>'A) Base RI'!A267</f>
        <v>5858</v>
      </c>
      <c r="B265" s="40" t="str">
        <f>'A) Base RI'!B267</f>
        <v>Luins</v>
      </c>
      <c r="C265" s="109">
        <f>'A) Base RI'!U267</f>
        <v>625</v>
      </c>
      <c r="D265" s="126">
        <f>'D) Ecrêtage'!N265</f>
        <v>56.044798514248946</v>
      </c>
      <c r="E265" s="42">
        <f t="shared" si="19"/>
        <v>0</v>
      </c>
      <c r="F265" s="319">
        <f t="shared" si="20"/>
        <v>0</v>
      </c>
      <c r="G265" s="41">
        <f>'A) Base RI'!T267</f>
        <v>60</v>
      </c>
      <c r="H265" s="320">
        <f t="shared" si="21"/>
        <v>0.88614897546524141</v>
      </c>
      <c r="I265" s="66">
        <f t="shared" si="22"/>
        <v>0</v>
      </c>
    </row>
    <row r="266" spans="1:9" x14ac:dyDescent="0.25">
      <c r="A266" s="57">
        <f>'A) Base RI'!A268</f>
        <v>5859</v>
      </c>
      <c r="B266" s="40" t="str">
        <f>'A) Base RI'!B268</f>
        <v>Mont-sur-Rolle</v>
      </c>
      <c r="C266" s="109">
        <f>'A) Base RI'!U268</f>
        <v>2660</v>
      </c>
      <c r="D266" s="126">
        <f>'D) Ecrêtage'!N266</f>
        <v>49.033977796052639</v>
      </c>
      <c r="E266" s="42">
        <f t="shared" si="19"/>
        <v>0</v>
      </c>
      <c r="F266" s="319">
        <f t="shared" si="20"/>
        <v>0</v>
      </c>
      <c r="G266" s="41">
        <f>'A) Base RI'!T268</f>
        <v>64</v>
      </c>
      <c r="H266" s="320">
        <f t="shared" si="21"/>
        <v>0.94522557382959083</v>
      </c>
      <c r="I266" s="66">
        <f t="shared" si="22"/>
        <v>0</v>
      </c>
    </row>
    <row r="267" spans="1:9" x14ac:dyDescent="0.25">
      <c r="A267" s="57">
        <f>'A) Base RI'!A269</f>
        <v>5860</v>
      </c>
      <c r="B267" s="40" t="str">
        <f>'A) Base RI'!B269</f>
        <v>Perroy</v>
      </c>
      <c r="C267" s="109">
        <f>'A) Base RI'!U269</f>
        <v>1453</v>
      </c>
      <c r="D267" s="126">
        <f>'D) Ecrêtage'!N267</f>
        <v>62.408664490831185</v>
      </c>
      <c r="E267" s="42">
        <f t="shared" si="19"/>
        <v>0</v>
      </c>
      <c r="F267" s="319">
        <f t="shared" si="20"/>
        <v>0</v>
      </c>
      <c r="G267" s="41">
        <f>'A) Base RI'!T269</f>
        <v>60</v>
      </c>
      <c r="H267" s="320">
        <f t="shared" si="21"/>
        <v>0.88614897546524141</v>
      </c>
      <c r="I267" s="66">
        <f t="shared" si="22"/>
        <v>0</v>
      </c>
    </row>
    <row r="268" spans="1:9" x14ac:dyDescent="0.25">
      <c r="A268" s="57">
        <f>'A) Base RI'!A270</f>
        <v>5861</v>
      </c>
      <c r="B268" s="40" t="str">
        <f>'A) Base RI'!B270</f>
        <v>Rolle</v>
      </c>
      <c r="C268" s="109">
        <f>'A) Base RI'!U270</f>
        <v>6142</v>
      </c>
      <c r="D268" s="126">
        <f>'D) Ecrêtage'!N268</f>
        <v>116.07879164041945</v>
      </c>
      <c r="E268" s="42">
        <f t="shared" si="19"/>
        <v>0</v>
      </c>
      <c r="F268" s="319">
        <f t="shared" si="20"/>
        <v>0</v>
      </c>
      <c r="G268" s="41">
        <f>'A) Base RI'!T270</f>
        <v>59.5</v>
      </c>
      <c r="H268" s="320">
        <f t="shared" si="21"/>
        <v>0.87876440066969774</v>
      </c>
      <c r="I268" s="66">
        <f t="shared" si="22"/>
        <v>0</v>
      </c>
    </row>
    <row r="269" spans="1:9" x14ac:dyDescent="0.25">
      <c r="A269" s="57">
        <f>'A) Base RI'!A271</f>
        <v>5862</v>
      </c>
      <c r="B269" s="40" t="str">
        <f>'A) Base RI'!B271</f>
        <v>Tartegnin</v>
      </c>
      <c r="C269" s="109">
        <f>'A) Base RI'!U271</f>
        <v>236</v>
      </c>
      <c r="D269" s="126">
        <f>'D) Ecrêtage'!N269</f>
        <v>35.175515200430453</v>
      </c>
      <c r="E269" s="42">
        <f t="shared" si="19"/>
        <v>10.135454229785715</v>
      </c>
      <c r="F269" s="319">
        <f t="shared" si="20"/>
        <v>54249.816055843447</v>
      </c>
      <c r="G269" s="41">
        <f>'A) Base RI'!T271</f>
        <v>84</v>
      </c>
      <c r="H269" s="320">
        <f t="shared" si="21"/>
        <v>1.2406085656513379</v>
      </c>
      <c r="I269" s="66">
        <f t="shared" si="22"/>
        <v>67302.786483888864</v>
      </c>
    </row>
    <row r="270" spans="1:9" x14ac:dyDescent="0.25">
      <c r="A270" s="57">
        <f>'A) Base RI'!A272</f>
        <v>5863</v>
      </c>
      <c r="B270" s="40" t="str">
        <f>'A) Base RI'!B272</f>
        <v>Vinzel</v>
      </c>
      <c r="C270" s="109">
        <f>'A) Base RI'!U272</f>
        <v>352</v>
      </c>
      <c r="D270" s="126">
        <f>'D) Ecrêtage'!N270</f>
        <v>67.205317533592378</v>
      </c>
      <c r="E270" s="42">
        <f t="shared" si="19"/>
        <v>0</v>
      </c>
      <c r="F270" s="319">
        <f t="shared" si="20"/>
        <v>0</v>
      </c>
      <c r="G270" s="41">
        <f>'A) Base RI'!T272</f>
        <v>70</v>
      </c>
      <c r="H270" s="320">
        <f t="shared" si="21"/>
        <v>1.0338404713761149</v>
      </c>
      <c r="I270" s="66">
        <f t="shared" si="22"/>
        <v>0</v>
      </c>
    </row>
    <row r="271" spans="1:9" x14ac:dyDescent="0.25">
      <c r="A271" s="57">
        <f>'A) Base RI'!A273</f>
        <v>5871</v>
      </c>
      <c r="B271" s="40" t="str">
        <f>'A) Base RI'!B273</f>
        <v>L'Abbaye</v>
      </c>
      <c r="C271" s="109">
        <f>'A) Base RI'!U273</f>
        <v>1439</v>
      </c>
      <c r="D271" s="126">
        <f>'D) Ecrêtage'!N271</f>
        <v>34.048907638231583</v>
      </c>
      <c r="E271" s="42">
        <f t="shared" si="19"/>
        <v>11.262061791984586</v>
      </c>
      <c r="F271" s="319">
        <f t="shared" si="20"/>
        <v>337931.36207871157</v>
      </c>
      <c r="G271" s="41">
        <f>'A) Base RI'!T273</f>
        <v>77.23</v>
      </c>
      <c r="H271" s="320">
        <f t="shared" si="21"/>
        <v>1.1406214229196767</v>
      </c>
      <c r="I271" s="66">
        <f t="shared" si="22"/>
        <v>385451.75106340449</v>
      </c>
    </row>
    <row r="272" spans="1:9" x14ac:dyDescent="0.25">
      <c r="A272" s="57">
        <f>'A) Base RI'!A274</f>
        <v>5872</v>
      </c>
      <c r="B272" s="40" t="str">
        <f>'A) Base RI'!B274</f>
        <v>Le Chenit</v>
      </c>
      <c r="C272" s="109">
        <f>'A) Base RI'!U274</f>
        <v>4608</v>
      </c>
      <c r="D272" s="126">
        <f>'D) Ecrêtage'!N272</f>
        <v>66.213294716808434</v>
      </c>
      <c r="E272" s="42">
        <f t="shared" si="19"/>
        <v>0</v>
      </c>
      <c r="F272" s="319">
        <f t="shared" si="20"/>
        <v>0</v>
      </c>
      <c r="G272" s="41">
        <f>'A) Base RI'!T274</f>
        <v>69.7</v>
      </c>
      <c r="H272" s="320">
        <f t="shared" si="21"/>
        <v>1.0294097264987889</v>
      </c>
      <c r="I272" s="66">
        <f t="shared" si="22"/>
        <v>0</v>
      </c>
    </row>
    <row r="273" spans="1:9" x14ac:dyDescent="0.25">
      <c r="A273" s="57">
        <f>'A) Base RI'!A275</f>
        <v>5873</v>
      </c>
      <c r="B273" s="40" t="str">
        <f>'A) Base RI'!B275</f>
        <v>Le Lieu</v>
      </c>
      <c r="C273" s="109">
        <f>'A) Base RI'!U275</f>
        <v>873</v>
      </c>
      <c r="D273" s="126">
        <f>'D) Ecrêtage'!N273</f>
        <v>35.036731988134051</v>
      </c>
      <c r="E273" s="42">
        <f t="shared" si="19"/>
        <v>10.274237442082118</v>
      </c>
      <c r="F273" s="319">
        <f t="shared" si="20"/>
        <v>157413.13298575644</v>
      </c>
      <c r="G273" s="41">
        <f>'A) Base RI'!T275</f>
        <v>65</v>
      </c>
      <c r="H273" s="320">
        <f t="shared" si="21"/>
        <v>0.95999472342067815</v>
      </c>
      <c r="I273" s="66">
        <f t="shared" si="22"/>
        <v>151115.77706344367</v>
      </c>
    </row>
    <row r="274" spans="1:9" x14ac:dyDescent="0.25">
      <c r="A274" s="57">
        <f>'A) Base RI'!A276</f>
        <v>5881</v>
      </c>
      <c r="B274" s="40" t="str">
        <f>'A) Base RI'!B276</f>
        <v>Blonay</v>
      </c>
      <c r="C274" s="109">
        <f>'A) Base RI'!U276</f>
        <v>6116</v>
      </c>
      <c r="D274" s="126">
        <f>'D) Ecrêtage'!N274</f>
        <v>54.350533285060258</v>
      </c>
      <c r="E274" s="42">
        <f t="shared" si="19"/>
        <v>0</v>
      </c>
      <c r="F274" s="319">
        <f t="shared" si="20"/>
        <v>0</v>
      </c>
      <c r="G274" s="41">
        <f>'A) Base RI'!T276</f>
        <v>70</v>
      </c>
      <c r="H274" s="320">
        <f t="shared" si="21"/>
        <v>1.0338404713761149</v>
      </c>
      <c r="I274" s="66">
        <f t="shared" si="22"/>
        <v>0</v>
      </c>
    </row>
    <row r="275" spans="1:9" x14ac:dyDescent="0.25">
      <c r="A275" s="57">
        <f>'A) Base RI'!A277</f>
        <v>5882</v>
      </c>
      <c r="B275" s="40" t="str">
        <f>'A) Base RI'!B277</f>
        <v>Chardonne</v>
      </c>
      <c r="C275" s="109">
        <f>'A) Base RI'!U277</f>
        <v>2916</v>
      </c>
      <c r="D275" s="126">
        <f>'D) Ecrêtage'!N275</f>
        <v>51.813945876704572</v>
      </c>
      <c r="E275" s="42">
        <f t="shared" si="19"/>
        <v>0</v>
      </c>
      <c r="F275" s="319">
        <f t="shared" si="20"/>
        <v>0</v>
      </c>
      <c r="G275" s="41">
        <f>'A) Base RI'!T277</f>
        <v>68</v>
      </c>
      <c r="H275" s="320">
        <f t="shared" si="21"/>
        <v>1.0043021721939402</v>
      </c>
      <c r="I275" s="66">
        <f t="shared" si="22"/>
        <v>0</v>
      </c>
    </row>
    <row r="276" spans="1:9" x14ac:dyDescent="0.25">
      <c r="A276" s="57">
        <f>'A) Base RI'!A278</f>
        <v>5883</v>
      </c>
      <c r="B276" s="40" t="str">
        <f>'A) Base RI'!B278</f>
        <v>Corseaux</v>
      </c>
      <c r="C276" s="109">
        <f>'A) Base RI'!U278</f>
        <v>2212</v>
      </c>
      <c r="D276" s="126">
        <f>'D) Ecrêtage'!N276</f>
        <v>66.085460341494525</v>
      </c>
      <c r="E276" s="42">
        <f t="shared" si="19"/>
        <v>0</v>
      </c>
      <c r="F276" s="319">
        <f t="shared" si="20"/>
        <v>0</v>
      </c>
      <c r="G276" s="41">
        <f>'A) Base RI'!T278</f>
        <v>64</v>
      </c>
      <c r="H276" s="320">
        <f t="shared" si="21"/>
        <v>0.94522557382959083</v>
      </c>
      <c r="I276" s="66">
        <f t="shared" si="22"/>
        <v>0</v>
      </c>
    </row>
    <row r="277" spans="1:9" x14ac:dyDescent="0.25">
      <c r="A277" s="57">
        <f>'A) Base RI'!A279</f>
        <v>5884</v>
      </c>
      <c r="B277" s="40" t="str">
        <f>'A) Base RI'!B279</f>
        <v>Corsier-sur-Vevey</v>
      </c>
      <c r="C277" s="109">
        <f>'A) Base RI'!U279</f>
        <v>3403</v>
      </c>
      <c r="D277" s="126">
        <f>'D) Ecrêtage'!N277</f>
        <v>34.217049988572171</v>
      </c>
      <c r="E277" s="42">
        <f t="shared" si="19"/>
        <v>11.093919441643997</v>
      </c>
      <c r="F277" s="319">
        <f t="shared" si="20"/>
        <v>672751.4720636768</v>
      </c>
      <c r="G277" s="41">
        <f>'A) Base RI'!T279</f>
        <v>66</v>
      </c>
      <c r="H277" s="320">
        <f t="shared" si="21"/>
        <v>0.97476387301176559</v>
      </c>
      <c r="I277" s="66">
        <f t="shared" si="22"/>
        <v>655773.83048315626</v>
      </c>
    </row>
    <row r="278" spans="1:9" x14ac:dyDescent="0.25">
      <c r="A278" s="57">
        <f>'A) Base RI'!A280</f>
        <v>5885</v>
      </c>
      <c r="B278" s="40" t="str">
        <f>'A) Base RI'!B280</f>
        <v>Jongny</v>
      </c>
      <c r="C278" s="109">
        <f>'A) Base RI'!U280</f>
        <v>1488</v>
      </c>
      <c r="D278" s="126">
        <f>'D) Ecrêtage'!N278</f>
        <v>55.002098809253376</v>
      </c>
      <c r="E278" s="42">
        <f t="shared" si="19"/>
        <v>0</v>
      </c>
      <c r="F278" s="319">
        <f t="shared" si="20"/>
        <v>0</v>
      </c>
      <c r="G278" s="41">
        <f>'A) Base RI'!T280</f>
        <v>71</v>
      </c>
      <c r="H278" s="320">
        <f t="shared" si="21"/>
        <v>1.0486096209672024</v>
      </c>
      <c r="I278" s="66">
        <f t="shared" si="22"/>
        <v>0</v>
      </c>
    </row>
    <row r="279" spans="1:9" x14ac:dyDescent="0.25">
      <c r="A279" s="57">
        <f>'A) Base RI'!A281</f>
        <v>5886</v>
      </c>
      <c r="B279" s="40" t="str">
        <f>'A) Base RI'!B281</f>
        <v>Montreux</v>
      </c>
      <c r="C279" s="109">
        <f>'A) Base RI'!U281</f>
        <v>26402</v>
      </c>
      <c r="D279" s="126">
        <f>'D) Ecrêtage'!N279</f>
        <v>44.513257249353686</v>
      </c>
      <c r="E279" s="42">
        <f t="shared" si="19"/>
        <v>0.79771218086248297</v>
      </c>
      <c r="F279" s="319">
        <f t="shared" si="20"/>
        <v>369624.00733475393</v>
      </c>
      <c r="G279" s="41">
        <f>'A) Base RI'!T281</f>
        <v>65</v>
      </c>
      <c r="H279" s="320">
        <f t="shared" si="21"/>
        <v>0.95999472342067815</v>
      </c>
      <c r="I279" s="66">
        <f t="shared" si="22"/>
        <v>354837.09669096983</v>
      </c>
    </row>
    <row r="280" spans="1:9" x14ac:dyDescent="0.25">
      <c r="A280" s="57">
        <f>'A) Base RI'!A282</f>
        <v>5888</v>
      </c>
      <c r="B280" s="40" t="str">
        <f>'A) Base RI'!B282</f>
        <v>Saint-Légier-La Chiésaz</v>
      </c>
      <c r="C280" s="109">
        <f>'A) Base RI'!U282</f>
        <v>5130</v>
      </c>
      <c r="D280" s="126">
        <f>'D) Ecrêtage'!N280</f>
        <v>59.159165182084045</v>
      </c>
      <c r="E280" s="42">
        <f t="shared" si="19"/>
        <v>0</v>
      </c>
      <c r="F280" s="319">
        <f t="shared" si="20"/>
        <v>0</v>
      </c>
      <c r="G280" s="41">
        <f>'A) Base RI'!T282</f>
        <v>67</v>
      </c>
      <c r="H280" s="320">
        <f t="shared" si="21"/>
        <v>0.98953302260285292</v>
      </c>
      <c r="I280" s="66">
        <f t="shared" si="22"/>
        <v>0</v>
      </c>
    </row>
    <row r="281" spans="1:9" x14ac:dyDescent="0.25">
      <c r="A281" s="57">
        <f>'A) Base RI'!A283</f>
        <v>5889</v>
      </c>
      <c r="B281" s="40" t="str">
        <f>'A) Base RI'!B283</f>
        <v>La Tour-de-Peilz</v>
      </c>
      <c r="C281" s="109">
        <f>'A) Base RI'!U283</f>
        <v>11637</v>
      </c>
      <c r="D281" s="126">
        <f>'D) Ecrêtage'!N281</f>
        <v>53.158977880807626</v>
      </c>
      <c r="E281" s="42">
        <f t="shared" si="19"/>
        <v>0</v>
      </c>
      <c r="F281" s="319">
        <f t="shared" si="20"/>
        <v>0</v>
      </c>
      <c r="G281" s="41">
        <f>'A) Base RI'!T283</f>
        <v>64</v>
      </c>
      <c r="H281" s="320">
        <f t="shared" si="21"/>
        <v>0.94522557382959083</v>
      </c>
      <c r="I281" s="66">
        <f t="shared" si="22"/>
        <v>0</v>
      </c>
    </row>
    <row r="282" spans="1:9" x14ac:dyDescent="0.25">
      <c r="A282" s="57">
        <f>'A) Base RI'!A284</f>
        <v>5890</v>
      </c>
      <c r="B282" s="40" t="str">
        <f>'A) Base RI'!B284</f>
        <v>Vevey</v>
      </c>
      <c r="C282" s="109">
        <f>'A) Base RI'!U284</f>
        <v>19605</v>
      </c>
      <c r="D282" s="126">
        <f>'D) Ecrêtage'!N282</f>
        <v>46.376582945828517</v>
      </c>
      <c r="E282" s="42">
        <f t="shared" si="19"/>
        <v>0</v>
      </c>
      <c r="F282" s="319">
        <f t="shared" si="20"/>
        <v>0</v>
      </c>
      <c r="G282" s="41">
        <f>'A) Base RI'!T284</f>
        <v>73</v>
      </c>
      <c r="H282" s="320">
        <f t="shared" si="21"/>
        <v>1.0781479201493771</v>
      </c>
      <c r="I282" s="66">
        <f t="shared" si="22"/>
        <v>0</v>
      </c>
    </row>
    <row r="283" spans="1:9" x14ac:dyDescent="0.25">
      <c r="A283" s="57">
        <f>'A) Base RI'!A285</f>
        <v>5891</v>
      </c>
      <c r="B283" s="40" t="str">
        <f>'A) Base RI'!B285</f>
        <v>Veytaux</v>
      </c>
      <c r="C283" s="109">
        <f>'A) Base RI'!U285</f>
        <v>850</v>
      </c>
      <c r="D283" s="126">
        <f>'D) Ecrêtage'!N283</f>
        <v>46.482919806763284</v>
      </c>
      <c r="E283" s="42">
        <f t="shared" si="19"/>
        <v>0</v>
      </c>
      <c r="F283" s="319">
        <f t="shared" si="20"/>
        <v>0</v>
      </c>
      <c r="G283" s="41">
        <f>'A) Base RI'!T285</f>
        <v>69</v>
      </c>
      <c r="H283" s="320">
        <f t="shared" si="21"/>
        <v>1.0190713217850276</v>
      </c>
      <c r="I283" s="66">
        <f t="shared" si="22"/>
        <v>0</v>
      </c>
    </row>
    <row r="284" spans="1:9" x14ac:dyDescent="0.25">
      <c r="A284" s="57">
        <f>'A) Base RI'!A286</f>
        <v>5902</v>
      </c>
      <c r="B284" s="40" t="str">
        <f>'A) Base RI'!B286</f>
        <v>Belmont-sur-Yverdon</v>
      </c>
      <c r="C284" s="109">
        <f>'A) Base RI'!U286</f>
        <v>368</v>
      </c>
      <c r="D284" s="126">
        <f>'D) Ecrêtage'!N284</f>
        <v>25.073763229405031</v>
      </c>
      <c r="E284" s="42">
        <f t="shared" si="19"/>
        <v>20.237206200811137</v>
      </c>
      <c r="F284" s="319">
        <f t="shared" si="20"/>
        <v>152818.42941655719</v>
      </c>
      <c r="G284" s="41">
        <f>'A) Base RI'!T286</f>
        <v>76</v>
      </c>
      <c r="H284" s="320">
        <f t="shared" si="21"/>
        <v>1.1224553689226391</v>
      </c>
      <c r="I284" s="66">
        <f t="shared" si="22"/>
        <v>171531.86656893999</v>
      </c>
    </row>
    <row r="285" spans="1:9" x14ac:dyDescent="0.25">
      <c r="A285" s="57">
        <f>'A) Base RI'!A287</f>
        <v>5903</v>
      </c>
      <c r="B285" s="40" t="str">
        <f>'A) Base RI'!B287</f>
        <v>Bioley-Magnoux</v>
      </c>
      <c r="C285" s="109">
        <f>'A) Base RI'!U287</f>
        <v>230</v>
      </c>
      <c r="D285" s="126">
        <f>'D) Ecrêtage'!N285</f>
        <v>25.886570253483299</v>
      </c>
      <c r="E285" s="42">
        <f t="shared" si="19"/>
        <v>19.424399176732869</v>
      </c>
      <c r="F285" s="319">
        <f t="shared" si="20"/>
        <v>89262.883976758225</v>
      </c>
      <c r="G285" s="41">
        <f>'A) Base RI'!T287</f>
        <v>74</v>
      </c>
      <c r="H285" s="320">
        <f t="shared" si="21"/>
        <v>1.0929170697404644</v>
      </c>
      <c r="I285" s="66">
        <f t="shared" si="22"/>
        <v>97556.92959246166</v>
      </c>
    </row>
    <row r="286" spans="1:9" x14ac:dyDescent="0.25">
      <c r="A286" s="57">
        <f>'A) Base RI'!A288</f>
        <v>5904</v>
      </c>
      <c r="B286" s="40" t="str">
        <f>'A) Base RI'!B288</f>
        <v>Chamblon</v>
      </c>
      <c r="C286" s="109">
        <f>'A) Base RI'!U288</f>
        <v>548</v>
      </c>
      <c r="D286" s="126">
        <f>'D) Ecrêtage'!N286</f>
        <v>41.813886584826371</v>
      </c>
      <c r="E286" s="42">
        <f t="shared" si="19"/>
        <v>3.497082845389798</v>
      </c>
      <c r="F286" s="319">
        <f t="shared" si="20"/>
        <v>34150.27293505572</v>
      </c>
      <c r="G286" s="41">
        <f>'A) Base RI'!T288</f>
        <v>66</v>
      </c>
      <c r="H286" s="320">
        <f t="shared" si="21"/>
        <v>0.97476387301176559</v>
      </c>
      <c r="I286" s="66">
        <f t="shared" si="22"/>
        <v>33288.452310583787</v>
      </c>
    </row>
    <row r="287" spans="1:9" x14ac:dyDescent="0.25">
      <c r="A287" s="57">
        <f>'A) Base RI'!A289</f>
        <v>5905</v>
      </c>
      <c r="B287" s="40" t="str">
        <f>'A) Base RI'!B289</f>
        <v>Champvent</v>
      </c>
      <c r="C287" s="109">
        <f>'A) Base RI'!U289</f>
        <v>652</v>
      </c>
      <c r="D287" s="126">
        <f>'D) Ecrêtage'!N287</f>
        <v>32.268006350989374</v>
      </c>
      <c r="E287" s="42">
        <f t="shared" si="19"/>
        <v>13.042963079226794</v>
      </c>
      <c r="F287" s="319">
        <f t="shared" si="20"/>
        <v>163021.90865316303</v>
      </c>
      <c r="G287" s="41">
        <f>'A) Base RI'!T289</f>
        <v>71</v>
      </c>
      <c r="H287" s="320">
        <f t="shared" si="21"/>
        <v>1.0486096209672024</v>
      </c>
      <c r="I287" s="66">
        <f t="shared" si="22"/>
        <v>170946.34184214319</v>
      </c>
    </row>
    <row r="288" spans="1:9" x14ac:dyDescent="0.25">
      <c r="A288" s="57">
        <f>'A) Base RI'!A290</f>
        <v>5907</v>
      </c>
      <c r="B288" s="40" t="str">
        <f>'A) Base RI'!B290</f>
        <v>Chavannes-le-Chêne</v>
      </c>
      <c r="C288" s="109">
        <f>'A) Base RI'!U290</f>
        <v>300</v>
      </c>
      <c r="D288" s="126">
        <f>'D) Ecrêtage'!N288</f>
        <v>29.397855555555562</v>
      </c>
      <c r="E288" s="42">
        <f t="shared" si="19"/>
        <v>15.913113874660606</v>
      </c>
      <c r="F288" s="319">
        <f t="shared" si="20"/>
        <v>100539.05346010572</v>
      </c>
      <c r="G288" s="41">
        <f>'A) Base RI'!T290</f>
        <v>78</v>
      </c>
      <c r="H288" s="320">
        <f t="shared" si="21"/>
        <v>1.1519936681048137</v>
      </c>
      <c r="I288" s="66">
        <f t="shared" si="22"/>
        <v>115820.35298329315</v>
      </c>
    </row>
    <row r="289" spans="1:9" x14ac:dyDescent="0.25">
      <c r="A289" s="57">
        <f>'A) Base RI'!A291</f>
        <v>5908</v>
      </c>
      <c r="B289" s="40" t="str">
        <f>'A) Base RI'!B291</f>
        <v>Chêne-Pâquier</v>
      </c>
      <c r="C289" s="109">
        <f>'A) Base RI'!U291</f>
        <v>140</v>
      </c>
      <c r="D289" s="126">
        <f>'D) Ecrêtage'!N289</f>
        <v>20.822348101265824</v>
      </c>
      <c r="E289" s="42">
        <f t="shared" si="19"/>
        <v>24.488621328950344</v>
      </c>
      <c r="F289" s="319">
        <f t="shared" si="20"/>
        <v>73127.921012511521</v>
      </c>
      <c r="G289" s="41">
        <f>'A) Base RI'!T291</f>
        <v>79</v>
      </c>
      <c r="H289" s="320">
        <f t="shared" si="21"/>
        <v>1.1667628176959013</v>
      </c>
      <c r="I289" s="66">
        <f t="shared" si="22"/>
        <v>85322.939172801242</v>
      </c>
    </row>
    <row r="290" spans="1:9" x14ac:dyDescent="0.25">
      <c r="A290" s="57">
        <f>'A) Base RI'!A292</f>
        <v>5909</v>
      </c>
      <c r="B290" s="40" t="str">
        <f>'A) Base RI'!B292</f>
        <v>Cheseaux-Noréaz</v>
      </c>
      <c r="C290" s="109">
        <f>'A) Base RI'!U292</f>
        <v>670</v>
      </c>
      <c r="D290" s="126">
        <f>'D) Ecrêtage'!N290</f>
        <v>36.971807249466941</v>
      </c>
      <c r="E290" s="42">
        <f t="shared" si="19"/>
        <v>8.3391621807492271</v>
      </c>
      <c r="F290" s="319">
        <f t="shared" si="20"/>
        <v>105598.81069482747</v>
      </c>
      <c r="G290" s="41">
        <f>'A) Base RI'!T292</f>
        <v>70</v>
      </c>
      <c r="H290" s="320">
        <f t="shared" si="21"/>
        <v>1.0338404713761149</v>
      </c>
      <c r="I290" s="66">
        <f t="shared" si="22"/>
        <v>109172.32422549755</v>
      </c>
    </row>
    <row r="291" spans="1:9" x14ac:dyDescent="0.25">
      <c r="A291" s="57">
        <f>'A) Base RI'!A293</f>
        <v>5910</v>
      </c>
      <c r="B291" s="40" t="str">
        <f>'A) Base RI'!B293</f>
        <v>Cronay</v>
      </c>
      <c r="C291" s="109">
        <f>'A) Base RI'!U293</f>
        <v>380</v>
      </c>
      <c r="D291" s="126">
        <f>'D) Ecrêtage'!N291</f>
        <v>26.571757495003332</v>
      </c>
      <c r="E291" s="42">
        <f t="shared" si="19"/>
        <v>18.739211935212836</v>
      </c>
      <c r="F291" s="319">
        <f t="shared" si="20"/>
        <v>151888.80841967414</v>
      </c>
      <c r="G291" s="41">
        <f>'A) Base RI'!T293</f>
        <v>79</v>
      </c>
      <c r="H291" s="320">
        <f t="shared" si="21"/>
        <v>1.1667628176959013</v>
      </c>
      <c r="I291" s="66">
        <f t="shared" si="22"/>
        <v>177218.21408821194</v>
      </c>
    </row>
    <row r="292" spans="1:9" x14ac:dyDescent="0.25">
      <c r="A292" s="57">
        <f>'A) Base RI'!A294</f>
        <v>5911</v>
      </c>
      <c r="B292" s="40" t="str">
        <f>'A) Base RI'!B294</f>
        <v>Cuarny</v>
      </c>
      <c r="C292" s="109">
        <f>'A) Base RI'!U294</f>
        <v>237</v>
      </c>
      <c r="D292" s="126">
        <f>'D) Ecrêtage'!N292</f>
        <v>32.664883832719113</v>
      </c>
      <c r="E292" s="42">
        <f t="shared" si="19"/>
        <v>12.646085597497056</v>
      </c>
      <c r="F292" s="319">
        <f t="shared" si="20"/>
        <v>63928.618373323101</v>
      </c>
      <c r="G292" s="41">
        <f>'A) Base RI'!T294</f>
        <v>79</v>
      </c>
      <c r="H292" s="320">
        <f t="shared" si="21"/>
        <v>1.1667628176959013</v>
      </c>
      <c r="I292" s="66">
        <f t="shared" si="22"/>
        <v>74589.534904664426</v>
      </c>
    </row>
    <row r="293" spans="1:9" x14ac:dyDescent="0.25">
      <c r="A293" s="57">
        <f>'A) Base RI'!A295</f>
        <v>5912</v>
      </c>
      <c r="B293" s="40" t="str">
        <f>'A) Base RI'!B295</f>
        <v>Démoret</v>
      </c>
      <c r="C293" s="109">
        <f>'A) Base RI'!U295</f>
        <v>126</v>
      </c>
      <c r="D293" s="126">
        <f>'D) Ecrêtage'!N293</f>
        <v>21.919213207916915</v>
      </c>
      <c r="E293" s="42">
        <f t="shared" si="19"/>
        <v>23.391756222299254</v>
      </c>
      <c r="F293" s="319">
        <f t="shared" si="20"/>
        <v>64458.791281292273</v>
      </c>
      <c r="G293" s="41">
        <f>'A) Base RI'!T295</f>
        <v>81</v>
      </c>
      <c r="H293" s="320">
        <f t="shared" si="21"/>
        <v>1.1963011168780759</v>
      </c>
      <c r="I293" s="66">
        <f t="shared" si="22"/>
        <v>77112.124002420736</v>
      </c>
    </row>
    <row r="294" spans="1:9" x14ac:dyDescent="0.25">
      <c r="A294" s="57">
        <f>'A) Base RI'!A296</f>
        <v>5913</v>
      </c>
      <c r="B294" s="40" t="str">
        <f>'A) Base RI'!B296</f>
        <v>Donneloye</v>
      </c>
      <c r="C294" s="109">
        <f>'A) Base RI'!U296</f>
        <v>779</v>
      </c>
      <c r="D294" s="126">
        <f>'D) Ecrêtage'!N294</f>
        <v>26.988446199025795</v>
      </c>
      <c r="E294" s="42">
        <f t="shared" si="19"/>
        <v>18.322523231190374</v>
      </c>
      <c r="F294" s="319">
        <f t="shared" si="20"/>
        <v>281325.67071878782</v>
      </c>
      <c r="G294" s="41">
        <f>'A) Base RI'!T296</f>
        <v>73</v>
      </c>
      <c r="H294" s="320">
        <f t="shared" si="21"/>
        <v>1.0781479201493771</v>
      </c>
      <c r="I294" s="66">
        <f t="shared" si="22"/>
        <v>303310.68677008961</v>
      </c>
    </row>
    <row r="295" spans="1:9" x14ac:dyDescent="0.25">
      <c r="A295" s="57">
        <f>'A) Base RI'!A297</f>
        <v>5914</v>
      </c>
      <c r="B295" s="40" t="str">
        <f>'A) Base RI'!B297</f>
        <v>Ependes</v>
      </c>
      <c r="C295" s="109">
        <f>'A) Base RI'!U297</f>
        <v>350</v>
      </c>
      <c r="D295" s="126">
        <f>'D) Ecrêtage'!N295</f>
        <v>25.251604571428572</v>
      </c>
      <c r="E295" s="42">
        <f t="shared" si="19"/>
        <v>20.059364858787596</v>
      </c>
      <c r="F295" s="319">
        <f t="shared" si="20"/>
        <v>142170.7484366571</v>
      </c>
      <c r="G295" s="41">
        <f>'A) Base RI'!T297</f>
        <v>75</v>
      </c>
      <c r="H295" s="320">
        <f t="shared" si="21"/>
        <v>1.1076862193315518</v>
      </c>
      <c r="I295" s="66">
        <f t="shared" si="22"/>
        <v>157480.57883533783</v>
      </c>
    </row>
    <row r="296" spans="1:9" x14ac:dyDescent="0.25">
      <c r="A296" s="57">
        <f>'A) Base RI'!A298</f>
        <v>5919</v>
      </c>
      <c r="B296" s="40" t="str">
        <f>'A) Base RI'!B298</f>
        <v>Mathod</v>
      </c>
      <c r="C296" s="109">
        <f>'A) Base RI'!U298</f>
        <v>614</v>
      </c>
      <c r="D296" s="126">
        <f>'D) Ecrêtage'!N296</f>
        <v>27.498173988320566</v>
      </c>
      <c r="E296" s="42">
        <f t="shared" si="19"/>
        <v>17.812795441895602</v>
      </c>
      <c r="F296" s="319">
        <f t="shared" si="20"/>
        <v>218522.38689845154</v>
      </c>
      <c r="G296" s="41">
        <f>'A) Base RI'!T298</f>
        <v>74</v>
      </c>
      <c r="H296" s="320">
        <f t="shared" si="21"/>
        <v>1.0929170697404644</v>
      </c>
      <c r="I296" s="66">
        <f t="shared" si="22"/>
        <v>238826.84676174773</v>
      </c>
    </row>
    <row r="297" spans="1:9" x14ac:dyDescent="0.25">
      <c r="A297" s="57">
        <f>'A) Base RI'!A299</f>
        <v>5921</v>
      </c>
      <c r="B297" s="40" t="str">
        <f>'A) Base RI'!B299</f>
        <v>Molondin</v>
      </c>
      <c r="C297" s="109">
        <f>'A) Base RI'!U299</f>
        <v>218</v>
      </c>
      <c r="D297" s="126">
        <f>'D) Ecrêtage'!N297</f>
        <v>25.31231226639483</v>
      </c>
      <c r="E297" s="42">
        <f t="shared" si="19"/>
        <v>19.998657163821338</v>
      </c>
      <c r="F297" s="319">
        <f t="shared" si="20"/>
        <v>95346.797813664438</v>
      </c>
      <c r="G297" s="41">
        <f>'A) Base RI'!T299</f>
        <v>81</v>
      </c>
      <c r="H297" s="320">
        <f t="shared" si="21"/>
        <v>1.1963011168780759</v>
      </c>
      <c r="I297" s="66">
        <f t="shared" si="22"/>
        <v>114063.48071523485</v>
      </c>
    </row>
    <row r="298" spans="1:9" x14ac:dyDescent="0.25">
      <c r="A298" s="57">
        <f>'A) Base RI'!A300</f>
        <v>5922</v>
      </c>
      <c r="B298" s="40" t="str">
        <f>'A) Base RI'!B300</f>
        <v>Montagny-près-Yverdon</v>
      </c>
      <c r="C298" s="109">
        <f>'A) Base RI'!U300</f>
        <v>733</v>
      </c>
      <c r="D298" s="126">
        <f>'D) Ecrêtage'!N298</f>
        <v>60.438245703553356</v>
      </c>
      <c r="E298" s="42">
        <f t="shared" si="19"/>
        <v>0</v>
      </c>
      <c r="F298" s="319">
        <f t="shared" si="20"/>
        <v>0</v>
      </c>
      <c r="G298" s="41">
        <f>'A) Base RI'!T300</f>
        <v>61</v>
      </c>
      <c r="H298" s="320">
        <f t="shared" si="21"/>
        <v>0.90091812505632873</v>
      </c>
      <c r="I298" s="66">
        <f t="shared" si="22"/>
        <v>0</v>
      </c>
    </row>
    <row r="299" spans="1:9" x14ac:dyDescent="0.25">
      <c r="A299" s="57">
        <f>'A) Base RI'!A301</f>
        <v>5923</v>
      </c>
      <c r="B299" s="40" t="str">
        <f>'A) Base RI'!B301</f>
        <v>Oppens</v>
      </c>
      <c r="C299" s="109">
        <f>'A) Base RI'!U301</f>
        <v>182</v>
      </c>
      <c r="D299" s="126">
        <f>'D) Ecrêtage'!N299</f>
        <v>26.81880206213539</v>
      </c>
      <c r="E299" s="42">
        <f t="shared" si="19"/>
        <v>18.492167368080779</v>
      </c>
      <c r="F299" s="319">
        <f t="shared" si="20"/>
        <v>73605.113461866655</v>
      </c>
      <c r="G299" s="41">
        <f>'A) Base RI'!T301</f>
        <v>81</v>
      </c>
      <c r="H299" s="320">
        <f t="shared" si="21"/>
        <v>1.1963011168780759</v>
      </c>
      <c r="I299" s="66">
        <f t="shared" si="22"/>
        <v>88053.879442368576</v>
      </c>
    </row>
    <row r="300" spans="1:9" x14ac:dyDescent="0.25">
      <c r="A300" s="57">
        <f>'A) Base RI'!A302</f>
        <v>5924</v>
      </c>
      <c r="B300" s="40" t="str">
        <f>'A) Base RI'!B302</f>
        <v>Orges</v>
      </c>
      <c r="C300" s="109">
        <f>'A) Base RI'!U302</f>
        <v>292</v>
      </c>
      <c r="D300" s="126">
        <f>'D) Ecrêtage'!N300</f>
        <v>32.453590336912256</v>
      </c>
      <c r="E300" s="42">
        <f t="shared" si="19"/>
        <v>12.857379093303912</v>
      </c>
      <c r="F300" s="319">
        <f t="shared" si="20"/>
        <v>75012.006810989958</v>
      </c>
      <c r="G300" s="41">
        <f>'A) Base RI'!T302</f>
        <v>74</v>
      </c>
      <c r="H300" s="320">
        <f t="shared" si="21"/>
        <v>1.0929170697404644</v>
      </c>
      <c r="I300" s="66">
        <f t="shared" si="22"/>
        <v>81981.902679218911</v>
      </c>
    </row>
    <row r="301" spans="1:9" x14ac:dyDescent="0.25">
      <c r="A301" s="57">
        <f>'A) Base RI'!A303</f>
        <v>5925</v>
      </c>
      <c r="B301" s="40" t="str">
        <f>'A) Base RI'!B303</f>
        <v>Orzens</v>
      </c>
      <c r="C301" s="109">
        <f>'A) Base RI'!U303</f>
        <v>200</v>
      </c>
      <c r="D301" s="126">
        <f>'D) Ecrêtage'!N301</f>
        <v>24.377213291139242</v>
      </c>
      <c r="E301" s="42">
        <f t="shared" si="19"/>
        <v>20.933756139076927</v>
      </c>
      <c r="F301" s="319">
        <f t="shared" si="20"/>
        <v>89303.403689302184</v>
      </c>
      <c r="G301" s="41">
        <f>'A) Base RI'!T303</f>
        <v>79</v>
      </c>
      <c r="H301" s="320">
        <f t="shared" si="21"/>
        <v>1.1667628176959013</v>
      </c>
      <c r="I301" s="66">
        <f t="shared" si="22"/>
        <v>104195.89091836476</v>
      </c>
    </row>
    <row r="302" spans="1:9" x14ac:dyDescent="0.25">
      <c r="A302" s="57">
        <f>'A) Base RI'!A304</f>
        <v>5926</v>
      </c>
      <c r="B302" s="40" t="str">
        <f>'A) Base RI'!B304</f>
        <v>Pomy</v>
      </c>
      <c r="C302" s="109">
        <f>'A) Base RI'!U304</f>
        <v>760</v>
      </c>
      <c r="D302" s="126">
        <f>'D) Ecrêtage'!N302</f>
        <v>29.966350815418828</v>
      </c>
      <c r="E302" s="42">
        <f t="shared" si="19"/>
        <v>15.344618614797341</v>
      </c>
      <c r="F302" s="319">
        <f t="shared" si="20"/>
        <v>223558.81752270542</v>
      </c>
      <c r="G302" s="41">
        <f>'A) Base RI'!T304</f>
        <v>71</v>
      </c>
      <c r="H302" s="320">
        <f t="shared" si="21"/>
        <v>1.0486096209672024</v>
      </c>
      <c r="I302" s="66">
        <f t="shared" si="22"/>
        <v>234425.92690636011</v>
      </c>
    </row>
    <row r="303" spans="1:9" x14ac:dyDescent="0.25">
      <c r="A303" s="57">
        <f>'A) Base RI'!A305</f>
        <v>5928</v>
      </c>
      <c r="B303" s="40" t="str">
        <f>'A) Base RI'!B305</f>
        <v>Rovray</v>
      </c>
      <c r="C303" s="109">
        <f>'A) Base RI'!U305</f>
        <v>172</v>
      </c>
      <c r="D303" s="126">
        <f>'D) Ecrêtage'!N303</f>
        <v>25.882140809174896</v>
      </c>
      <c r="E303" s="42">
        <f t="shared" si="19"/>
        <v>19.428828621041273</v>
      </c>
      <c r="F303" s="319">
        <f t="shared" si="20"/>
        <v>65866.060484764443</v>
      </c>
      <c r="G303" s="41">
        <f>'A) Base RI'!T305</f>
        <v>73</v>
      </c>
      <c r="H303" s="320">
        <f t="shared" si="21"/>
        <v>1.0781479201493771</v>
      </c>
      <c r="I303" s="66">
        <f t="shared" si="22"/>
        <v>71013.356120081851</v>
      </c>
    </row>
    <row r="304" spans="1:9" x14ac:dyDescent="0.25">
      <c r="A304" s="57">
        <f>'A) Base RI'!A306</f>
        <v>5929</v>
      </c>
      <c r="B304" s="40" t="str">
        <f>'A) Base RI'!B306</f>
        <v>Suchy</v>
      </c>
      <c r="C304" s="109">
        <f>'A) Base RI'!U306</f>
        <v>606</v>
      </c>
      <c r="D304" s="126">
        <f>'D) Ecrêtage'!N304</f>
        <v>27.36598750589345</v>
      </c>
      <c r="E304" s="42">
        <f t="shared" si="19"/>
        <v>17.944981924322718</v>
      </c>
      <c r="F304" s="319">
        <f t="shared" si="20"/>
        <v>205531.05597203784</v>
      </c>
      <c r="G304" s="41">
        <f>'A) Base RI'!T306</f>
        <v>70</v>
      </c>
      <c r="H304" s="320">
        <f t="shared" si="21"/>
        <v>1.0338404713761149</v>
      </c>
      <c r="I304" s="66">
        <f t="shared" si="22"/>
        <v>212486.32378856227</v>
      </c>
    </row>
    <row r="305" spans="1:9" x14ac:dyDescent="0.25">
      <c r="A305" s="57">
        <f>'A) Base RI'!A307</f>
        <v>5930</v>
      </c>
      <c r="B305" s="40" t="str">
        <f>'A) Base RI'!B307</f>
        <v>Suscévaz</v>
      </c>
      <c r="C305" s="109">
        <f>'A) Base RI'!U307</f>
        <v>202</v>
      </c>
      <c r="D305" s="126">
        <f>'D) Ecrêtage'!N305</f>
        <v>24.190707320732074</v>
      </c>
      <c r="E305" s="42">
        <f t="shared" si="19"/>
        <v>21.120262109484095</v>
      </c>
      <c r="F305" s="319">
        <f t="shared" si="20"/>
        <v>76025.340299783333</v>
      </c>
      <c r="G305" s="41">
        <f>'A) Base RI'!T307</f>
        <v>66</v>
      </c>
      <c r="H305" s="320">
        <f t="shared" si="21"/>
        <v>0.97476387301176559</v>
      </c>
      <c r="I305" s="66">
        <f t="shared" si="22"/>
        <v>74106.755157654261</v>
      </c>
    </row>
    <row r="306" spans="1:9" x14ac:dyDescent="0.25">
      <c r="A306" s="57">
        <f>'A) Base RI'!A308</f>
        <v>5931</v>
      </c>
      <c r="B306" s="40" t="str">
        <f>'A) Base RI'!B308</f>
        <v>Treycovagnes</v>
      </c>
      <c r="C306" s="109">
        <f>'A) Base RI'!U308</f>
        <v>446</v>
      </c>
      <c r="D306" s="126">
        <f>'D) Ecrêtage'!N306</f>
        <v>36.701287344942052</v>
      </c>
      <c r="E306" s="42">
        <f t="shared" si="19"/>
        <v>8.609682085274116</v>
      </c>
      <c r="F306" s="319">
        <f t="shared" si="20"/>
        <v>79831.899586570609</v>
      </c>
      <c r="G306" s="41">
        <f>'A) Base RI'!T308</f>
        <v>77</v>
      </c>
      <c r="H306" s="320">
        <f t="shared" si="21"/>
        <v>1.1372245185137264</v>
      </c>
      <c r="I306" s="66">
        <f t="shared" si="22"/>
        <v>90786.793569373913</v>
      </c>
    </row>
    <row r="307" spans="1:9" x14ac:dyDescent="0.25">
      <c r="A307" s="57">
        <f>'A) Base RI'!A309</f>
        <v>5932</v>
      </c>
      <c r="B307" s="40" t="str">
        <f>'A) Base RI'!B309</f>
        <v>Ursins</v>
      </c>
      <c r="C307" s="109">
        <f>'A) Base RI'!U309</f>
        <v>210</v>
      </c>
      <c r="D307" s="126">
        <f>'D) Ecrêtage'!N307</f>
        <v>30.31558974358974</v>
      </c>
      <c r="E307" s="42">
        <f t="shared" si="19"/>
        <v>14.995379686626428</v>
      </c>
      <c r="F307" s="319">
        <f t="shared" si="20"/>
        <v>66318.566202074042</v>
      </c>
      <c r="G307" s="41">
        <f>'A) Base RI'!T309</f>
        <v>78</v>
      </c>
      <c r="H307" s="320">
        <f t="shared" si="21"/>
        <v>1.1519936681048137</v>
      </c>
      <c r="I307" s="66">
        <f t="shared" si="22"/>
        <v>76398.568342579209</v>
      </c>
    </row>
    <row r="308" spans="1:9" x14ac:dyDescent="0.25">
      <c r="A308" s="57">
        <f>'A) Base RI'!A310</f>
        <v>5933</v>
      </c>
      <c r="B308" s="40" t="str">
        <f>'A) Base RI'!B310</f>
        <v>Valeyres-sous-Montagny</v>
      </c>
      <c r="C308" s="109">
        <f>'A) Base RI'!U310</f>
        <v>689</v>
      </c>
      <c r="D308" s="126">
        <f>'D) Ecrêtage'!N308</f>
        <v>28.415765803902598</v>
      </c>
      <c r="E308" s="42">
        <f t="shared" si="19"/>
        <v>16.89520362631357</v>
      </c>
      <c r="F308" s="319">
        <f t="shared" si="20"/>
        <v>226297.06060342421</v>
      </c>
      <c r="G308" s="41">
        <f>'A) Base RI'!T310</f>
        <v>72</v>
      </c>
      <c r="H308" s="320">
        <f t="shared" si="21"/>
        <v>1.0633787705582898</v>
      </c>
      <c r="I308" s="66">
        <f t="shared" si="22"/>
        <v>240639.49008542404</v>
      </c>
    </row>
    <row r="309" spans="1:9" x14ac:dyDescent="0.25">
      <c r="A309" s="57">
        <f>'A) Base RI'!A311</f>
        <v>5934</v>
      </c>
      <c r="B309" s="40" t="str">
        <f>'A) Base RI'!B311</f>
        <v>Valeyres-sous-Ursins</v>
      </c>
      <c r="C309" s="109">
        <f>'A) Base RI'!U311</f>
        <v>247</v>
      </c>
      <c r="D309" s="126">
        <f>'D) Ecrêtage'!N309</f>
        <v>27.757377645672122</v>
      </c>
      <c r="E309" s="42">
        <f t="shared" si="19"/>
        <v>17.553591784544047</v>
      </c>
      <c r="F309" s="319">
        <f t="shared" si="20"/>
        <v>92481.273852788159</v>
      </c>
      <c r="G309" s="41">
        <f>'A) Base RI'!T311</f>
        <v>79</v>
      </c>
      <c r="H309" s="320">
        <f t="shared" si="21"/>
        <v>1.1667628176959013</v>
      </c>
      <c r="I309" s="66">
        <f t="shared" si="22"/>
        <v>107903.7116645854</v>
      </c>
    </row>
    <row r="310" spans="1:9" x14ac:dyDescent="0.25">
      <c r="A310" s="57">
        <f>'A) Base RI'!A312</f>
        <v>5935</v>
      </c>
      <c r="B310" s="40" t="str">
        <f>'A) Base RI'!B312</f>
        <v>Villars-Epeney</v>
      </c>
      <c r="C310" s="109">
        <f>'A) Base RI'!U312</f>
        <v>105</v>
      </c>
      <c r="D310" s="126">
        <f>'D) Ecrêtage'!N310</f>
        <v>40.501288888888894</v>
      </c>
      <c r="E310" s="42">
        <f t="shared" si="19"/>
        <v>4.8096805413272747</v>
      </c>
      <c r="F310" s="319">
        <f t="shared" si="20"/>
        <v>8181.266600797695</v>
      </c>
      <c r="G310" s="41">
        <f>'A) Base RI'!T312</f>
        <v>60</v>
      </c>
      <c r="H310" s="320">
        <f t="shared" si="21"/>
        <v>0.88614897546524141</v>
      </c>
      <c r="I310" s="66">
        <f t="shared" si="22"/>
        <v>7249.8210163048752</v>
      </c>
    </row>
    <row r="311" spans="1:9" x14ac:dyDescent="0.25">
      <c r="A311" s="57">
        <f>'A) Base RI'!A313</f>
        <v>5937</v>
      </c>
      <c r="B311" s="40" t="str">
        <f>'A) Base RI'!B313</f>
        <v>Vugelles-La Mothe</v>
      </c>
      <c r="C311" s="109">
        <f>'A) Base RI'!U313</f>
        <v>134</v>
      </c>
      <c r="D311" s="126">
        <f>'D) Ecrêtage'!N311</f>
        <v>16.962554827901307</v>
      </c>
      <c r="E311" s="42">
        <f t="shared" si="19"/>
        <v>28.348414602314861</v>
      </c>
      <c r="F311" s="319">
        <f t="shared" si="20"/>
        <v>71795.194821822617</v>
      </c>
      <c r="G311" s="41">
        <f>'A) Base RI'!T313</f>
        <v>70</v>
      </c>
      <c r="H311" s="320">
        <f t="shared" si="21"/>
        <v>1.0338404713761149</v>
      </c>
      <c r="I311" s="66">
        <f t="shared" si="22"/>
        <v>74224.778057133095</v>
      </c>
    </row>
    <row r="312" spans="1:9" x14ac:dyDescent="0.25">
      <c r="A312" s="57">
        <f>'A) Base RI'!A314</f>
        <v>5938</v>
      </c>
      <c r="B312" s="40" t="str">
        <f>'A) Base RI'!B314</f>
        <v>Yverdon-les-Bains</v>
      </c>
      <c r="C312" s="109">
        <f>'A) Base RI'!U314</f>
        <v>29570</v>
      </c>
      <c r="D312" s="126">
        <f>'D) Ecrêtage'!N312</f>
        <v>27.367095576907346</v>
      </c>
      <c r="E312" s="42">
        <f t="shared" si="19"/>
        <v>17.943873853308823</v>
      </c>
      <c r="F312" s="319">
        <f t="shared" si="20"/>
        <v>10959550.225993572</v>
      </c>
      <c r="G312" s="41">
        <f>'A) Base RI'!T314</f>
        <v>76.5</v>
      </c>
      <c r="H312" s="320">
        <f t="shared" si="21"/>
        <v>1.1298399437181827</v>
      </c>
      <c r="I312" s="66">
        <f t="shared" si="22"/>
        <v>12382537.610513175</v>
      </c>
    </row>
    <row r="313" spans="1:9" x14ac:dyDescent="0.25">
      <c r="A313" s="57">
        <f>'A) Base RI'!A315</f>
        <v>5939</v>
      </c>
      <c r="B313" s="40" t="str">
        <f>'A) Base RI'!B315</f>
        <v>Yvonand</v>
      </c>
      <c r="C313" s="109">
        <f>'A) Base RI'!U315</f>
        <v>3236</v>
      </c>
      <c r="D313" s="126">
        <f>'D) Ecrêtage'!N313</f>
        <v>27.274742833195052</v>
      </c>
      <c r="E313" s="42">
        <f t="shared" si="19"/>
        <v>18.036226597021116</v>
      </c>
      <c r="F313" s="319">
        <f t="shared" si="20"/>
        <v>1150378.6688714984</v>
      </c>
      <c r="G313" s="41">
        <f>'A) Base RI'!T315</f>
        <v>73</v>
      </c>
      <c r="H313" s="320">
        <f t="shared" si="21"/>
        <v>1.0781479201493771</v>
      </c>
      <c r="I313" s="66">
        <f t="shared" si="22"/>
        <v>1240278.369228015</v>
      </c>
    </row>
    <row r="314" spans="1:9" x14ac:dyDescent="0.25">
      <c r="A314" s="38"/>
      <c r="B314" s="135">
        <f>COUNTA(B5:B313)</f>
        <v>309</v>
      </c>
      <c r="C314" s="111">
        <f>SUM(C5:C313)</f>
        <v>778251</v>
      </c>
      <c r="D314" s="125">
        <f>'D) Ecrêtage'!N314</f>
        <v>45.310969430216169</v>
      </c>
      <c r="E314" s="317"/>
      <c r="F314" s="15">
        <f>SUM(F5:F313)</f>
        <v>106330620.54946832</v>
      </c>
      <c r="G314" s="321">
        <f>'B) D RI'!S316</f>
        <v>67.708705489953431</v>
      </c>
      <c r="H314" s="318">
        <f>G314/G$314</f>
        <v>1</v>
      </c>
      <c r="I314" s="45">
        <f>SUM(I5:I313)</f>
        <v>115303715.77979061</v>
      </c>
    </row>
  </sheetData>
  <sheetProtection password="E95E" sheet="1" objects="1" scenarios="1"/>
  <mergeCells count="8">
    <mergeCell ref="A3:A4"/>
    <mergeCell ref="I3:I4"/>
    <mergeCell ref="H3:H4"/>
    <mergeCell ref="G3:G4"/>
    <mergeCell ref="F3:F4"/>
    <mergeCell ref="B3:B4"/>
    <mergeCell ref="C3:C4"/>
    <mergeCell ref="D3:D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13</vt:i4>
      </vt:variant>
    </vt:vector>
  </HeadingPairs>
  <TitlesOfParts>
    <vt:vector size="30" baseType="lpstr">
      <vt:lpstr>Paramètres</vt:lpstr>
      <vt:lpstr>A) Base RI</vt:lpstr>
      <vt:lpstr>Recherche</vt:lpstr>
      <vt:lpstr>B) D RI</vt:lpstr>
      <vt:lpstr>C) Prél. conj.</vt:lpstr>
      <vt:lpstr>D) Ecrêtage</vt:lpstr>
      <vt:lpstr>E) Fact soc</vt:lpstr>
      <vt:lpstr>F) Population</vt:lpstr>
      <vt:lpstr>G) Solidarité</vt:lpstr>
      <vt:lpstr>H) Péréquation directe</vt:lpstr>
      <vt:lpstr>I) Dépenses thématiques</vt:lpstr>
      <vt:lpstr>J) Plafonnement effort</vt:lpstr>
      <vt:lpstr>K) Plafonnement aide</vt:lpstr>
      <vt:lpstr>L) Plafonnement taux</vt:lpstr>
      <vt:lpstr>M) Police</vt:lpstr>
      <vt:lpstr>Synthèse</vt:lpstr>
      <vt:lpstr>Feuil1</vt:lpstr>
      <vt:lpstr>'C) Prél. conj.'!Impression_des_titres</vt:lpstr>
      <vt:lpstr>'E) Fact soc'!Impression_des_titres</vt:lpstr>
      <vt:lpstr>'I) Dépenses thématiques'!Impression_des_titres</vt:lpstr>
      <vt:lpstr>'J) Plafonnement effort'!Impression_des_titres</vt:lpstr>
      <vt:lpstr>'L) Plafonnement taux'!Impression_des_titres</vt:lpstr>
      <vt:lpstr>'M) Police'!Impression_des_titres</vt:lpstr>
      <vt:lpstr>Synthèse!Impression_des_titres</vt:lpstr>
      <vt:lpstr>'A) Base RI'!Zone_d_impression</vt:lpstr>
      <vt:lpstr>'H) Péréquation directe'!Zone_d_impression</vt:lpstr>
      <vt:lpstr>'L) Plafonnement taux'!Zone_d_impression</vt:lpstr>
      <vt:lpstr>'M) Police'!Zone_d_impression</vt:lpstr>
      <vt:lpstr>Recherche!Zone_d_impression</vt:lpstr>
      <vt:lpstr>Synthèse!Zone_d_impression</vt:lpstr>
    </vt:vector>
  </TitlesOfParts>
  <Company>Etat de Vaud / ASFiCo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CLERC,Charles Henri</dc:creator>
  <cp:lastModifiedBy>CLERC Charles Henri</cp:lastModifiedBy>
  <cp:lastPrinted>2017-09-20T08:58:58Z</cp:lastPrinted>
  <dcterms:created xsi:type="dcterms:W3CDTF">2005-06-06T00:37:42Z</dcterms:created>
  <dcterms:modified xsi:type="dcterms:W3CDTF">2017-09-27T12:01:31Z</dcterms:modified>
</cp:coreProperties>
</file>